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3.53\дела в порядке программы\00_Инвестиционная программа\2020 год\05_Оптимизация и изменения\10_Проект ИП_21.12.2020\04_на опубликование\"/>
    </mc:Choice>
  </mc:AlternateContent>
  <bookViews>
    <workbookView xWindow="0" yWindow="0" windowWidth="20655" windowHeight="11805" tabRatio="794"/>
  </bookViews>
  <sheets>
    <sheet name="ИП2020+" sheetId="71" r:id="rId1"/>
  </sheets>
  <definedNames>
    <definedName name="_xlnm._FilterDatabase" localSheetId="0" hidden="1">'ИП2020+'!$A$8:$T$1022</definedName>
    <definedName name="_xlnm.Print_Titles" localSheetId="0">'ИП2020+'!$8:$8</definedName>
    <definedName name="_xlnm.Print_Area" localSheetId="0">'ИП2020+'!$A$1:$T$1111</definedName>
  </definedNames>
  <calcPr calcId="152511"/>
</workbook>
</file>

<file path=xl/calcChain.xml><?xml version="1.0" encoding="utf-8"?>
<calcChain xmlns="http://schemas.openxmlformats.org/spreadsheetml/2006/main">
  <c r="D278" i="71" l="1"/>
  <c r="D277" i="71"/>
  <c r="C1036" i="71" l="1"/>
  <c r="E1061" i="71" l="1"/>
  <c r="F1061" i="71"/>
  <c r="G1061" i="71"/>
  <c r="H1061" i="71"/>
  <c r="E1062" i="71"/>
  <c r="F1062" i="71"/>
  <c r="G1062" i="71"/>
  <c r="H1062" i="71"/>
  <c r="E1063" i="71"/>
  <c r="F1063" i="71"/>
  <c r="G1063" i="71"/>
  <c r="H1063" i="71"/>
  <c r="E1064" i="71"/>
  <c r="F1064" i="71"/>
  <c r="G1064" i="71"/>
  <c r="H1064" i="71"/>
  <c r="E1065" i="71"/>
  <c r="F1065" i="71"/>
  <c r="G1065" i="71"/>
  <c r="H1065" i="71"/>
  <c r="D1065" i="71"/>
  <c r="D1064" i="71"/>
  <c r="D1063" i="71"/>
  <c r="D1062" i="71"/>
  <c r="D1061" i="71"/>
  <c r="E949" i="71"/>
  <c r="F949" i="71"/>
  <c r="G949" i="71"/>
  <c r="H949" i="71"/>
  <c r="E950" i="71"/>
  <c r="F950" i="71"/>
  <c r="G950" i="71"/>
  <c r="H950" i="71"/>
  <c r="E951" i="71"/>
  <c r="F951" i="71"/>
  <c r="G951" i="71"/>
  <c r="H951" i="71"/>
  <c r="E952" i="71"/>
  <c r="F952" i="71"/>
  <c r="G952" i="71"/>
  <c r="H952" i="71"/>
  <c r="D952" i="71"/>
  <c r="D949" i="71"/>
  <c r="E521" i="71"/>
  <c r="F521" i="71"/>
  <c r="G521" i="71"/>
  <c r="H521" i="71"/>
  <c r="F522" i="71"/>
  <c r="G522" i="71"/>
  <c r="H522" i="71"/>
  <c r="F523" i="71"/>
  <c r="G523" i="71"/>
  <c r="H523" i="71"/>
  <c r="F524" i="71"/>
  <c r="G524" i="71"/>
  <c r="H524" i="71"/>
  <c r="D937" i="71" l="1"/>
  <c r="D436" i="71"/>
  <c r="D638" i="71" l="1"/>
  <c r="D438" i="71"/>
  <c r="D1100" i="71"/>
  <c r="D428" i="71" l="1"/>
  <c r="D427" i="71"/>
  <c r="D36" i="71" l="1"/>
  <c r="D395" i="71" l="1"/>
  <c r="D435" i="71" l="1"/>
  <c r="D460" i="71"/>
  <c r="D122" i="71"/>
  <c r="D262" i="71"/>
  <c r="E248" i="71" l="1"/>
  <c r="D248" i="71"/>
  <c r="E240" i="71"/>
  <c r="D240" i="71" l="1"/>
  <c r="D354" i="71"/>
  <c r="D346" i="71"/>
  <c r="D548" i="71" l="1"/>
  <c r="D532" i="71"/>
  <c r="D906" i="71" l="1"/>
  <c r="D890" i="71"/>
  <c r="D874" i="71"/>
  <c r="D842" i="71"/>
  <c r="D689" i="71"/>
  <c r="D674" i="71"/>
  <c r="D547" i="71" l="1"/>
  <c r="D531" i="71"/>
  <c r="D28" i="71" l="1"/>
  <c r="D1072" i="71" l="1"/>
  <c r="F657" i="71" l="1"/>
  <c r="G657" i="71"/>
  <c r="H657" i="71"/>
  <c r="F658" i="71"/>
  <c r="G658" i="71"/>
  <c r="H658" i="71"/>
  <c r="E659" i="71"/>
  <c r="F659" i="71"/>
  <c r="G659" i="71"/>
  <c r="H659" i="71"/>
  <c r="E660" i="71"/>
  <c r="F660" i="71"/>
  <c r="G660" i="71"/>
  <c r="H660" i="71"/>
  <c r="D659" i="71"/>
  <c r="D660" i="71"/>
  <c r="E73" i="71"/>
  <c r="F73" i="71"/>
  <c r="G73" i="71"/>
  <c r="H73" i="71"/>
  <c r="H74" i="71"/>
  <c r="E75" i="71"/>
  <c r="F75" i="71"/>
  <c r="G75" i="71"/>
  <c r="H75" i="71"/>
  <c r="E76" i="71"/>
  <c r="F76" i="71"/>
  <c r="G76" i="71"/>
  <c r="H76" i="71"/>
  <c r="D76" i="71"/>
  <c r="D595" i="71" l="1"/>
  <c r="D936" i="71" l="1"/>
  <c r="D139" i="71" l="1"/>
  <c r="D138" i="71"/>
  <c r="D137" i="71" l="1"/>
  <c r="E1042" i="71"/>
  <c r="E898" i="71" l="1"/>
  <c r="D914" i="71"/>
  <c r="C914" i="71" s="1"/>
  <c r="C913" i="71"/>
  <c r="C915" i="71"/>
  <c r="C916" i="71"/>
  <c r="E912" i="71"/>
  <c r="F912" i="71"/>
  <c r="G912" i="71"/>
  <c r="H912" i="71"/>
  <c r="D912" i="71" l="1"/>
  <c r="C912" i="71" s="1"/>
  <c r="D898" i="71" l="1"/>
  <c r="D882" i="71"/>
  <c r="D866" i="71" l="1"/>
  <c r="D858" i="71" l="1"/>
  <c r="D1042" i="71" l="1"/>
  <c r="D1026" i="71" s="1"/>
  <c r="E1025" i="71"/>
  <c r="F1025" i="71"/>
  <c r="G1025" i="71"/>
  <c r="H1025" i="71"/>
  <c r="E1026" i="71"/>
  <c r="F1026" i="71"/>
  <c r="G1026" i="71"/>
  <c r="H1026" i="71"/>
  <c r="E1027" i="71"/>
  <c r="F1027" i="71"/>
  <c r="G1027" i="71"/>
  <c r="H1027" i="71"/>
  <c r="E1028" i="71"/>
  <c r="F1028" i="71"/>
  <c r="G1028" i="71"/>
  <c r="H1028" i="71"/>
  <c r="D1027" i="71"/>
  <c r="D1028" i="71"/>
  <c r="D1025" i="71"/>
  <c r="C1041" i="71"/>
  <c r="C1042" i="71"/>
  <c r="C1043" i="71"/>
  <c r="C1044" i="71"/>
  <c r="E1040" i="71"/>
  <c r="F1040" i="71"/>
  <c r="G1040" i="71"/>
  <c r="H1040" i="71"/>
  <c r="D1040" i="71" l="1"/>
  <c r="C1040" i="71" s="1"/>
  <c r="C1033" i="71"/>
  <c r="D1032" i="71"/>
  <c r="D738" i="71" l="1"/>
  <c r="D690" i="71"/>
  <c r="D270" i="71" l="1"/>
  <c r="D218" i="71" l="1"/>
  <c r="E452" i="71" l="1"/>
  <c r="D452" i="71"/>
  <c r="E395" i="71"/>
  <c r="D445" i="71" l="1"/>
  <c r="D444" i="71"/>
  <c r="D155" i="71" l="1"/>
  <c r="D147" i="71"/>
  <c r="E337" i="71" l="1"/>
  <c r="F337" i="71"/>
  <c r="G337" i="71"/>
  <c r="H337" i="71"/>
  <c r="F338" i="71"/>
  <c r="G338" i="71"/>
  <c r="H338" i="71"/>
  <c r="E339" i="71"/>
  <c r="F339" i="71"/>
  <c r="G339" i="71"/>
  <c r="H339" i="71"/>
  <c r="E340" i="71"/>
  <c r="F340" i="71"/>
  <c r="G340" i="71"/>
  <c r="H340" i="71"/>
  <c r="D340" i="71"/>
  <c r="D337" i="71"/>
  <c r="E11" i="71"/>
  <c r="F11" i="71"/>
  <c r="G11" i="71"/>
  <c r="H11" i="71"/>
  <c r="F12" i="71"/>
  <c r="G12" i="71"/>
  <c r="H12" i="71"/>
  <c r="E13" i="71"/>
  <c r="F13" i="71"/>
  <c r="G13" i="71"/>
  <c r="H13" i="71"/>
  <c r="E14" i="71"/>
  <c r="F14" i="71"/>
  <c r="G14" i="71"/>
  <c r="H14" i="71"/>
  <c r="D13" i="71"/>
  <c r="D14" i="71"/>
  <c r="D68" i="71"/>
  <c r="D66" i="71" s="1"/>
  <c r="C67" i="71"/>
  <c r="C69" i="71"/>
  <c r="C70" i="71"/>
  <c r="C59" i="71"/>
  <c r="E66" i="71"/>
  <c r="F66" i="71"/>
  <c r="G66" i="71"/>
  <c r="H66" i="71"/>
  <c r="D516" i="71"/>
  <c r="C66" i="71" l="1"/>
  <c r="C68" i="71"/>
  <c r="C515" i="71"/>
  <c r="C516" i="71"/>
  <c r="C517" i="71"/>
  <c r="C518" i="71"/>
  <c r="E514" i="71"/>
  <c r="F514" i="71"/>
  <c r="G514" i="71"/>
  <c r="H514" i="71"/>
  <c r="D514" i="71"/>
  <c r="D506" i="71"/>
  <c r="C514" i="71" l="1"/>
  <c r="D324" i="71"/>
  <c r="D217" i="71" l="1"/>
  <c r="D114" i="71" l="1"/>
  <c r="E60" i="71" l="1"/>
  <c r="E12" i="71" s="1"/>
  <c r="D154" i="71" l="1"/>
  <c r="D146" i="71"/>
  <c r="D302" i="71" l="1"/>
  <c r="D355" i="71"/>
  <c r="D347" i="71"/>
  <c r="C510" i="71" l="1"/>
  <c r="C509" i="71"/>
  <c r="C508" i="71"/>
  <c r="C507" i="71"/>
  <c r="H506" i="71"/>
  <c r="G506" i="71"/>
  <c r="F506" i="71"/>
  <c r="E506" i="71"/>
  <c r="C506" i="71" l="1"/>
  <c r="D44" i="71" l="1"/>
  <c r="E1098" i="71" l="1"/>
  <c r="F1098" i="71"/>
  <c r="G1098" i="71"/>
  <c r="H1098" i="71"/>
  <c r="C1099" i="71"/>
  <c r="C1101" i="71"/>
  <c r="C1102" i="71"/>
  <c r="D1098" i="71" l="1"/>
  <c r="C1098" i="71" s="1"/>
  <c r="C1100" i="71"/>
  <c r="H1094" i="71" l="1"/>
  <c r="G1094" i="71"/>
  <c r="F1094" i="71"/>
  <c r="E1094" i="71"/>
  <c r="D1094" i="71"/>
  <c r="H1093" i="71"/>
  <c r="G1093" i="71"/>
  <c r="F1093" i="71"/>
  <c r="E1093" i="71"/>
  <c r="D1093" i="71"/>
  <c r="H1092" i="71"/>
  <c r="G1092" i="71"/>
  <c r="F1092" i="71"/>
  <c r="E1092" i="71"/>
  <c r="D1092" i="71"/>
  <c r="H1091" i="71"/>
  <c r="G1091" i="71"/>
  <c r="F1091" i="71"/>
  <c r="E1091" i="71"/>
  <c r="D1091" i="71"/>
  <c r="D959" i="71"/>
  <c r="D951" i="71" s="1"/>
  <c r="D958" i="71"/>
  <c r="D950" i="71" s="1"/>
  <c r="F1090" i="71" l="1"/>
  <c r="G1090" i="71"/>
  <c r="C1094" i="71"/>
  <c r="C1093" i="71"/>
  <c r="H1090" i="71"/>
  <c r="E1090" i="71"/>
  <c r="C1092" i="71"/>
  <c r="C1091" i="71"/>
  <c r="D1090" i="71"/>
  <c r="E906" i="71"/>
  <c r="E904" i="71" s="1"/>
  <c r="E896" i="71"/>
  <c r="D896" i="71"/>
  <c r="E890" i="71"/>
  <c r="E888" i="71" s="1"/>
  <c r="E874" i="71"/>
  <c r="E872" i="71" s="1"/>
  <c r="D872" i="71"/>
  <c r="E882" i="71"/>
  <c r="E880" i="71" s="1"/>
  <c r="D880" i="71"/>
  <c r="F904" i="71"/>
  <c r="G904" i="71"/>
  <c r="H904" i="71"/>
  <c r="D904" i="71"/>
  <c r="C905" i="71"/>
  <c r="C907" i="71"/>
  <c r="C908" i="71"/>
  <c r="F896" i="71"/>
  <c r="G896" i="71"/>
  <c r="H896" i="71"/>
  <c r="C897" i="71"/>
  <c r="C899" i="71"/>
  <c r="C900" i="71"/>
  <c r="F888" i="71"/>
  <c r="G888" i="71"/>
  <c r="H888" i="71"/>
  <c r="C889" i="71"/>
  <c r="C891" i="71"/>
  <c r="C892" i="71"/>
  <c r="F880" i="71"/>
  <c r="G880" i="71"/>
  <c r="H880" i="71"/>
  <c r="C881" i="71"/>
  <c r="C883" i="71"/>
  <c r="C884" i="71"/>
  <c r="F872" i="71"/>
  <c r="G872" i="71"/>
  <c r="H872" i="71"/>
  <c r="C873" i="71"/>
  <c r="C875" i="71"/>
  <c r="C876" i="71"/>
  <c r="E866" i="71"/>
  <c r="C874" i="71" l="1"/>
  <c r="C890" i="71"/>
  <c r="C1090" i="71"/>
  <c r="C904" i="71"/>
  <c r="D888" i="71"/>
  <c r="C888" i="71" s="1"/>
  <c r="C906" i="71"/>
  <c r="C882" i="71"/>
  <c r="C898" i="71"/>
  <c r="C872" i="71"/>
  <c r="C896" i="71"/>
  <c r="C880" i="71"/>
  <c r="F856" i="71" l="1"/>
  <c r="G856" i="71"/>
  <c r="H856" i="71"/>
  <c r="C857" i="71"/>
  <c r="C859" i="71"/>
  <c r="C860" i="71"/>
  <c r="E864" i="71"/>
  <c r="F864" i="71"/>
  <c r="G864" i="71"/>
  <c r="H864" i="71"/>
  <c r="D864" i="71"/>
  <c r="C865" i="71"/>
  <c r="C866" i="71"/>
  <c r="C867" i="71"/>
  <c r="C868" i="71"/>
  <c r="E858" i="71"/>
  <c r="E856" i="71" s="1"/>
  <c r="C858" i="71" l="1"/>
  <c r="D856" i="71"/>
  <c r="C856" i="71" s="1"/>
  <c r="C864" i="71"/>
  <c r="D730" i="71"/>
  <c r="D682" i="71"/>
  <c r="D653" i="71"/>
  <c r="C653" i="71" s="1"/>
  <c r="D652" i="71"/>
  <c r="F650" i="71"/>
  <c r="G650" i="71"/>
  <c r="H650" i="71"/>
  <c r="C651" i="71"/>
  <c r="C654" i="71"/>
  <c r="D650" i="71" l="1"/>
  <c r="C652" i="71"/>
  <c r="C659" i="71"/>
  <c r="H656" i="71"/>
  <c r="C660" i="71"/>
  <c r="G656" i="71"/>
  <c r="F656" i="71"/>
  <c r="E650" i="71"/>
  <c r="C650" i="71" l="1"/>
  <c r="D371" i="71"/>
  <c r="D929" i="71" l="1"/>
  <c r="D745" i="71"/>
  <c r="D737" i="71"/>
  <c r="D729" i="71"/>
  <c r="D657" i="71" s="1"/>
  <c r="D722" i="71"/>
  <c r="D721" i="71"/>
  <c r="D786" i="71"/>
  <c r="D644" i="71" l="1"/>
  <c r="D635" i="71"/>
  <c r="D261" i="71"/>
  <c r="D163" i="71" l="1"/>
  <c r="D75" i="71" s="1"/>
  <c r="D27" i="71" l="1"/>
  <c r="D11" i="71" s="1"/>
  <c r="C646" i="71" l="1"/>
  <c r="C645" i="71"/>
  <c r="C644" i="71"/>
  <c r="C643" i="71"/>
  <c r="H642" i="71"/>
  <c r="G642" i="71"/>
  <c r="F642" i="71"/>
  <c r="E642" i="71"/>
  <c r="D642" i="71"/>
  <c r="C642" i="71" l="1"/>
  <c r="E232" i="71" l="1"/>
  <c r="F232" i="71"/>
  <c r="G232" i="71"/>
  <c r="H232" i="71"/>
  <c r="D233" i="71"/>
  <c r="E233" i="71"/>
  <c r="F233" i="71"/>
  <c r="G233" i="71"/>
  <c r="H233" i="71"/>
  <c r="D234" i="71"/>
  <c r="E234" i="71"/>
  <c r="F234" i="71"/>
  <c r="G234" i="71"/>
  <c r="H234" i="71"/>
  <c r="E231" i="71"/>
  <c r="F231" i="71"/>
  <c r="G231" i="71"/>
  <c r="H231" i="71"/>
  <c r="F230" i="71" l="1"/>
  <c r="D928" i="71"/>
  <c r="D387" i="71" l="1"/>
  <c r="D339" i="71" l="1"/>
  <c r="D363" i="71" l="1"/>
  <c r="E500" i="71"/>
  <c r="C500" i="71" s="1"/>
  <c r="F498" i="71"/>
  <c r="G498" i="71"/>
  <c r="H498" i="71"/>
  <c r="D498" i="71"/>
  <c r="C499" i="71"/>
  <c r="C501" i="71"/>
  <c r="C502" i="71"/>
  <c r="E492" i="71"/>
  <c r="E490" i="71" s="1"/>
  <c r="F490" i="71"/>
  <c r="G490" i="71"/>
  <c r="H490" i="71"/>
  <c r="D490" i="71"/>
  <c r="C491" i="71"/>
  <c r="C493" i="71"/>
  <c r="C494" i="71"/>
  <c r="E484" i="71"/>
  <c r="E482" i="71" s="1"/>
  <c r="F482" i="71"/>
  <c r="G482" i="71"/>
  <c r="H482" i="71"/>
  <c r="D482" i="71"/>
  <c r="C483" i="71"/>
  <c r="C485" i="71"/>
  <c r="C486" i="71"/>
  <c r="E476" i="71"/>
  <c r="E474" i="71" s="1"/>
  <c r="F474" i="71"/>
  <c r="G474" i="71"/>
  <c r="H474" i="71"/>
  <c r="D474" i="71"/>
  <c r="C475" i="71"/>
  <c r="C477" i="71"/>
  <c r="C478" i="71"/>
  <c r="E468" i="71"/>
  <c r="E338" i="71" l="1"/>
  <c r="C484" i="71"/>
  <c r="C492" i="71"/>
  <c r="C337" i="71"/>
  <c r="C476" i="71"/>
  <c r="E498" i="71"/>
  <c r="C498" i="71" s="1"/>
  <c r="C490" i="71"/>
  <c r="C482" i="71"/>
  <c r="C474" i="71"/>
  <c r="E466" i="71"/>
  <c r="F466" i="71"/>
  <c r="G466" i="71"/>
  <c r="H466" i="71"/>
  <c r="D466" i="71"/>
  <c r="C467" i="71"/>
  <c r="C468" i="71"/>
  <c r="C469" i="71"/>
  <c r="C470" i="71"/>
  <c r="C466" i="71" l="1"/>
  <c r="D60" i="71"/>
  <c r="C60" i="71" s="1"/>
  <c r="E58" i="71"/>
  <c r="F58" i="71"/>
  <c r="G58" i="71"/>
  <c r="H58" i="71"/>
  <c r="C61" i="71"/>
  <c r="C62" i="71"/>
  <c r="D58" i="71" l="1"/>
  <c r="C58" i="71" s="1"/>
  <c r="E834" i="71" l="1"/>
  <c r="D834" i="71"/>
  <c r="F525" i="71" l="1"/>
  <c r="G525" i="71"/>
  <c r="H525" i="71"/>
  <c r="E638" i="71"/>
  <c r="E525" i="71" s="1"/>
  <c r="E637" i="71"/>
  <c r="E524" i="71" s="1"/>
  <c r="E636" i="71"/>
  <c r="E523" i="71" s="1"/>
  <c r="D637" i="71"/>
  <c r="D524" i="71" s="1"/>
  <c r="D636" i="71"/>
  <c r="D523" i="71" s="1"/>
  <c r="F633" i="71"/>
  <c r="G633" i="71"/>
  <c r="H633" i="71"/>
  <c r="C634" i="71"/>
  <c r="C635" i="71"/>
  <c r="D633" i="71" l="1"/>
  <c r="C637" i="71"/>
  <c r="E633" i="71"/>
  <c r="C638" i="71"/>
  <c r="C636" i="71"/>
  <c r="D525" i="71"/>
  <c r="C525" i="71" s="1"/>
  <c r="H520" i="71"/>
  <c r="G520" i="71"/>
  <c r="F520" i="71"/>
  <c r="C524" i="71"/>
  <c r="C633" i="71" l="1"/>
  <c r="D52" i="71"/>
  <c r="E50" i="71" l="1"/>
  <c r="F50" i="71"/>
  <c r="G50" i="71"/>
  <c r="H50" i="71"/>
  <c r="D50" i="71"/>
  <c r="E42" i="71"/>
  <c r="F42" i="71"/>
  <c r="G42" i="71"/>
  <c r="H42" i="71"/>
  <c r="D42" i="71"/>
  <c r="C51" i="71"/>
  <c r="C52" i="71"/>
  <c r="C53" i="71"/>
  <c r="C54" i="71"/>
  <c r="C43" i="71"/>
  <c r="C44" i="71"/>
  <c r="C45" i="71"/>
  <c r="C46" i="71"/>
  <c r="C35" i="71"/>
  <c r="C50" i="71" l="1"/>
  <c r="C42" i="71"/>
  <c r="F210" i="71"/>
  <c r="F178" i="71" l="1"/>
  <c r="D210" i="71"/>
  <c r="G194" i="71" l="1"/>
  <c r="D232" i="71" l="1"/>
  <c r="D247" i="71" l="1"/>
  <c r="D231" i="71" s="1"/>
  <c r="F294" i="71"/>
  <c r="F286" i="71"/>
  <c r="G106" i="71" l="1"/>
  <c r="G74" i="71" s="1"/>
  <c r="D310" i="71"/>
  <c r="C310" i="71" s="1"/>
  <c r="E254" i="71"/>
  <c r="F254" i="71"/>
  <c r="G254" i="71"/>
  <c r="H254" i="71"/>
  <c r="D255" i="71"/>
  <c r="E255" i="71"/>
  <c r="F255" i="71"/>
  <c r="G255" i="71"/>
  <c r="H255" i="71"/>
  <c r="D256" i="71"/>
  <c r="E256" i="71"/>
  <c r="F256" i="71"/>
  <c r="G256" i="71"/>
  <c r="H256" i="71"/>
  <c r="F253" i="71"/>
  <c r="G253" i="71"/>
  <c r="H253" i="71"/>
  <c r="D253" i="71"/>
  <c r="E308" i="71"/>
  <c r="F308" i="71"/>
  <c r="G308" i="71"/>
  <c r="H308" i="71"/>
  <c r="C309" i="71"/>
  <c r="C311" i="71"/>
  <c r="C312" i="71"/>
  <c r="D308" i="71" l="1"/>
  <c r="C308" i="71" s="1"/>
  <c r="D129" i="71"/>
  <c r="D153" i="71"/>
  <c r="D145" i="71"/>
  <c r="D73" i="71" l="1"/>
  <c r="C1070" i="71"/>
  <c r="D332" i="71" l="1"/>
  <c r="D530" i="71"/>
  <c r="D521" i="71" s="1"/>
  <c r="D130" i="71" l="1"/>
  <c r="E1004" i="71" l="1"/>
  <c r="D1003" i="71"/>
  <c r="D920" i="71"/>
  <c r="D919" i="71"/>
  <c r="E341" i="71"/>
  <c r="E1110" i="71" s="1"/>
  <c r="F341" i="71"/>
  <c r="F1110" i="71" s="1"/>
  <c r="G341" i="71"/>
  <c r="G1110" i="71" s="1"/>
  <c r="H341" i="71"/>
  <c r="H1110" i="71" s="1"/>
  <c r="D315" i="71"/>
  <c r="E202" i="71" l="1"/>
  <c r="E74" i="71" s="1"/>
  <c r="C204" i="71"/>
  <c r="C203" i="71"/>
  <c r="C201" i="71"/>
  <c r="H200" i="71"/>
  <c r="G200" i="71"/>
  <c r="F200" i="71"/>
  <c r="D200" i="71"/>
  <c r="D411" i="71"/>
  <c r="D403" i="71"/>
  <c r="E200" i="71" l="1"/>
  <c r="C202" i="71"/>
  <c r="C200" i="71" s="1"/>
  <c r="C413" i="71"/>
  <c r="C412" i="71"/>
  <c r="C411" i="71"/>
  <c r="C410" i="71"/>
  <c r="H409" i="71"/>
  <c r="G409" i="71"/>
  <c r="F409" i="71"/>
  <c r="E409" i="71"/>
  <c r="D409" i="71"/>
  <c r="C405" i="71"/>
  <c r="C404" i="71"/>
  <c r="C403" i="71"/>
  <c r="C402" i="71"/>
  <c r="H401" i="71"/>
  <c r="G401" i="71"/>
  <c r="F401" i="71"/>
  <c r="E401" i="71"/>
  <c r="D401" i="71"/>
  <c r="C409" i="71" l="1"/>
  <c r="C401" i="71"/>
  <c r="D539" i="71" l="1"/>
  <c r="D522" i="71" s="1"/>
  <c r="D520" i="71" l="1"/>
  <c r="D379" i="71"/>
  <c r="D338" i="71" s="1"/>
  <c r="D226" i="71" l="1"/>
  <c r="C228" i="71"/>
  <c r="C227" i="71"/>
  <c r="C225" i="71"/>
  <c r="H224" i="71"/>
  <c r="G224" i="71"/>
  <c r="F224" i="71"/>
  <c r="E224" i="71"/>
  <c r="C226" i="71" l="1"/>
  <c r="D74" i="71"/>
  <c r="D224" i="71"/>
  <c r="C224" i="71" s="1"/>
  <c r="E826" i="71" l="1"/>
  <c r="D826" i="71" l="1"/>
  <c r="E850" i="71" l="1"/>
  <c r="E658" i="71" s="1"/>
  <c r="E745" i="71"/>
  <c r="E737" i="71"/>
  <c r="E729" i="71"/>
  <c r="E721" i="71"/>
  <c r="E657" i="71" s="1"/>
  <c r="E656" i="71" l="1"/>
  <c r="C657" i="71"/>
  <c r="D850" i="71"/>
  <c r="C852" i="71"/>
  <c r="C851" i="71"/>
  <c r="C849" i="71"/>
  <c r="H848" i="71"/>
  <c r="G848" i="71"/>
  <c r="F848" i="71"/>
  <c r="E848" i="71"/>
  <c r="C842" i="71"/>
  <c r="C844" i="71"/>
  <c r="C843" i="71"/>
  <c r="C841" i="71"/>
  <c r="H840" i="71"/>
  <c r="G840" i="71"/>
  <c r="F840" i="71"/>
  <c r="E840" i="71"/>
  <c r="C850" i="71" l="1"/>
  <c r="D848" i="71"/>
  <c r="C848" i="71" s="1"/>
  <c r="D840" i="71"/>
  <c r="C840" i="71" s="1"/>
  <c r="C788" i="71" l="1"/>
  <c r="C787" i="71"/>
  <c r="C786" i="71"/>
  <c r="C785" i="71"/>
  <c r="H784" i="71"/>
  <c r="G784" i="71"/>
  <c r="F784" i="71"/>
  <c r="E784" i="71"/>
  <c r="D784" i="71"/>
  <c r="D746" i="71"/>
  <c r="D658" i="71" s="1"/>
  <c r="C784" i="71" l="1"/>
  <c r="C658" i="71" l="1"/>
  <c r="D656" i="71"/>
  <c r="C656" i="71" s="1"/>
  <c r="C462" i="71"/>
  <c r="C461" i="71"/>
  <c r="C459" i="71"/>
  <c r="H458" i="71"/>
  <c r="G458" i="71"/>
  <c r="F458" i="71"/>
  <c r="E458" i="71"/>
  <c r="D254" i="71"/>
  <c r="C302" i="71"/>
  <c r="C304" i="71"/>
  <c r="C303" i="71"/>
  <c r="C301" i="71"/>
  <c r="H300" i="71"/>
  <c r="G300" i="71"/>
  <c r="F300" i="71"/>
  <c r="E300" i="71"/>
  <c r="C220" i="71"/>
  <c r="C219" i="71"/>
  <c r="C217" i="71"/>
  <c r="H216" i="71"/>
  <c r="G216" i="71"/>
  <c r="F216" i="71"/>
  <c r="E216" i="71"/>
  <c r="C218" i="71" l="1"/>
  <c r="D458" i="71"/>
  <c r="C458" i="71" s="1"/>
  <c r="C460" i="71"/>
  <c r="D300" i="71"/>
  <c r="C300" i="71" s="1"/>
  <c r="D216" i="71"/>
  <c r="C216" i="71" s="1"/>
  <c r="D12" i="71"/>
  <c r="C38" i="71"/>
  <c r="C37" i="71"/>
  <c r="H34" i="71"/>
  <c r="G34" i="71"/>
  <c r="F34" i="71"/>
  <c r="E34" i="71"/>
  <c r="C748" i="71"/>
  <c r="C747" i="71"/>
  <c r="C746" i="71"/>
  <c r="C745" i="71"/>
  <c r="H744" i="71"/>
  <c r="G744" i="71"/>
  <c r="F744" i="71"/>
  <c r="E744" i="71"/>
  <c r="C740" i="71"/>
  <c r="C739" i="71"/>
  <c r="C738" i="71"/>
  <c r="D736" i="71"/>
  <c r="C737" i="71"/>
  <c r="H736" i="71"/>
  <c r="G736" i="71"/>
  <c r="F736" i="71"/>
  <c r="E736" i="71"/>
  <c r="C732" i="71"/>
  <c r="C731" i="71"/>
  <c r="C730" i="71"/>
  <c r="D728" i="71"/>
  <c r="H728" i="71"/>
  <c r="G728" i="71"/>
  <c r="F728" i="71"/>
  <c r="E728" i="71"/>
  <c r="D34" i="71" l="1"/>
  <c r="C34" i="71" s="1"/>
  <c r="C729" i="71"/>
  <c r="D744" i="71"/>
  <c r="C744" i="71" s="1"/>
  <c r="C728" i="71"/>
  <c r="C36" i="71"/>
  <c r="C736" i="71"/>
  <c r="C724" i="71" l="1"/>
  <c r="C723" i="71"/>
  <c r="C722" i="71"/>
  <c r="C721" i="71"/>
  <c r="H720" i="71"/>
  <c r="G720" i="71"/>
  <c r="F720" i="71"/>
  <c r="E720" i="71"/>
  <c r="D720" i="71"/>
  <c r="C720" i="71" l="1"/>
  <c r="C692" i="71"/>
  <c r="C691" i="71"/>
  <c r="C690" i="71"/>
  <c r="C689" i="71"/>
  <c r="H688" i="71"/>
  <c r="G688" i="71"/>
  <c r="F688" i="71"/>
  <c r="E688" i="71"/>
  <c r="D688" i="71" l="1"/>
  <c r="C688" i="71" s="1"/>
  <c r="D1087" i="71"/>
  <c r="D1079" i="71" s="1"/>
  <c r="D1086" i="71"/>
  <c r="C1086" i="71" s="1"/>
  <c r="E1077" i="71"/>
  <c r="F1077" i="71"/>
  <c r="G1077" i="71"/>
  <c r="H1077" i="71"/>
  <c r="E1078" i="71"/>
  <c r="F1078" i="71"/>
  <c r="G1078" i="71"/>
  <c r="H1078" i="71"/>
  <c r="E1079" i="71"/>
  <c r="F1079" i="71"/>
  <c r="G1079" i="71"/>
  <c r="H1079" i="71"/>
  <c r="E1080" i="71"/>
  <c r="F1080" i="71"/>
  <c r="G1080" i="71"/>
  <c r="H1080" i="71"/>
  <c r="D1080" i="71"/>
  <c r="D1077" i="71"/>
  <c r="E1084" i="71"/>
  <c r="F1084" i="71"/>
  <c r="G1084" i="71"/>
  <c r="H1084" i="71"/>
  <c r="C1085" i="71"/>
  <c r="C1088" i="71"/>
  <c r="D1078" i="71" l="1"/>
  <c r="D1084" i="71"/>
  <c r="C1084" i="71" s="1"/>
  <c r="C1087" i="71"/>
  <c r="E1069" i="71"/>
  <c r="F1069" i="71"/>
  <c r="G1069" i="71"/>
  <c r="H1069" i="71"/>
  <c r="C1071" i="71"/>
  <c r="C1073" i="71"/>
  <c r="C1074" i="71"/>
  <c r="C1072" i="71" l="1"/>
  <c r="D1069" i="71"/>
  <c r="C1069" i="71" s="1"/>
  <c r="C1063" i="71"/>
  <c r="E1107" i="71"/>
  <c r="F1107" i="71"/>
  <c r="G1107" i="71"/>
  <c r="H1107" i="71"/>
  <c r="C1061" i="71"/>
  <c r="D1054" i="71"/>
  <c r="C1055" i="71"/>
  <c r="D1107" i="71" l="1"/>
  <c r="C1107" i="71" s="1"/>
  <c r="F1060" i="71" l="1"/>
  <c r="E1060" i="71"/>
  <c r="G1060" i="71"/>
  <c r="H1060" i="71"/>
  <c r="D1060" i="71"/>
  <c r="C1065" i="71"/>
  <c r="C1064" i="71"/>
  <c r="C1062" i="71"/>
  <c r="C1060" i="71" l="1"/>
  <c r="F948" i="71"/>
  <c r="E948" i="71"/>
  <c r="C950" i="71" l="1"/>
  <c r="D948" i="71"/>
  <c r="D921" i="71"/>
  <c r="E919" i="71" l="1"/>
  <c r="F919" i="71"/>
  <c r="G919" i="71"/>
  <c r="H919" i="71"/>
  <c r="E920" i="71"/>
  <c r="F920" i="71"/>
  <c r="G920" i="71"/>
  <c r="H920" i="71"/>
  <c r="E921" i="71"/>
  <c r="F921" i="71"/>
  <c r="G921" i="71"/>
  <c r="H921" i="71"/>
  <c r="E922" i="71"/>
  <c r="F922" i="71"/>
  <c r="G922" i="71"/>
  <c r="H922" i="71"/>
  <c r="D922" i="71"/>
  <c r="C946" i="71"/>
  <c r="C945" i="71"/>
  <c r="C944" i="71"/>
  <c r="C943" i="71"/>
  <c r="H942" i="71"/>
  <c r="G942" i="71"/>
  <c r="F942" i="71"/>
  <c r="E942" i="71"/>
  <c r="D942" i="71"/>
  <c r="D918" i="71" l="1"/>
  <c r="C942" i="71"/>
  <c r="C454" i="71"/>
  <c r="C453" i="71"/>
  <c r="C452" i="71"/>
  <c r="C451" i="71"/>
  <c r="H450" i="71"/>
  <c r="G450" i="71"/>
  <c r="F450" i="71"/>
  <c r="E450" i="71"/>
  <c r="D450" i="71"/>
  <c r="C450" i="71" l="1"/>
  <c r="F1010" i="71" l="1"/>
  <c r="D988" i="71"/>
  <c r="E988" i="71"/>
  <c r="F988" i="71"/>
  <c r="D980" i="71"/>
  <c r="E980" i="71"/>
  <c r="F980" i="71"/>
  <c r="D972" i="71"/>
  <c r="E972" i="71"/>
  <c r="F972" i="71"/>
  <c r="D964" i="71"/>
  <c r="E964" i="71"/>
  <c r="F964" i="71"/>
  <c r="D956" i="71"/>
  <c r="E956" i="71"/>
  <c r="F956" i="71"/>
  <c r="E934" i="71"/>
  <c r="F934" i="71"/>
  <c r="E926" i="71"/>
  <c r="F926" i="71"/>
  <c r="F832" i="71"/>
  <c r="F824" i="71"/>
  <c r="F816" i="71"/>
  <c r="E816" i="71"/>
  <c r="D816" i="71"/>
  <c r="F808" i="71"/>
  <c r="E808" i="71"/>
  <c r="D808" i="71"/>
  <c r="F800" i="71"/>
  <c r="E800" i="71"/>
  <c r="D800" i="71"/>
  <c r="F792" i="71"/>
  <c r="E792" i="71"/>
  <c r="D792" i="71"/>
  <c r="F776" i="71"/>
  <c r="E776" i="71"/>
  <c r="D776" i="71"/>
  <c r="F768" i="71"/>
  <c r="E768" i="71"/>
  <c r="D768" i="71"/>
  <c r="F760" i="71"/>
  <c r="E760" i="71"/>
  <c r="D760" i="71"/>
  <c r="F752" i="71"/>
  <c r="E752" i="71"/>
  <c r="D752" i="71"/>
  <c r="F712" i="71"/>
  <c r="E712" i="71"/>
  <c r="D712" i="71"/>
  <c r="F704" i="71"/>
  <c r="E704" i="71"/>
  <c r="D704" i="71"/>
  <c r="D696" i="71"/>
  <c r="E696" i="71"/>
  <c r="F696" i="71"/>
  <c r="E680" i="71"/>
  <c r="F680" i="71"/>
  <c r="E672" i="71"/>
  <c r="F672" i="71"/>
  <c r="D664" i="71"/>
  <c r="E664" i="71"/>
  <c r="F664" i="71"/>
  <c r="D625" i="71"/>
  <c r="E625" i="71"/>
  <c r="F625" i="71"/>
  <c r="D617" i="71"/>
  <c r="E617" i="71"/>
  <c r="F617" i="71"/>
  <c r="D609" i="71"/>
  <c r="E609" i="71"/>
  <c r="F609" i="71"/>
  <c r="D601" i="71"/>
  <c r="E601" i="71"/>
  <c r="F601" i="71"/>
  <c r="D585" i="71"/>
  <c r="E585" i="71"/>
  <c r="F585" i="71"/>
  <c r="D577" i="71"/>
  <c r="E577" i="71"/>
  <c r="F577" i="71"/>
  <c r="D569" i="71"/>
  <c r="E569" i="71"/>
  <c r="F569" i="71"/>
  <c r="F561" i="71"/>
  <c r="D553" i="71"/>
  <c r="E553" i="71"/>
  <c r="F553" i="71"/>
  <c r="F545" i="71"/>
  <c r="F537" i="71"/>
  <c r="E529" i="71"/>
  <c r="F529" i="71"/>
  <c r="F442" i="71"/>
  <c r="E425" i="71"/>
  <c r="F425" i="71"/>
  <c r="E385" i="71"/>
  <c r="F385" i="71"/>
  <c r="E369" i="71"/>
  <c r="F369" i="71"/>
  <c r="E361" i="71"/>
  <c r="F361" i="71"/>
  <c r="E353" i="71"/>
  <c r="F353" i="71"/>
  <c r="E345" i="71"/>
  <c r="F345" i="71"/>
  <c r="F330" i="71"/>
  <c r="E322" i="71"/>
  <c r="F322" i="71"/>
  <c r="E276" i="71"/>
  <c r="F276" i="71"/>
  <c r="F268" i="71"/>
  <c r="E260" i="71"/>
  <c r="F260" i="71"/>
  <c r="E246" i="71"/>
  <c r="F246" i="71"/>
  <c r="E238" i="71"/>
  <c r="F238" i="71"/>
  <c r="E128" i="71"/>
  <c r="F128" i="71"/>
  <c r="F120" i="71"/>
  <c r="F112" i="71"/>
  <c r="E104" i="71"/>
  <c r="F104" i="71"/>
  <c r="E96" i="71"/>
  <c r="E88" i="71"/>
  <c r="E80" i="71"/>
  <c r="E26" i="71"/>
  <c r="F26" i="71"/>
  <c r="E18" i="71"/>
  <c r="F18" i="71"/>
  <c r="D593" i="71"/>
  <c r="E593" i="71"/>
  <c r="F593" i="71"/>
  <c r="E136" i="71"/>
  <c r="F136" i="71"/>
  <c r="E144" i="71"/>
  <c r="F144" i="71"/>
  <c r="E152" i="71"/>
  <c r="F152" i="71"/>
  <c r="E184" i="71"/>
  <c r="F184" i="71"/>
  <c r="E168" i="71"/>
  <c r="F160" i="71"/>
  <c r="C185" i="71" l="1"/>
  <c r="C186" i="71"/>
  <c r="C187" i="71"/>
  <c r="C188" i="71"/>
  <c r="D433" i="71" l="1"/>
  <c r="E1047" i="71" l="1"/>
  <c r="F1047" i="71"/>
  <c r="G1047" i="71"/>
  <c r="H1047" i="71"/>
  <c r="E1048" i="71"/>
  <c r="F1048" i="71"/>
  <c r="G1048" i="71"/>
  <c r="H1048" i="71"/>
  <c r="E1049" i="71"/>
  <c r="F1049" i="71"/>
  <c r="G1049" i="71"/>
  <c r="H1049" i="71"/>
  <c r="E1050" i="71"/>
  <c r="F1050" i="71"/>
  <c r="G1050" i="71"/>
  <c r="H1050" i="71"/>
  <c r="D1048" i="71"/>
  <c r="D1049" i="71"/>
  <c r="D1050" i="71"/>
  <c r="D1047" i="71"/>
  <c r="D1105" i="71" s="1"/>
  <c r="D341" i="71"/>
  <c r="D1110" i="71" l="1"/>
  <c r="C1110" i="71" s="1"/>
  <c r="D336" i="71"/>
  <c r="C340" i="71"/>
  <c r="C1058" i="71"/>
  <c r="C1057" i="71"/>
  <c r="C1056" i="71"/>
  <c r="H1054" i="71"/>
  <c r="G1054" i="71"/>
  <c r="F1054" i="71"/>
  <c r="E1054" i="71"/>
  <c r="F1032" i="71"/>
  <c r="C1035" i="71"/>
  <c r="C1034" i="71"/>
  <c r="H1032" i="71"/>
  <c r="G1032" i="71"/>
  <c r="E1032" i="71"/>
  <c r="C296" i="71"/>
  <c r="C295" i="71"/>
  <c r="C294" i="71"/>
  <c r="C293" i="71"/>
  <c r="H292" i="71"/>
  <c r="G292" i="71"/>
  <c r="F292" i="71"/>
  <c r="E292" i="71"/>
  <c r="D292" i="71"/>
  <c r="E284" i="71"/>
  <c r="F284" i="71"/>
  <c r="G284" i="71"/>
  <c r="C288" i="71"/>
  <c r="C287" i="71"/>
  <c r="C286" i="71"/>
  <c r="C285" i="71"/>
  <c r="H284" i="71"/>
  <c r="D284" i="71"/>
  <c r="C421" i="71"/>
  <c r="C420" i="71"/>
  <c r="C419" i="71"/>
  <c r="C418" i="71"/>
  <c r="H417" i="71"/>
  <c r="G417" i="71"/>
  <c r="F417" i="71"/>
  <c r="E417" i="71"/>
  <c r="D417" i="71"/>
  <c r="C1032" i="71" l="1"/>
  <c r="C1054" i="71"/>
  <c r="C417" i="71"/>
  <c r="C1028" i="71"/>
  <c r="H1046" i="71"/>
  <c r="E1046" i="71"/>
  <c r="F1046" i="71"/>
  <c r="G1046" i="71"/>
  <c r="C1050" i="71"/>
  <c r="C292" i="71"/>
  <c r="D1046" i="71"/>
  <c r="C1049" i="71"/>
  <c r="C1048" i="71"/>
  <c r="C1047" i="71"/>
  <c r="C1027" i="71"/>
  <c r="C284" i="71"/>
  <c r="E832" i="71"/>
  <c r="C212" i="71"/>
  <c r="C211" i="71"/>
  <c r="C210" i="71"/>
  <c r="C209" i="71"/>
  <c r="H208" i="71"/>
  <c r="G208" i="71"/>
  <c r="F208" i="71"/>
  <c r="E208" i="71"/>
  <c r="D208" i="71"/>
  <c r="D192" i="71"/>
  <c r="C1046" i="71" l="1"/>
  <c r="E72" i="71"/>
  <c r="C208" i="71"/>
  <c r="C196" i="71"/>
  <c r="C195" i="71"/>
  <c r="C194" i="71"/>
  <c r="C193" i="71"/>
  <c r="H192" i="71"/>
  <c r="G192" i="71"/>
  <c r="F192" i="71"/>
  <c r="E192" i="71"/>
  <c r="C192" i="71" l="1"/>
  <c r="E176" i="71" l="1"/>
  <c r="F176" i="71"/>
  <c r="G176" i="71"/>
  <c r="H176" i="71"/>
  <c r="E315" i="71" l="1"/>
  <c r="F315" i="71"/>
  <c r="G315" i="71"/>
  <c r="H315" i="71"/>
  <c r="E316" i="71"/>
  <c r="F316" i="71"/>
  <c r="G316" i="71"/>
  <c r="H316" i="71"/>
  <c r="E317" i="71"/>
  <c r="F317" i="71"/>
  <c r="G317" i="71"/>
  <c r="H317" i="71"/>
  <c r="E318" i="71"/>
  <c r="F318" i="71"/>
  <c r="G318" i="71"/>
  <c r="H318" i="71"/>
  <c r="D316" i="71"/>
  <c r="D317" i="71"/>
  <c r="D318" i="71"/>
  <c r="C1019" i="71"/>
  <c r="C1020" i="71"/>
  <c r="C1021" i="71"/>
  <c r="C1022" i="71"/>
  <c r="C1011" i="71"/>
  <c r="C1012" i="71"/>
  <c r="C1013" i="71"/>
  <c r="C1014" i="71"/>
  <c r="C997" i="71"/>
  <c r="C998" i="71"/>
  <c r="C999" i="71"/>
  <c r="C1000" i="71"/>
  <c r="C992" i="71"/>
  <c r="C989" i="71"/>
  <c r="C990" i="71"/>
  <c r="C991" i="71"/>
  <c r="C981" i="71"/>
  <c r="C982" i="71"/>
  <c r="C983" i="71"/>
  <c r="C984" i="71"/>
  <c r="C973" i="71"/>
  <c r="C974" i="71"/>
  <c r="C975" i="71"/>
  <c r="C976" i="71"/>
  <c r="C965" i="71"/>
  <c r="C966" i="71"/>
  <c r="C967" i="71"/>
  <c r="C968" i="71"/>
  <c r="C957" i="71"/>
  <c r="C958" i="71"/>
  <c r="C959" i="71"/>
  <c r="C960" i="71"/>
  <c r="C935" i="71"/>
  <c r="C936" i="71"/>
  <c r="C937" i="71"/>
  <c r="C938" i="71"/>
  <c r="C927" i="71"/>
  <c r="C928" i="71"/>
  <c r="C929" i="71"/>
  <c r="C930" i="71"/>
  <c r="C833" i="71"/>
  <c r="C834" i="71"/>
  <c r="C835" i="71"/>
  <c r="C836" i="71"/>
  <c r="C817" i="71"/>
  <c r="C818" i="71"/>
  <c r="C819" i="71"/>
  <c r="C820" i="71"/>
  <c r="C809" i="71"/>
  <c r="C810" i="71"/>
  <c r="C811" i="71"/>
  <c r="C812" i="71"/>
  <c r="C801" i="71"/>
  <c r="C802" i="71"/>
  <c r="C803" i="71"/>
  <c r="C804" i="71"/>
  <c r="C793" i="71"/>
  <c r="C794" i="71"/>
  <c r="C795" i="71"/>
  <c r="C796" i="71"/>
  <c r="C777" i="71"/>
  <c r="C778" i="71"/>
  <c r="C779" i="71"/>
  <c r="C780" i="71"/>
  <c r="C769" i="71"/>
  <c r="C770" i="71"/>
  <c r="C771" i="71"/>
  <c r="C772" i="71"/>
  <c r="C761" i="71"/>
  <c r="C762" i="71"/>
  <c r="C763" i="71"/>
  <c r="C764" i="71"/>
  <c r="C753" i="71"/>
  <c r="C754" i="71"/>
  <c r="C755" i="71"/>
  <c r="C756" i="71"/>
  <c r="C713" i="71"/>
  <c r="C714" i="71"/>
  <c r="C715" i="71"/>
  <c r="C716" i="71"/>
  <c r="C705" i="71"/>
  <c r="C706" i="71"/>
  <c r="C707" i="71"/>
  <c r="C708" i="71"/>
  <c r="C697" i="71"/>
  <c r="C698" i="71"/>
  <c r="C699" i="71"/>
  <c r="C700" i="71"/>
  <c r="C825" i="71"/>
  <c r="C827" i="71"/>
  <c r="C828" i="71"/>
  <c r="C665" i="71"/>
  <c r="C666" i="71"/>
  <c r="C667" i="71"/>
  <c r="C668" i="71"/>
  <c r="C681" i="71"/>
  <c r="C682" i="71"/>
  <c r="C683" i="71"/>
  <c r="C684" i="71"/>
  <c r="C673" i="71"/>
  <c r="C674" i="71"/>
  <c r="C675" i="71"/>
  <c r="C676" i="71"/>
  <c r="C626" i="71"/>
  <c r="C627" i="71"/>
  <c r="C628" i="71"/>
  <c r="C629" i="71"/>
  <c r="C618" i="71"/>
  <c r="C619" i="71"/>
  <c r="C620" i="71"/>
  <c r="C621" i="71"/>
  <c r="C610" i="71"/>
  <c r="C611" i="71"/>
  <c r="C612" i="71"/>
  <c r="C613" i="71"/>
  <c r="C602" i="71"/>
  <c r="C603" i="71"/>
  <c r="C604" i="71"/>
  <c r="C605" i="71"/>
  <c r="C594" i="71"/>
  <c r="C595" i="71"/>
  <c r="C596" i="71"/>
  <c r="C597" i="71"/>
  <c r="C586" i="71"/>
  <c r="C587" i="71"/>
  <c r="C588" i="71"/>
  <c r="C589" i="71"/>
  <c r="C578" i="71"/>
  <c r="C579" i="71"/>
  <c r="C580" i="71"/>
  <c r="C581" i="71"/>
  <c r="C570" i="71"/>
  <c r="C571" i="71"/>
  <c r="C572" i="71"/>
  <c r="C573" i="71"/>
  <c r="C920" i="71" l="1"/>
  <c r="C922" i="71"/>
  <c r="C921" i="71"/>
  <c r="C919" i="71"/>
  <c r="C562" i="71"/>
  <c r="C564" i="71"/>
  <c r="C565" i="71"/>
  <c r="C554" i="71"/>
  <c r="C555" i="71"/>
  <c r="C556" i="71"/>
  <c r="C557" i="71"/>
  <c r="C546" i="71"/>
  <c r="C547" i="71"/>
  <c r="C548" i="71"/>
  <c r="C549" i="71"/>
  <c r="C538" i="71"/>
  <c r="C540" i="71"/>
  <c r="C541" i="71"/>
  <c r="C530" i="71"/>
  <c r="C531" i="71"/>
  <c r="C532" i="71"/>
  <c r="C533" i="71"/>
  <c r="C443" i="71"/>
  <c r="C444" i="71"/>
  <c r="C445" i="71"/>
  <c r="C446" i="71"/>
  <c r="C434" i="71"/>
  <c r="C435" i="71"/>
  <c r="C436" i="71"/>
  <c r="C438" i="71"/>
  <c r="C426" i="71"/>
  <c r="C427" i="71"/>
  <c r="C428" i="71"/>
  <c r="C429" i="71"/>
  <c r="C394" i="71"/>
  <c r="C395" i="71"/>
  <c r="C396" i="71"/>
  <c r="C397" i="71"/>
  <c r="C386" i="71"/>
  <c r="C387" i="71"/>
  <c r="C388" i="71"/>
  <c r="C389" i="71"/>
  <c r="C378" i="71"/>
  <c r="C379" i="71"/>
  <c r="C380" i="71"/>
  <c r="C381" i="71"/>
  <c r="C370" i="71"/>
  <c r="C371" i="71"/>
  <c r="C372" i="71"/>
  <c r="C373" i="71"/>
  <c r="C362" i="71"/>
  <c r="C363" i="71"/>
  <c r="C364" i="71"/>
  <c r="C365" i="71"/>
  <c r="C354" i="71"/>
  <c r="C355" i="71"/>
  <c r="C356" i="71"/>
  <c r="C357" i="71"/>
  <c r="C346" i="71"/>
  <c r="C347" i="71"/>
  <c r="C348" i="71"/>
  <c r="C349" i="71"/>
  <c r="C331" i="71"/>
  <c r="C332" i="71"/>
  <c r="C333" i="71"/>
  <c r="C334" i="71"/>
  <c r="C323" i="71"/>
  <c r="C324" i="71"/>
  <c r="C325" i="71"/>
  <c r="C326" i="71"/>
  <c r="C277" i="71"/>
  <c r="C278" i="71"/>
  <c r="C279" i="71"/>
  <c r="C280" i="71"/>
  <c r="C270" i="71"/>
  <c r="C271" i="71"/>
  <c r="C272" i="71"/>
  <c r="C261" i="71"/>
  <c r="C262" i="71"/>
  <c r="C263" i="71"/>
  <c r="C264" i="71"/>
  <c r="C247" i="71"/>
  <c r="C248" i="71"/>
  <c r="C249" i="71"/>
  <c r="C250" i="71"/>
  <c r="C239" i="71"/>
  <c r="C240" i="71"/>
  <c r="C241" i="71"/>
  <c r="C242" i="71"/>
  <c r="C177" i="71"/>
  <c r="C178" i="71"/>
  <c r="C179" i="71"/>
  <c r="C180" i="71"/>
  <c r="C169" i="71"/>
  <c r="C170" i="71"/>
  <c r="C171" i="71"/>
  <c r="C172" i="71"/>
  <c r="C161" i="71"/>
  <c r="C162" i="71"/>
  <c r="C163" i="71"/>
  <c r="C164" i="71"/>
  <c r="C153" i="71"/>
  <c r="C154" i="71"/>
  <c r="C155" i="71"/>
  <c r="C156" i="71"/>
  <c r="C145" i="71"/>
  <c r="C146" i="71"/>
  <c r="C147" i="71"/>
  <c r="C148" i="71"/>
  <c r="C137" i="71"/>
  <c r="C138" i="71"/>
  <c r="C139" i="71"/>
  <c r="C140" i="71"/>
  <c r="C105" i="71"/>
  <c r="C106" i="71"/>
  <c r="C107" i="71"/>
  <c r="C108" i="71"/>
  <c r="C129" i="71"/>
  <c r="C130" i="71"/>
  <c r="C131" i="71"/>
  <c r="C132" i="71"/>
  <c r="C121" i="71"/>
  <c r="C122" i="71"/>
  <c r="C123" i="71"/>
  <c r="C124" i="71"/>
  <c r="C113" i="71"/>
  <c r="C114" i="71"/>
  <c r="C115" i="71"/>
  <c r="C116" i="71"/>
  <c r="C97" i="71"/>
  <c r="C99" i="71"/>
  <c r="C100" i="71"/>
  <c r="C89" i="71"/>
  <c r="C90" i="71"/>
  <c r="C91" i="71"/>
  <c r="C92" i="71"/>
  <c r="C81" i="71"/>
  <c r="C82" i="71"/>
  <c r="C83" i="71"/>
  <c r="C84" i="71"/>
  <c r="C27" i="71"/>
  <c r="C28" i="71"/>
  <c r="C29" i="71"/>
  <c r="C30" i="71"/>
  <c r="C19" i="71"/>
  <c r="C20" i="71"/>
  <c r="C21" i="71"/>
  <c r="C22" i="71"/>
  <c r="D1076" i="71" l="1"/>
  <c r="D1004" i="71"/>
  <c r="D1106" i="71" s="1"/>
  <c r="D1005" i="71"/>
  <c r="D1108" i="71" s="1"/>
  <c r="D1006" i="71"/>
  <c r="D1109" i="71" s="1"/>
  <c r="F98" i="71"/>
  <c r="F74" i="71" s="1"/>
  <c r="F88" i="71"/>
  <c r="F80" i="71"/>
  <c r="F168" i="71"/>
  <c r="F377" i="71"/>
  <c r="E545" i="71"/>
  <c r="F433" i="71"/>
  <c r="E433" i="71"/>
  <c r="E1003" i="71"/>
  <c r="F1003" i="71"/>
  <c r="F1105" i="71" s="1"/>
  <c r="F1004" i="71"/>
  <c r="E1005" i="71"/>
  <c r="E1108" i="71" s="1"/>
  <c r="F1005" i="71"/>
  <c r="F1108" i="71" s="1"/>
  <c r="E1006" i="71"/>
  <c r="E1109" i="71" s="1"/>
  <c r="F1006" i="71"/>
  <c r="F1109" i="71" s="1"/>
  <c r="F1018" i="71"/>
  <c r="E1018" i="71"/>
  <c r="E1010" i="71"/>
  <c r="E563" i="71"/>
  <c r="E539" i="71"/>
  <c r="E522" i="71" s="1"/>
  <c r="E393" i="71"/>
  <c r="F393" i="71"/>
  <c r="E377" i="71"/>
  <c r="E330" i="71"/>
  <c r="E269" i="71"/>
  <c r="E253" i="71" s="1"/>
  <c r="E1105" i="71" s="1"/>
  <c r="E160" i="71"/>
  <c r="E112" i="71"/>
  <c r="E120" i="71"/>
  <c r="D1018" i="71"/>
  <c r="D1010" i="71"/>
  <c r="D934" i="71"/>
  <c r="D926" i="71"/>
  <c r="D832" i="71"/>
  <c r="D824" i="71"/>
  <c r="D680" i="71"/>
  <c r="D672" i="71"/>
  <c r="D561" i="71"/>
  <c r="D545" i="71"/>
  <c r="D537" i="71"/>
  <c r="D529" i="71"/>
  <c r="F1106" i="71" l="1"/>
  <c r="E1106" i="71"/>
  <c r="F1076" i="71"/>
  <c r="F1024" i="71"/>
  <c r="D1024" i="71"/>
  <c r="C826" i="71"/>
  <c r="C539" i="71"/>
  <c r="E561" i="71"/>
  <c r="C563" i="71"/>
  <c r="E252" i="71"/>
  <c r="C269" i="71"/>
  <c r="C98" i="71"/>
  <c r="E824" i="71"/>
  <c r="D10" i="71"/>
  <c r="E537" i="71"/>
  <c r="E10" i="71"/>
  <c r="F252" i="71"/>
  <c r="F314" i="71"/>
  <c r="E268" i="71"/>
  <c r="F1002" i="71"/>
  <c r="F918" i="71"/>
  <c r="D72" i="71"/>
  <c r="D252" i="71"/>
  <c r="E314" i="71"/>
  <c r="E1002" i="71"/>
  <c r="F10" i="71"/>
  <c r="D1002" i="71"/>
  <c r="F72" i="71"/>
  <c r="D230" i="71"/>
  <c r="D314" i="71"/>
  <c r="F96" i="71"/>
  <c r="F336" i="71"/>
  <c r="E336" i="71"/>
  <c r="E918" i="71"/>
  <c r="E230" i="71"/>
  <c r="E442" i="71"/>
  <c r="D442" i="71"/>
  <c r="D425" i="71"/>
  <c r="D393" i="71"/>
  <c r="D385" i="71"/>
  <c r="D377" i="71"/>
  <c r="D369" i="71"/>
  <c r="D361" i="71"/>
  <c r="D353" i="71"/>
  <c r="D345" i="71"/>
  <c r="D330" i="71"/>
  <c r="D322" i="71"/>
  <c r="D276" i="71"/>
  <c r="D268" i="71"/>
  <c r="D260" i="71"/>
  <c r="D246" i="71"/>
  <c r="D238" i="71"/>
  <c r="D184" i="71"/>
  <c r="D176" i="71"/>
  <c r="D168" i="71"/>
  <c r="D160" i="71"/>
  <c r="D152" i="71"/>
  <c r="D144" i="71"/>
  <c r="D136" i="71"/>
  <c r="D128" i="71"/>
  <c r="D120" i="71"/>
  <c r="D112" i="71"/>
  <c r="D104" i="71"/>
  <c r="D96" i="71"/>
  <c r="D88" i="71"/>
  <c r="D80" i="71"/>
  <c r="D26" i="71"/>
  <c r="D18" i="71"/>
  <c r="E520" i="71" l="1"/>
  <c r="D1104" i="71"/>
  <c r="F1104" i="71"/>
  <c r="E1024" i="71"/>
  <c r="E1104" i="71"/>
  <c r="C14" i="71"/>
  <c r="C13" i="71"/>
  <c r="C11" i="71"/>
  <c r="E1076" i="71" l="1"/>
  <c r="C12" i="71"/>
  <c r="H10" i="71"/>
  <c r="G10" i="71"/>
  <c r="C10" i="71" l="1"/>
  <c r="C76" i="71" l="1"/>
  <c r="C75" i="71"/>
  <c r="C74" i="71"/>
  <c r="C73" i="71"/>
  <c r="C338" i="71" l="1"/>
  <c r="C341" i="71" l="1"/>
  <c r="C339" i="71"/>
  <c r="H1006" i="71" l="1"/>
  <c r="H1109" i="71" s="1"/>
  <c r="G1006" i="71"/>
  <c r="G1109" i="71" s="1"/>
  <c r="H1005" i="71"/>
  <c r="H1108" i="71" s="1"/>
  <c r="G1005" i="71"/>
  <c r="G1108" i="71" s="1"/>
  <c r="H1004" i="71"/>
  <c r="H1106" i="71" s="1"/>
  <c r="G1004" i="71"/>
  <c r="G1106" i="71" s="1"/>
  <c r="H1003" i="71"/>
  <c r="H1105" i="71" s="1"/>
  <c r="G1003" i="71"/>
  <c r="G1105" i="71" s="1"/>
  <c r="C1079" i="71" l="1"/>
  <c r="C1108" i="71"/>
  <c r="C1080" i="71"/>
  <c r="C1078" i="71"/>
  <c r="C1106" i="71"/>
  <c r="G1076" i="71"/>
  <c r="C1077" i="71"/>
  <c r="H1076" i="71"/>
  <c r="H1024" i="71"/>
  <c r="C1025" i="71"/>
  <c r="G1024" i="71"/>
  <c r="C1004" i="71"/>
  <c r="C1005" i="71"/>
  <c r="C1003" i="71"/>
  <c r="C1006" i="71"/>
  <c r="H1018" i="71"/>
  <c r="G1018" i="71"/>
  <c r="H1010" i="71"/>
  <c r="G1010" i="71"/>
  <c r="H996" i="71"/>
  <c r="G996" i="71"/>
  <c r="H988" i="71"/>
  <c r="G988" i="71"/>
  <c r="H980" i="71"/>
  <c r="G980" i="71"/>
  <c r="H972" i="71"/>
  <c r="G972" i="71"/>
  <c r="H964" i="71"/>
  <c r="G964" i="71"/>
  <c r="H956" i="71"/>
  <c r="G956" i="71"/>
  <c r="C952" i="71"/>
  <c r="C951" i="71"/>
  <c r="C949" i="71"/>
  <c r="H934" i="71"/>
  <c r="G934" i="71"/>
  <c r="H926" i="71"/>
  <c r="G926" i="71"/>
  <c r="H832" i="71"/>
  <c r="G832" i="71"/>
  <c r="H824" i="71"/>
  <c r="G824" i="71"/>
  <c r="H816" i="71"/>
  <c r="G816" i="71"/>
  <c r="H808" i="71"/>
  <c r="G808" i="71"/>
  <c r="H800" i="71"/>
  <c r="G800" i="71"/>
  <c r="H792" i="71"/>
  <c r="G792" i="71"/>
  <c r="H776" i="71"/>
  <c r="G776" i="71"/>
  <c r="H768" i="71"/>
  <c r="G768" i="71"/>
  <c r="H760" i="71"/>
  <c r="G760" i="71"/>
  <c r="H752" i="71"/>
  <c r="G752" i="71"/>
  <c r="H712" i="71"/>
  <c r="G712" i="71"/>
  <c r="H704" i="71"/>
  <c r="G704" i="71"/>
  <c r="H696" i="71"/>
  <c r="G696" i="71"/>
  <c r="H680" i="71"/>
  <c r="G680" i="71"/>
  <c r="H672" i="71"/>
  <c r="G672" i="71"/>
  <c r="H664" i="71"/>
  <c r="G664" i="71"/>
  <c r="H625" i="71"/>
  <c r="G625" i="71"/>
  <c r="H617" i="71"/>
  <c r="G617" i="71"/>
  <c r="H609" i="71"/>
  <c r="G609" i="71"/>
  <c r="H601" i="71"/>
  <c r="G601" i="71"/>
  <c r="H593" i="71"/>
  <c r="G593" i="71"/>
  <c r="H585" i="71"/>
  <c r="G585" i="71"/>
  <c r="H577" i="71"/>
  <c r="G577" i="71"/>
  <c r="H569" i="71"/>
  <c r="G569" i="71"/>
  <c r="H561" i="71"/>
  <c r="G561" i="71"/>
  <c r="H553" i="71"/>
  <c r="G553" i="71"/>
  <c r="H545" i="71"/>
  <c r="G545" i="71"/>
  <c r="H537" i="71"/>
  <c r="H529" i="71"/>
  <c r="G529" i="71"/>
  <c r="C523" i="71"/>
  <c r="C522" i="71"/>
  <c r="C521" i="71"/>
  <c r="H442" i="71"/>
  <c r="G442" i="71"/>
  <c r="H433" i="71"/>
  <c r="G433" i="71"/>
  <c r="H425" i="71"/>
  <c r="G425" i="71"/>
  <c r="H393" i="71"/>
  <c r="G393" i="71"/>
  <c r="H385" i="71"/>
  <c r="G385" i="71"/>
  <c r="H377" i="71"/>
  <c r="G377" i="71"/>
  <c r="H369" i="71"/>
  <c r="G369" i="71"/>
  <c r="H361" i="71"/>
  <c r="G361" i="71"/>
  <c r="H353" i="71"/>
  <c r="G353" i="71"/>
  <c r="H345" i="71"/>
  <c r="G345" i="71"/>
  <c r="H330" i="71"/>
  <c r="G330" i="71"/>
  <c r="H322" i="71"/>
  <c r="G322" i="71"/>
  <c r="C317" i="71"/>
  <c r="H276" i="71"/>
  <c r="G276" i="71"/>
  <c r="H268" i="71"/>
  <c r="G268" i="71"/>
  <c r="H260" i="71"/>
  <c r="G260" i="71"/>
  <c r="C256" i="71"/>
  <c r="C255" i="71"/>
  <c r="C254" i="71"/>
  <c r="C253" i="71"/>
  <c r="H26" i="71"/>
  <c r="G26" i="71"/>
  <c r="H18" i="71"/>
  <c r="G18" i="71"/>
  <c r="H246" i="71"/>
  <c r="G246" i="71"/>
  <c r="H238" i="71"/>
  <c r="G238" i="71"/>
  <c r="C234" i="71"/>
  <c r="C233" i="71"/>
  <c r="C232" i="71"/>
  <c r="C231" i="71"/>
  <c r="H184" i="71"/>
  <c r="G184" i="71"/>
  <c r="H168" i="71"/>
  <c r="G168" i="71"/>
  <c r="H160" i="71"/>
  <c r="G160" i="71"/>
  <c r="H152" i="71"/>
  <c r="G152" i="71"/>
  <c r="H144" i="71"/>
  <c r="G144" i="71"/>
  <c r="H136" i="71"/>
  <c r="G136" i="71"/>
  <c r="H128" i="71"/>
  <c r="G128" i="71"/>
  <c r="H120" i="71"/>
  <c r="G120" i="71"/>
  <c r="H112" i="71"/>
  <c r="G112" i="71"/>
  <c r="H104" i="71"/>
  <c r="G104" i="71"/>
  <c r="H96" i="71"/>
  <c r="G96" i="71"/>
  <c r="H88" i="71"/>
  <c r="G88" i="71"/>
  <c r="H80" i="71"/>
  <c r="G80" i="71"/>
  <c r="C625" i="71" l="1"/>
  <c r="C1076" i="71"/>
  <c r="C1105" i="71"/>
  <c r="C184" i="71"/>
  <c r="H1104" i="71"/>
  <c r="C1024" i="71"/>
  <c r="C1010" i="71"/>
  <c r="C1026" i="71"/>
  <c r="C1018" i="71"/>
  <c r="C1109" i="71"/>
  <c r="C964" i="71"/>
  <c r="C988" i="71"/>
  <c r="C972" i="71"/>
  <c r="C996" i="71"/>
  <c r="C956" i="71"/>
  <c r="C980" i="71"/>
  <c r="C926" i="71"/>
  <c r="C934" i="71"/>
  <c r="C832" i="71"/>
  <c r="C808" i="71"/>
  <c r="C792" i="71"/>
  <c r="C816" i="71"/>
  <c r="C768" i="71"/>
  <c r="C800" i="71"/>
  <c r="C760" i="71"/>
  <c r="C752" i="71"/>
  <c r="C776" i="71"/>
  <c r="C696" i="71"/>
  <c r="C704" i="71"/>
  <c r="C712" i="71"/>
  <c r="C553" i="71"/>
  <c r="C569" i="71"/>
  <c r="C593" i="71"/>
  <c r="C609" i="71"/>
  <c r="C824" i="71"/>
  <c r="C672" i="71"/>
  <c r="C664" i="71"/>
  <c r="C680" i="71"/>
  <c r="C537" i="71"/>
  <c r="C577" i="71"/>
  <c r="C617" i="71"/>
  <c r="C601" i="71"/>
  <c r="C585" i="71"/>
  <c r="C561" i="71"/>
  <c r="C545" i="71"/>
  <c r="C529" i="71"/>
  <c r="C442" i="71"/>
  <c r="C433" i="71"/>
  <c r="C104" i="71"/>
  <c r="C128" i="71"/>
  <c r="C152" i="71"/>
  <c r="C176" i="71"/>
  <c r="C260" i="71"/>
  <c r="C377" i="71"/>
  <c r="C361" i="71"/>
  <c r="C385" i="71"/>
  <c r="C345" i="71"/>
  <c r="C369" i="71"/>
  <c r="C393" i="71"/>
  <c r="C425" i="71"/>
  <c r="C120" i="71"/>
  <c r="C144" i="71"/>
  <c r="C168" i="71"/>
  <c r="C353" i="71"/>
  <c r="C315" i="71"/>
  <c r="C318" i="71"/>
  <c r="C330" i="71"/>
  <c r="C238" i="71"/>
  <c r="C268" i="71"/>
  <c r="C316" i="71"/>
  <c r="C322" i="71"/>
  <c r="C276" i="71"/>
  <c r="C112" i="71"/>
  <c r="C136" i="71"/>
  <c r="C160" i="71"/>
  <c r="C246" i="71"/>
  <c r="C88" i="71"/>
  <c r="C80" i="71"/>
  <c r="C96" i="71"/>
  <c r="C18" i="71"/>
  <c r="C26" i="71"/>
  <c r="H948" i="71"/>
  <c r="G948" i="71"/>
  <c r="G918" i="71"/>
  <c r="H918" i="71"/>
  <c r="H336" i="71"/>
  <c r="G336" i="71"/>
  <c r="H314" i="71"/>
  <c r="G314" i="71"/>
  <c r="G252" i="71"/>
  <c r="H252" i="71"/>
  <c r="H72" i="71"/>
  <c r="H230" i="71"/>
  <c r="G72" i="71"/>
  <c r="G230" i="71"/>
  <c r="C336" i="71" l="1"/>
  <c r="G1104" i="71"/>
  <c r="C1104" i="71" s="1"/>
  <c r="C314" i="71"/>
  <c r="C948" i="71"/>
  <c r="C918" i="71"/>
  <c r="C520" i="71"/>
  <c r="C252" i="71"/>
  <c r="C72" i="71"/>
  <c r="C230" i="71"/>
  <c r="H1002" i="71" l="1"/>
  <c r="G1002" i="71" l="1"/>
  <c r="C1002" i="71" s="1"/>
</calcChain>
</file>

<file path=xl/sharedStrings.xml><?xml version="1.0" encoding="utf-8"?>
<sst xmlns="http://schemas.openxmlformats.org/spreadsheetml/2006/main" count="2622" uniqueCount="703">
  <si>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</si>
  <si>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</si>
  <si>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</si>
  <si>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</si>
  <si>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</si>
  <si>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</si>
  <si>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</si>
  <si>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</si>
  <si>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</si>
  <si>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</si>
  <si>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</si>
  <si>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</si>
  <si>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</si>
  <si>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2019 год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</si>
  <si>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</si>
  <si>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</si>
  <si>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</si>
  <si>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</si>
  <si>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</si>
  <si>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</si>
  <si>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</si>
  <si>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</si>
  <si>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</si>
  <si>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</si>
  <si>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</si>
  <si>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</si>
  <si>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</si>
  <si>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</si>
  <si>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</si>
  <si>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</si>
  <si>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</si>
  <si>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</si>
  <si>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</si>
  <si>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</si>
  <si>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</si>
  <si>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</si>
  <si>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2021 год, 1 год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</si>
  <si>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</si>
  <si>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</si>
  <si>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</si>
  <si>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</si>
  <si>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</si>
  <si>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Министерство строительства Камчатского края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</si>
  <si>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</si>
  <si>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</si>
  <si>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Агентство по обращению с отходами Камчатского края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</si>
  <si>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</si>
  <si>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</si>
  <si>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</si>
  <si>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</si>
  <si>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2020-2021 годы</t>
  </si>
  <si>
    <t>Государственное унитарное предприятие Камчатского края "Спецтранс"</t>
  </si>
  <si>
    <t>Проектирование и строительство полигона твердых коммунальных отходов в с. Каменское, Пенжинского муниципального района (проектные работы)</t>
  </si>
  <si>
    <t>2025 год</t>
  </si>
  <si>
    <t>2020-2022 годы</t>
  </si>
  <si>
    <t>Пенжинский муниципальный район</t>
  </si>
  <si>
    <t>Проектирование и строительство полигона твердых коммунальных отходов в с. Усть-Хайрюзово, Тигильского муниципального района (проектные работы)</t>
  </si>
  <si>
    <t>Соболевский муниципальный район</t>
  </si>
  <si>
    <t>Проектирование и строительство полигона твердых коммунальных отходов в п. Оссора, Карагинского муниципального района (проектные работы)</t>
  </si>
  <si>
    <t>2022-2023 годы</t>
  </si>
  <si>
    <t>Карагинский муниципальный район</t>
  </si>
  <si>
    <t>Проектирование и строительство полигона твердых коммунальных отходов в Петропавловске-Камчатском городском округе (проектные работы)</t>
  </si>
  <si>
    <t>2027 год</t>
  </si>
  <si>
    <t>2021-2022 годы</t>
  </si>
  <si>
    <t>Проектирование и строительство полигона твердых коммунальных отходов в п. Тиличики, Олюторского муниципального района (проектные работы)</t>
  </si>
  <si>
    <t>Олюторский муниципальный район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</si>
  <si>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</si>
  <si>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</si>
  <si>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</si>
  <si>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</si>
  <si>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Муниципальная</t>
  </si>
  <si>
    <t>Корректировка проектной документации</t>
  </si>
  <si>
    <t>2,7057 км</t>
  </si>
  <si>
    <t>Новолесновское сельское поселение</t>
  </si>
  <si>
    <t>Администрация Новолесновского сельского поселения</t>
  </si>
  <si>
    <t>Вновь начинаемый</t>
  </si>
  <si>
    <t>Разработка проектной документации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</si>
  <si>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</si>
  <si>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</si>
  <si>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Региональная</t>
  </si>
  <si>
    <t>Переходящий</t>
  </si>
  <si>
    <t>2*1665 п.м.</t>
  </si>
  <si>
    <t>2100 п.м.</t>
  </si>
  <si>
    <t>Эссовское сельское поселение</t>
  </si>
  <si>
    <t>Администрация Быстринского муниципального района</t>
  </si>
  <si>
    <t>Эссовское сельское поселение Быстринский муниципальный район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</si>
  <si>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</si>
  <si>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</si>
  <si>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</si>
  <si>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28 575 п.м.</t>
  </si>
  <si>
    <t>Ключевское сельское поселение</t>
  </si>
  <si>
    <t>Администрация Ключевского сельского поселения</t>
  </si>
  <si>
    <t>Усть-Камчатский муниципальный район</t>
  </si>
  <si>
    <t>Сельское поселение "село Пахачи"</t>
  </si>
  <si>
    <t>Администрация сельского поселения "село Пахачи"</t>
  </si>
  <si>
    <t>Сельское поселение "село Усть-Хайрюзово"</t>
  </si>
  <si>
    <t>Администрация сельского поселения "село Усть-Хайрюзово"</t>
  </si>
  <si>
    <t xml:space="preserve"> Строительство очистных сооружений и системы сброса сточных вод в водный объект в селе Пахачи Олюторского района Камчатского края (в том числе разработка проектной документации)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</si>
  <si>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</si>
  <si>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</si>
  <si>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</si>
  <si>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</si>
  <si>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</si>
  <si>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</si>
  <si>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>450 коек/150 посещений в смену</t>
  </si>
  <si>
    <t>КГКУ "Служба заказчика Министерства строительства Камчатского края"</t>
  </si>
  <si>
    <t>2.</t>
  </si>
  <si>
    <t>200 мест</t>
  </si>
  <si>
    <t>260 мест</t>
  </si>
  <si>
    <t>150 мест</t>
  </si>
  <si>
    <t>241 место</t>
  </si>
  <si>
    <t>30 мест</t>
  </si>
  <si>
    <t>3.</t>
  </si>
  <si>
    <t>4.</t>
  </si>
  <si>
    <t>администрации муниципальных образований в Камчатском крае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</si>
  <si>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</si>
  <si>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2018 год</t>
  </si>
  <si>
    <t>5.</t>
  </si>
  <si>
    <t>6.</t>
  </si>
  <si>
    <t>7.</t>
  </si>
  <si>
    <t>8.</t>
  </si>
  <si>
    <t>250 мест 4208,3 м2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</si>
  <si>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</si>
  <si>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</si>
  <si>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</si>
  <si>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</si>
  <si>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</si>
  <si>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</si>
  <si>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11.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</si>
  <si>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</si>
  <si>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 xml:space="preserve"> 2022 год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</si>
  <si>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</si>
  <si>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</si>
  <si>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11 994 770,0 тыс. рублей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</si>
  <si>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</si>
  <si>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</si>
  <si>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Министерство образования и молодежной политики Камчатского края</t>
  </si>
  <si>
    <t>Детский сад на 150 мест в п. Оссора Карагинского района</t>
  </si>
  <si>
    <t xml:space="preserve">Детский сад на 150 мест в с. Соболево Соболевского района </t>
  </si>
  <si>
    <t>307 108,63                  тыс. рублей</t>
  </si>
  <si>
    <t>250 мест</t>
  </si>
  <si>
    <t>Строительство детского сада на 30 мест в с. Ковран Тигильского района</t>
  </si>
  <si>
    <t>257 880,56                     тыс. 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</si>
  <si>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</si>
  <si>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</si>
  <si>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</si>
  <si>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</si>
  <si>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</si>
  <si>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Камчатский театр кукол г. Петропавловск-Камчатский</t>
  </si>
  <si>
    <t>2022 год, 7 лет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</si>
  <si>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</si>
  <si>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</si>
  <si>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</si>
  <si>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</si>
  <si>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</si>
  <si>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</si>
  <si>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</si>
  <si>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Министерство спорта Камчатского края</t>
  </si>
  <si>
    <t>530 012,31 тыс. рублей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</si>
  <si>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</si>
  <si>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</si>
  <si>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</si>
  <si>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</si>
  <si>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</si>
  <si>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</si>
  <si>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</si>
  <si>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</si>
  <si>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 xml:space="preserve">2020 год
                                     </t>
  </si>
  <si>
    <t>7 717,3 м2</t>
  </si>
  <si>
    <t>749 172,46 тыс. рублей</t>
  </si>
  <si>
    <t>746 135,24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</si>
  <si>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</si>
  <si>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</si>
  <si>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2020 год, 2 года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</si>
  <si>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</si>
  <si>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</si>
  <si>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</si>
  <si>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</si>
  <si>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</si>
  <si>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</si>
  <si>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</si>
  <si>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</si>
  <si>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1,096 км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</si>
  <si>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</si>
  <si>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Приобретение грузопассажирских барж грузоподъёмностью 40 тонн</t>
  </si>
  <si>
    <t>250 пассажиров, 1,2 тыс. тонн груза в год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</si>
  <si>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</si>
  <si>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</si>
  <si>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</si>
  <si>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Детский сад на 200 мест в  п. Ключи Усть-Камчатского района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</si>
  <si>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</si>
  <si>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</si>
  <si>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Инвестиционная программа Камчатского края на 2020 год и на плановый период 2021-2022 годов и прогнозный период 2023-2024 годов</t>
  </si>
  <si>
    <t>275 905,99000                   тыс. рублей</t>
  </si>
  <si>
    <t>от 12.11.2017 № 41-1-1-3-0081-17</t>
  </si>
  <si>
    <t>от 30.04.2015 № 41-1-5-0033-15</t>
  </si>
  <si>
    <t>360 000,00 тыс. рублей</t>
  </si>
  <si>
    <t>445 848,03 тыс. рублей</t>
  </si>
  <si>
    <t>160 мест</t>
  </si>
  <si>
    <t>Администрация Вилючинского городского округа</t>
  </si>
  <si>
    <t>1 625 869,68 тыс. рублей</t>
  </si>
  <si>
    <t>156 914,31 тыс. рублей</t>
  </si>
  <si>
    <t>1516 зрительских мест, 74 161 м2</t>
  </si>
  <si>
    <t>Физкультурно-оздоровительный комплекс с плавательным бассейном в г. Петропавловске - Камчатском</t>
  </si>
  <si>
    <t>Региональный спортивно-тренировочный центр по зимним видам спорта у подножия вулкана «Авачинский», Камчатский край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</si>
  <si>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</si>
  <si>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</si>
  <si>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</si>
  <si>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</si>
  <si>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</si>
  <si>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 xml:space="preserve">Многоквартирный жилой дом по ул. Строительная в г. Елизово Камчатского края </t>
  </si>
  <si>
    <t>432 146 тыс. рублей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</si>
  <si>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</si>
  <si>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 xml:space="preserve">     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</si>
  <si>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</si>
  <si>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</si>
  <si>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</si>
  <si>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</si>
  <si>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</si>
  <si>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</si>
  <si>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5,297 км / 303,91 п.м.</t>
  </si>
  <si>
    <t xml:space="preserve">Министерство транспорта и дорожного строительства Камчатского края </t>
  </si>
  <si>
    <t>15,859 км / 79,67 п.м.</t>
  </si>
  <si>
    <t>от 17.06.2016 № 41-1-1-3-0042-16</t>
  </si>
  <si>
    <t>5 км
(уточнится проектом)</t>
  </si>
  <si>
    <t xml:space="preserve">4,973 км </t>
  </si>
  <si>
    <t>от 14.03.2017 № 41-1-1-3-0015-17</t>
  </si>
  <si>
    <t xml:space="preserve">Реконструкция автомобильной дороги  подъезд к совхозу Петропавловский на участке км 0 - км 4 </t>
  </si>
  <si>
    <t>4 км (уточнится проектом)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</si>
  <si>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</si>
  <si>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</si>
  <si>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</si>
  <si>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</si>
  <si>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Министерство природных ресурсов и экологии</t>
  </si>
  <si>
    <t>Реконструкция руслорегулирующнго сооружения реки Половинка, г. Елизово, Елизовский муниципальный район, Камчатский край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</si>
  <si>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</si>
  <si>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Канализационная насосная станция № 15 в г. Петропавловске-Камчатском</t>
  </si>
  <si>
    <t>208 985,6 тыс. рублей</t>
  </si>
  <si>
    <t>Администрация Корякского округа</t>
  </si>
  <si>
    <t>360 000,00 тыс.рублей</t>
  </si>
  <si>
    <t>216 мест</t>
  </si>
  <si>
    <t>12 000 пассажиров, 1,5 тыс. тонн груза в год</t>
  </si>
  <si>
    <t xml:space="preserve">2026 год, 
5 лет </t>
  </si>
  <si>
    <t>8 353 486,341 (уточнится проектом)</t>
  </si>
  <si>
    <t xml:space="preserve">2025 год, 
3 года </t>
  </si>
  <si>
    <t>5 км / 330,1 п.м.</t>
  </si>
  <si>
    <t>№ 41-1-1-3-0083-17 от 16.11.2017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</si>
  <si>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</si>
  <si>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Реконструкция автомобильной дороги Петропавловск-Камчатский – Мильково  на участке км 12 - км 17 с подъездом к федеральной дороге. 3 этап</t>
  </si>
  <si>
    <t>1,281 км</t>
  </si>
  <si>
    <t>Реконструкция автомобильной дороги Петропавловск-Камчатский – Мильково  на участке км 12 - км 17 с подъездом к федеральной дороге. 4 этап</t>
  </si>
  <si>
    <t>3,487 км</t>
  </si>
  <si>
    <t xml:space="preserve">1 849 937,919 (уточнится проектом) </t>
  </si>
  <si>
    <t>№ 41-1-1-3-0072-2018 от 12.12.2018</t>
  </si>
  <si>
    <t>2024 год, 
2 года</t>
  </si>
  <si>
    <t>5 км (уточнится проектом)</t>
  </si>
  <si>
    <t>780 020,199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</si>
  <si>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10 - км 15 (в том числе проектные работы)</t>
  </si>
  <si>
    <t>2025 год,
 2 года</t>
  </si>
  <si>
    <t>894 383,025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</si>
  <si>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15 - км 20 (в том числе проектные работы)</t>
  </si>
  <si>
    <t xml:space="preserve">2025 год,  
2 года </t>
  </si>
  <si>
    <t xml:space="preserve">894 383,025 
(уточнится проектом) </t>
  </si>
  <si>
    <t>2023 год,
 4 года</t>
  </si>
  <si>
    <t>4 км
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</si>
  <si>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</si>
  <si>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ПК00+00 - ПК28+00)</t>
  </si>
  <si>
    <t xml:space="preserve">2025 год,
 3 года 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</si>
  <si>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3 этап (участок ПК80+00 - ПК151+20)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</si>
  <si>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</si>
  <si>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 xml:space="preserve">переходящий объект </t>
  </si>
  <si>
    <t>1.1</t>
  </si>
  <si>
    <t>1.2</t>
  </si>
  <si>
    <t>пусковой</t>
  </si>
  <si>
    <t xml:space="preserve">типовой проект Арх. № 00014-2011 </t>
  </si>
  <si>
    <t>Приобретение судна на воздушной подушке пассажировместимостью до 20 человек</t>
  </si>
  <si>
    <t>Реконструкция трубопроводов тепловой сети с исчерпанным ресурсом в п. Лесной Новолесновского сельского поселения</t>
  </si>
  <si>
    <t>5200 мᵌ/сут</t>
  </si>
  <si>
    <t>Строительство водовода верхней зоны от ВНС 3-го подъема (в том числе проектно-изыскательские работы и государственная экспертиза проектной  документации)</t>
  </si>
  <si>
    <t>100 000 м³/сут.</t>
  </si>
  <si>
    <t>332,90 мᵌ /сут.</t>
  </si>
  <si>
    <t>Реконструкция системы водоснабжения в п. Ключи, Усть-Камчатского муниципального района Камчатского края</t>
  </si>
  <si>
    <t>Реконструкция централизованной системы водоотведения  села Пахачи Олюторского района Камчатского края (в том числе проектные работы и государственная экспертиза проектной документации)</t>
  </si>
  <si>
    <t>200 мᵌ/сут.</t>
  </si>
  <si>
    <t>200 мᵌ/ в сут.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</si>
  <si>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</si>
  <si>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</si>
  <si>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</si>
  <si>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</si>
  <si>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</si>
  <si>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</si>
  <si>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</si>
  <si>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</si>
  <si>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</si>
  <si>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</si>
  <si>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</si>
  <si>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</si>
  <si>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</si>
  <si>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2.16</t>
  </si>
  <si>
    <t>3.1</t>
  </si>
  <si>
    <t>3.2</t>
  </si>
  <si>
    <t>4.1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</si>
  <si>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</si>
  <si>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</si>
  <si>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</si>
  <si>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</si>
  <si>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</si>
  <si>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</si>
  <si>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</si>
  <si>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</si>
  <si>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</si>
  <si>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</si>
  <si>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</si>
  <si>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</si>
  <si>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</si>
  <si>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</si>
  <si>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</si>
  <si>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</si>
  <si>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</si>
  <si>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</si>
  <si>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</si>
  <si>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</si>
  <si>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</si>
  <si>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</si>
  <si>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</si>
  <si>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10.1</t>
  </si>
  <si>
    <t>10.2</t>
  </si>
  <si>
    <t>11.1</t>
  </si>
  <si>
    <t>11.2</t>
  </si>
  <si>
    <t>от 22.04.2016 № 41-1-1-3-0019-16, 
 от 11.07.2016 № 1-1-6-0035-16</t>
  </si>
  <si>
    <t>от 13.02.2019 № 41-1-1-3-003243-2019</t>
  </si>
  <si>
    <t>от 06.03.2019 № 41-1-0042-19</t>
  </si>
  <si>
    <t>05.07.2016 № 41-1-1-3-0049-16</t>
  </si>
  <si>
    <t>от 10.06.2015 № 41-1-5-0042-15</t>
  </si>
  <si>
    <t>от 06.03.2017 № 41-1-1-3-0014-17;
от 30.06.2017 № 1-1-6-0030-17</t>
  </si>
  <si>
    <t>от 28.01.2011 №41-1-5-0002-11</t>
  </si>
  <si>
    <t>от 15.12.2014 № 41-1-5-0118-14</t>
  </si>
  <si>
    <t>внебюджетные источники (Фонд ЖКХ)</t>
  </si>
  <si>
    <t>Группа смешанной жилой застройки по улице Кутузова в Петропавловск-Камчатском городском округе</t>
  </si>
  <si>
    <t xml:space="preserve">2021 год </t>
  </si>
  <si>
    <t xml:space="preserve">2022 год </t>
  </si>
  <si>
    <t>8.8</t>
  </si>
  <si>
    <t>8.9</t>
  </si>
  <si>
    <t>8.10</t>
  </si>
  <si>
    <t>8.11</t>
  </si>
  <si>
    <t>8.12</t>
  </si>
  <si>
    <t>8.13</t>
  </si>
  <si>
    <t>8.14</t>
  </si>
  <si>
    <t>8.15</t>
  </si>
  <si>
    <t>Здание. Общеобразовательная школа по проспекту Рыбаков в г. Петропавловск-Камчатский</t>
  </si>
  <si>
    <t xml:space="preserve">2020 год </t>
  </si>
  <si>
    <t>Приобретение и реконструкция жилых  помещений для реализации программ дошкольного образования в г. Елизово, в том числе проектные работы</t>
  </si>
  <si>
    <t>Детский сад по проспекту Циолковского в г. Петропавловск-Камчатский</t>
  </si>
  <si>
    <t>13.</t>
  </si>
  <si>
    <t>13.1</t>
  </si>
  <si>
    <t>4.2</t>
  </si>
  <si>
    <t>4.3</t>
  </si>
  <si>
    <t>6.3</t>
  </si>
  <si>
    <t>6.4</t>
  </si>
  <si>
    <t>6.5</t>
  </si>
  <si>
    <t>6.6</t>
  </si>
  <si>
    <t>6.7</t>
  </si>
  <si>
    <t>6.8</t>
  </si>
  <si>
    <t>6.9</t>
  </si>
  <si>
    <t>6.10</t>
  </si>
  <si>
    <t>7.11</t>
  </si>
  <si>
    <t>7.12</t>
  </si>
  <si>
    <t>7.13</t>
  </si>
  <si>
    <t>7.14</t>
  </si>
  <si>
    <t xml:space="preserve">2020 год, 
4 года </t>
  </si>
  <si>
    <t>8.16</t>
  </si>
  <si>
    <t>8.17</t>
  </si>
  <si>
    <t>10.3</t>
  </si>
  <si>
    <t>10.4</t>
  </si>
  <si>
    <t>10.5</t>
  </si>
  <si>
    <t>10.6</t>
  </si>
  <si>
    <t>Елизовское городское поселение</t>
  </si>
  <si>
    <t xml:space="preserve">Строительство мостового перехода через р. Тигиль на 224 км автомобильной дороги Анавгай - Палана 
</t>
  </si>
  <si>
    <t>Министерство образования Камчатского края</t>
  </si>
  <si>
    <t xml:space="preserve">Детский сад по ул. Геофизическая в г. Елизово </t>
  </si>
  <si>
    <t xml:space="preserve">Детский сад по ул. Дальневосточная в г. Елизово </t>
  </si>
  <si>
    <t xml:space="preserve">Детский сад в жилом районе Рыбачий в г. Вилючинск </t>
  </si>
  <si>
    <t>2.14</t>
  </si>
  <si>
    <t>Сельский учебный комплекс "Школа-детский сад" в с. Средние Пахачи Олюторского района</t>
  </si>
  <si>
    <t>135 мест</t>
  </si>
  <si>
    <t>2.15</t>
  </si>
  <si>
    <t>650 мест</t>
  </si>
  <si>
    <t>Общеобразовательная школа на 250 мест с. Соболево Соболевского района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</si>
  <si>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улиц Березовая, Зеленая, Южная, Кедровая, пер. Медвежий угол, ул.им.Девяткина, ул.Линейная с.Эссо Быстринского района Камчатского края (в том числе проектные работы)</t>
  </si>
  <si>
    <t>Обеспечение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</si>
  <si>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3</t>
  </si>
  <si>
    <t>6.11</t>
  </si>
  <si>
    <t>Строительство физкультурно-оздоровительного комплекса в муниципальном образовании Камчатского края</t>
  </si>
  <si>
    <t>4.4</t>
  </si>
  <si>
    <t>4.5</t>
  </si>
  <si>
    <t>Крытый ледовый каток в г. Петропавловск-Камчатский</t>
  </si>
  <si>
    <t>12.1</t>
  </si>
  <si>
    <t>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</si>
  <si>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Дом-интернат для престарелых с отделением сопровождаемого проживания</t>
  </si>
  <si>
    <t>Государственная программа Камчатского края "Комплексное развитие сельских территорий Камчатского края"</t>
  </si>
  <si>
    <t>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</t>
  </si>
  <si>
    <t>Строительство, реконструкция, проектирование автомобильных дорог, расположенных в сельской местности</t>
  </si>
  <si>
    <t>средства Фонда содействия реформированию жилищно-коммунального хозяйства</t>
  </si>
  <si>
    <t>Администрация Мильковского муниципального района</t>
  </si>
  <si>
    <t>Администрация Пенжинского муниципального района</t>
  </si>
  <si>
    <t>Администрация Тигильского муниципального района</t>
  </si>
  <si>
    <t>Администрация Карагинского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</si>
  <si>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</si>
  <si>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Администрация Олюторского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</si>
  <si>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
</t>
  </si>
  <si>
    <t>Городской округ "поселок Палана"</t>
  </si>
  <si>
    <t>Обустройство очистных сооружений и строительство централизованной системы (КНС)  в сельском поселении "село Усть-Хайрюзово" (в том числе проектные работы и государственная экспертиза проектной документации)</t>
  </si>
  <si>
    <t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5 - км 10 (в том числе проектные работы)</t>
  </si>
  <si>
    <t>Администрация Елизовского муниципального района</t>
  </si>
  <si>
    <t>Строительство комплексной КНС в г. Елизово, производительностью 5200 тыс.мᵌ/сут. (в том числе проектно-изыскательские работы и государственная экспертиза проектной документации)</t>
  </si>
  <si>
    <t>Строительство напорного коллектора в 2 ветки через реку Авача от КНС-9 до КОС-29 (в том числе проектно-изыскательские работы и государственная экспертиза проектной документации)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</si>
  <si>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</si>
  <si>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 xml:space="preserve">Строительство скотомогильника в Мильковском муниципальном районе Камчатского края 
</t>
  </si>
  <si>
    <t>4</t>
  </si>
  <si>
    <t>5</t>
  </si>
  <si>
    <t>6</t>
  </si>
  <si>
    <t>8</t>
  </si>
  <si>
    <t>от 06.12.2016 № 41-1-1-3-0088-16, 
от 13.02.2017 № 1-1-6-0007-17</t>
  </si>
  <si>
    <t>от 26.05.2017 № 1-1-6-0021-17, 
от 11.04.2017 № 41-1-1-3-0026-17</t>
  </si>
  <si>
    <t>от 30.09.2015 №  41-1-5-0081-15, 
от 06.10.2015 № 1-1-6-0039-15</t>
  </si>
  <si>
    <t>от 25.09.2013 № 41-1-4-0085-13, 
от 26.09.2013 № 41-1-6-0086-13</t>
  </si>
  <si>
    <t>от 18.07.2018 № 41-1-1-3-0032-18</t>
  </si>
  <si>
    <t>от 04.12.2017 № 41-1-1-3-0090-17, 
от 05.12.2017 № 1-1-6-0102-17</t>
  </si>
  <si>
    <t xml:space="preserve"> от 27.02.2018 № 41-1-1-3-0009-18, 
от 27.02.2018 № 41-1-0026-18</t>
  </si>
  <si>
    <t>от 31.05.2018 № 41-1-1-3-0031-18,
от 24.12.2018 № 41-1-0281-18</t>
  </si>
  <si>
    <t>от 30.03.2015 № 41-1-5-0023-15, 
от 31.03.2015 № 1-1-6-0007-15</t>
  </si>
  <si>
    <t>от 30.03.2015 №41-1-5-0025-15, 
от 31.03.2015 № 1-1-6-0008-15</t>
  </si>
  <si>
    <t>от 13.05.2016 № 1-6-3-0011-16; 
от 14.03.2016  № 41-1-3-0009-16</t>
  </si>
  <si>
    <t xml:space="preserve">от 26.03.2018 № 41-1-1-3-0015-18; 
от 29 03.2018 № 41-1-0039-18 от 29 03.2018 </t>
  </si>
  <si>
    <t>от 22.12.2014 № 41-1-5-0125-14; 
от 24.12.2014 № 41-1-6-0061-14</t>
  </si>
  <si>
    <t xml:space="preserve">от 20.09.2016 № 41-1-1-3-0066-16, 
от 28.09.2016 № 1-1-6-0046-16 </t>
  </si>
  <si>
    <t xml:space="preserve">от 30.09.2013 № 41-1-5-0090-13, 
от 14.05.2014 № 1-1-6-0021-14 </t>
  </si>
  <si>
    <t>№ 41-1-1-3-0089-17 от 28.11.2017,
№ 41-1-0118-17 от 27.12.2017</t>
  </si>
  <si>
    <t>№ 41-1-1-3-0085-17 от 22.10.2017,
№ 41-1-0117-17 от 27.12.2017</t>
  </si>
  <si>
    <t>№41-1-1-3-0093-17 от 08.12.2017,
№ 41-1-0008-18 от 24.01.2018</t>
  </si>
  <si>
    <t>№ 41-1-1-3-005550-2018 от 26.11.2018</t>
  </si>
  <si>
    <t>от 16.08.2017 № 1-1-6-0048-17, 
от 02.08.2017 № 41-1-1-3-0051-17</t>
  </si>
  <si>
    <t>от 12.04.2018 № 41-1-0053-18, 
от 05.12.2017 № 41-1-1-3-0091-17</t>
  </si>
  <si>
    <t>2022 год</t>
  </si>
  <si>
    <t xml:space="preserve">2023 год </t>
  </si>
  <si>
    <t>2018-2019 годы</t>
  </si>
  <si>
    <t xml:space="preserve">2020 год                              </t>
  </si>
  <si>
    <t>2020 год,  
1 год</t>
  </si>
  <si>
    <t>Жилая застройка на ул. Арсеньева в г. Петропавловске-Камчатском (разработка проектной документации)</t>
  </si>
  <si>
    <t>6.12</t>
  </si>
  <si>
    <t>9.3</t>
  </si>
  <si>
    <t>Формирование инженерной инфраструктуры в  целях жилищного строительства на территории Корякского округа</t>
  </si>
  <si>
    <t>2023, 3 года год</t>
  </si>
  <si>
    <t>3 800,0 м2</t>
  </si>
  <si>
    <t>320 000,0 тыс. рублей</t>
  </si>
  <si>
    <t>2023 год, 3 года</t>
  </si>
  <si>
    <t>".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</si>
  <si>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</si>
  <si>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Детский сад по ул. Вилюйская, 60 в г. Петропавловске-Камчатском (в том числе проектные работы)</t>
  </si>
  <si>
    <t>14.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</si>
  <si>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</si>
  <si>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</si>
  <si>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</si>
  <si>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</si>
  <si>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КК "Камчатстрой-энергосервис"</t>
  </si>
  <si>
    <t>ГУП КК "Камчатстройэнерго-сервис"</t>
  </si>
  <si>
    <t>расходы за счет остатков средств краевого бюджета прошлых лет</t>
  </si>
  <si>
    <t>14.1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</si>
  <si>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</si>
  <si>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</si>
  <si>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</t>
  </si>
  <si>
    <t>15.1</t>
  </si>
  <si>
    <t>Государственная программа Камчатского края "Развитие внутреннего и въездного туризма в Камчатском крае"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</si>
  <si>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</si>
  <si>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Поротова, д.24</t>
  </si>
  <si>
    <t>1 ед.</t>
  </si>
  <si>
    <t>городской округ "поселок Палана"</t>
  </si>
  <si>
    <t>8.18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</si>
  <si>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1 этап 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</si>
  <si>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</si>
  <si>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</si>
  <si>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</si>
  <si>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</si>
  <si>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8.19</t>
  </si>
  <si>
    <t>8.20</t>
  </si>
  <si>
    <t>8.21</t>
  </si>
  <si>
    <t>8.22</t>
  </si>
  <si>
    <t>1.3</t>
  </si>
  <si>
    <t>Фельдшерско-акушерский пункт. Камчатский край, Олюторский муниципальный район, село Вывенка</t>
  </si>
  <si>
    <t>2.17</t>
  </si>
  <si>
    <t>Детский сад в с. Тиличики Олюторского района</t>
  </si>
  <si>
    <t>4.6</t>
  </si>
  <si>
    <t>Физкультурно-оздоровительный комплекс с ледовой ареной в г. Петропавловск-Камчатский</t>
  </si>
  <si>
    <t>6.13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</si>
  <si>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</si>
  <si>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8.23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</si>
  <si>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0 - км 5 </t>
  </si>
  <si>
    <t>8.24</t>
  </si>
  <si>
    <t>Строительство подъезда к стадиону "Спартак" (проектные работы)</t>
  </si>
  <si>
    <t>Строительство дорожной инфраструктуры 1-ой очереди Жилого района в Пионерском сельском поселении (проектные работы)</t>
  </si>
  <si>
    <t>2.18</t>
  </si>
  <si>
    <t>Строительство сельского учебного комплекса в с. Усть-Хайрюзово Тигильского муниципального  района</t>
  </si>
  <si>
    <t>2016 год, 5 лет</t>
  </si>
  <si>
    <t>265 мест</t>
  </si>
  <si>
    <t>643 189,41636 тыс.рублей</t>
  </si>
  <si>
    <t xml:space="preserve"> от 08.08.2011 № 41-1-5-0078-11</t>
  </si>
  <si>
    <t>120 мест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</si>
  <si>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1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</si>
  <si>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2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</si>
  <si>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</si>
  <si>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2 340,14 м2</t>
  </si>
  <si>
    <t>№ 41-1-1-3-0039-18 от 29.06.2018
№ 41-1-0103-18 от 03.07.2018</t>
  </si>
  <si>
    <t>№ 41-1-1-3-0040-18 от 29.06.2018
№ 41-1-0104-18 от 03.07.2018</t>
  </si>
  <si>
    <t>Сельский учебный комплекс школа-детский сад в с. Каменское Пенжинского района на 161 ученических и 80 дошкольных мест</t>
  </si>
  <si>
    <t>Сельский учебный комплекс «Школа-детский сад» в с. Средние Пахачи Олюторского района (разработка проектной документации)</t>
  </si>
  <si>
    <t>2020-2021</t>
  </si>
  <si>
    <t>2017 год</t>
  </si>
  <si>
    <t>3,07424 км</t>
  </si>
  <si>
    <t>471 147,890 тыс. рублей</t>
  </si>
  <si>
    <t>№ 41-1-1-3-0013-17 от 03.03.2017
№1-1-6-0023-17 от 29.05.2017</t>
  </si>
  <si>
    <t>7 км</t>
  </si>
  <si>
    <t>872 603,240 тыс. рублей</t>
  </si>
  <si>
    <t>№ 41-1-1-3-0064-17 от 22.09.2017
№ 2-1-6-0104-17 от 11.12.2017</t>
  </si>
  <si>
    <t>7,003 км/ 34,120 п.м.</t>
  </si>
  <si>
    <t>820 779,384 тыс. рублей</t>
  </si>
  <si>
    <t>№ 41-1-1-3-0074-17 от 19.09.2017
№ 2-1-6-0105-17 от 14.12.2017</t>
  </si>
  <si>
    <t>7,750 км / 40,950 п.м.</t>
  </si>
  <si>
    <t>804 891,371 тыс. рублей</t>
  </si>
  <si>
    <t>№ 41-1-1-3-0077-17 от 16.10.2017
№ 2-1-6-0107-17 от 19.12.2017</t>
  </si>
  <si>
    <t>5,8540 км</t>
  </si>
  <si>
    <t>768 865,700 тыс. рублей</t>
  </si>
  <si>
    <t>№ 41-1-1-3-0072-17 от 16.10.2017
№ 2-1-6-0103-17 от 06.12.2017</t>
  </si>
  <si>
    <t xml:space="preserve">4,92143 км </t>
  </si>
  <si>
    <t>795 836,365 тыс. рублей</t>
  </si>
  <si>
    <t>№ 41-1-1-3-005946-2018 от 29.11.2018, № 41-1-0258-18 от 11.12.2018</t>
  </si>
  <si>
    <t>0,259 км (уточнится проектом)</t>
  </si>
  <si>
    <t>232 980,79 тыс. рублей (уточнится проектом)</t>
  </si>
  <si>
    <t>10,33 Га (уточнится проектом)</t>
  </si>
  <si>
    <t>Администрация Пионерского сельского поселения</t>
  </si>
  <si>
    <t>56 500,0 тыс. рублей</t>
  </si>
  <si>
    <t>от 27.06.2014 № 41-1-5-0058-14.</t>
  </si>
  <si>
    <t>570 000,00 тыс. рублей</t>
  </si>
  <si>
    <t>от 23.08.2016 № 41-1-1-3-0060-16, от 24.08.16 № 1-1-6-0039-16</t>
  </si>
  <si>
    <t>2019-2020 годы, 2 года</t>
  </si>
  <si>
    <t xml:space="preserve">3,73 Га </t>
  </si>
  <si>
    <t xml:space="preserve">вновь начинаемый </t>
  </si>
  <si>
    <t>от 16.08.2017 № 41-1-1-2-0054-17</t>
  </si>
  <si>
    <t>2020-2021 годы, 2 года</t>
  </si>
  <si>
    <t>2.19</t>
  </si>
  <si>
    <t>6.14</t>
  </si>
  <si>
    <t>от 29.01.2018 № 41-1-1-2-0003-18, 
от 31.01.2018 № 41-1-0014-18</t>
  </si>
  <si>
    <t>4.7</t>
  </si>
  <si>
    <t>Навес из металлоконструкций над хоккейной площадкой, г. Петропавловск-Камчатский, ул. Солнечная (в том числе проектные работы)</t>
  </si>
  <si>
    <t>67 чел/час</t>
  </si>
  <si>
    <t>КГБУ "Спортивная школа по хоккею"</t>
  </si>
  <si>
    <t>37906,049 тыс. рублей</t>
  </si>
  <si>
    <t>от 03.03.2020 № 41-1-1-2-005279-2020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</si>
  <si>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</si>
  <si>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6.15</t>
  </si>
  <si>
    <t>"Приложение к постановлению Правительства Камчатского края
от 12.11.2019 № 478-П</t>
  </si>
  <si>
    <t>157 320,0 тыс. рублей</t>
  </si>
  <si>
    <t>711 402,023 тыс. рублей</t>
  </si>
  <si>
    <t>608 824,55 тыс. рублей</t>
  </si>
  <si>
    <t>738 340,61 тыс. рублей</t>
  </si>
  <si>
    <t>736 000,00 тыс. рублей</t>
  </si>
  <si>
    <t>138 253,54000 тыс. рублей</t>
  </si>
  <si>
    <t>4681,72 тыс. рублей / 2846,04 тыс. рублей</t>
  </si>
  <si>
    <t>3715,36 тыс. рублей / 2460,99 тыс. рублей</t>
  </si>
  <si>
    <t>200 000,00000 тыс. рублей</t>
  </si>
  <si>
    <t>829 344,00 тыс. рублей 
в ценах 2 кв. 2016 г.</t>
  </si>
  <si>
    <t xml:space="preserve">23 949,20 тыс. рублей (уточнится проектом) </t>
  </si>
  <si>
    <t xml:space="preserve"> от 07.07.2016 № 2-1-6-0034-16</t>
  </si>
  <si>
    <t>851 511,62  тыс. рублей</t>
  </si>
  <si>
    <t>1.4</t>
  </si>
  <si>
    <t>1.5</t>
  </si>
  <si>
    <t>ГБУЗ «Камчатский краевой онкологический диспансер»</t>
  </si>
  <si>
    <t>проходит госэкспертизу</t>
  </si>
  <si>
    <t>6 734,264 тыс. рублей</t>
  </si>
  <si>
    <t>ГБУЗ «Камчатская краевая детская больница»</t>
  </si>
  <si>
    <t>9 428,158 тыс. рубле</t>
  </si>
  <si>
    <t>Строительство административного модуля КГБУ «Быстринская районная СББЖ» Быстринский район, с. Эссо, ул. Речная</t>
  </si>
  <si>
    <t>Реконструкция канализационных очистных сооружений на мысе Погодном Усть-Камчатского сельского поселения</t>
  </si>
  <si>
    <t>7.15</t>
  </si>
  <si>
    <t>1500 м³/сут.</t>
  </si>
  <si>
    <t>Усть-Камчатское сельское поселение</t>
  </si>
  <si>
    <t xml:space="preserve"> от 04.09.2019  № 41-1-262-19</t>
  </si>
  <si>
    <t>543 354,62 тыс. руб.</t>
  </si>
  <si>
    <t>внебюджетные источники - средства МУП "Водоканал Усть-Камчатского сельского поселения"</t>
  </si>
  <si>
    <t xml:space="preserve">Фельдшерско-акушерский пункт с жилым домом в с.Лесная Тигильского района Камчатского края  </t>
  </si>
  <si>
    <t>Строительство сетей медицинского газоснабжения ГБУЗ «Камчатская краевая детская больница»</t>
  </si>
  <si>
    <t>1.6</t>
  </si>
  <si>
    <t>55 500,0 тыс. рублей</t>
  </si>
  <si>
    <t>Тигильского муниципальный район</t>
  </si>
  <si>
    <t>6.16</t>
  </si>
  <si>
    <t>Жилая застройка на улице Пограничной в г.Петропавловске-Камчатском  (разработка проектной документации)</t>
  </si>
  <si>
    <t>4 700,0 м2, 90 квартир</t>
  </si>
  <si>
    <t>446 500,00 тыс. рублей</t>
  </si>
  <si>
    <t>6.17</t>
  </si>
  <si>
    <t>Многоквартирный жилой дом в районе ул. Мирная в г. Елизово Камчатского края (разработка проектной документации)</t>
  </si>
  <si>
    <t>2 340,0 м2, 45 квартир</t>
  </si>
  <si>
    <t>210 381,94 тыс. руб.</t>
  </si>
  <si>
    <t>2020-2021 годы, 
2 года</t>
  </si>
  <si>
    <t>6.18</t>
  </si>
  <si>
    <t>Микрорайон "Северный " в г. Петропавловске-Камчатском (разработка проектной документации)</t>
  </si>
  <si>
    <t>180 квартир</t>
  </si>
  <si>
    <t>781 432,42  тыс. руб.</t>
  </si>
  <si>
    <t>6.19</t>
  </si>
  <si>
    <t>Жилая застройка в границах  ул. Жупановская и ул. Спортивная в г. Елизово Камчатского края  (разработка проектной документации)</t>
  </si>
  <si>
    <t>6 210,0 м2, 150 вкартир</t>
  </si>
  <si>
    <t>6.20</t>
  </si>
  <si>
    <t>Многоквартирный жилой дом в районе  ул. В. Кручины в г. Елизово Камчатского края (разработка проектной документации)</t>
  </si>
  <si>
    <t>2350 м2, 450 квартир</t>
  </si>
  <si>
    <t xml:space="preserve"> 220 000,00 тыс. руб.</t>
  </si>
  <si>
    <t>3 000,0 кв.м.</t>
  </si>
  <si>
    <t>800 000,000 тыс. рублей</t>
  </si>
  <si>
    <t>3 666,88 кв. м.</t>
  </si>
  <si>
    <t>569 023,220 тыс.рублей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</si>
  <si>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(разработка проектной документации)</t>
  </si>
  <si>
    <t>7.16</t>
  </si>
  <si>
    <t>Реконструкция системы водоотведения Центральной части г. Петропавловска-Камчатского. Канализационная насосная станция КНС «Мехзавод» (разработка проектной документации и государственная экспертиза)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</si>
  <si>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</si>
  <si>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4000 м³/сут</t>
  </si>
  <si>
    <t>427 953,16 тыс. рублей</t>
  </si>
  <si>
    <t>от 08.04.2020 № 41.1.3-010996-2020</t>
  </si>
  <si>
    <t>МУП "Водоканал Усть-Камчатского сельского поселения"</t>
  </si>
  <si>
    <t>Субсидии на софинансирование капитальных вложений в объекты государственной (муниципальной) собственности</t>
  </si>
  <si>
    <t>Строительство системы хозяйственно-питьевого водоснабжения с. Лесная Тигильского района Камчатского края</t>
  </si>
  <si>
    <t>Реконструкция внутрипоселковых сетей водопровода пгт Палана Тигильского района Камчатского края</t>
  </si>
  <si>
    <t>7851,6 пог. м.</t>
  </si>
  <si>
    <t xml:space="preserve"> от 04.12.2019 № 41-1-1-2-034171-2019;
от 27.12.2019 № 41-1-0419-19; от 27.12.2019 № 41-1-0420-19; от 27.12.2019 № 41-1-0421-19.</t>
  </si>
  <si>
    <t>8.25</t>
  </si>
  <si>
    <t>8.26</t>
  </si>
  <si>
    <t>8.27</t>
  </si>
  <si>
    <t>8.28</t>
  </si>
  <si>
    <t>8.29</t>
  </si>
  <si>
    <t>8.30</t>
  </si>
  <si>
    <t>8.31</t>
  </si>
  <si>
    <t xml:space="preserve">2022 год, 
1 год </t>
  </si>
  <si>
    <t xml:space="preserve">2020 - 2021 </t>
  </si>
  <si>
    <t>0,5 км / 12,05 п.м. (уточнится проектом)</t>
  </si>
  <si>
    <t xml:space="preserve">
46 398,700 тыс. рублей (уточнится проектом)</t>
  </si>
  <si>
    <t>1 км / 12,30 п.м. (уточнится проектом)</t>
  </si>
  <si>
    <t xml:space="preserve">
 49 851,620 тыс. рублей (уточнится проектом)</t>
  </si>
  <si>
    <t xml:space="preserve">2022 - 2023 год, 
2 года </t>
  </si>
  <si>
    <t>0,3 км / 27,86 п.м. (уточнится проектом)</t>
  </si>
  <si>
    <t xml:space="preserve">
 100 293,870 тыс. рублей (уточнится проектом)</t>
  </si>
  <si>
    <t>Реконструкция мостового перехода через руч. Хуторской на км 1+698 автомобильной дороги Елизово - Паратунка, 4 км -п. Садовый - Учебный центр (в том числе проектные работы)</t>
  </si>
  <si>
    <t>0,4 км / 9,0 п.м. (уточнится проектом)</t>
  </si>
  <si>
    <t>35 864,862  тыс. рублей (уточнится проектом)</t>
  </si>
  <si>
    <t>0,3 км / 50,84 п.м. (уточнится проектом)</t>
  </si>
  <si>
    <t>182 249,700  тыс. рублей (уточнится проектом)</t>
  </si>
  <si>
    <t>0,5 км / 15,0 п.м. (уточнится проектом)</t>
  </si>
  <si>
    <t>54 749,417  тыс. рублей (уточнится проектом)</t>
  </si>
  <si>
    <t>1 км / 73,95 п.м. (уточнится проектом)</t>
  </si>
  <si>
    <t>266 747,115 тыс. рублей (уточнится проектом)</t>
  </si>
  <si>
    <t>Строительство автозимника продленного действия Анавгай - Палана на участке км 0 - км 16</t>
  </si>
  <si>
    <t>Реконструкция мостового перехода через р. Железная-1 на 9 км автомобильной дороги «Садовое кольцо» в Елизовском районе Камчатского края (в том числе проектные работы)</t>
  </si>
  <si>
    <t>Реконструкция мостового перехода через р. Железная-2 на 12 км автомобильной дороги «Садовое кольцо» в Елизовском районе Камчатского края (в том числе проектные работы)</t>
  </si>
  <si>
    <t xml:space="preserve"> Реконструкция мостового перехода через р. Амшарик на км 3+865 автомобильной дороги Мильково - Кирганик (в том числе проектные работы)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</si>
  <si>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(в том числе проектные работы)</t>
  </si>
  <si>
    <t>Реконструкция мостового перехода через реку Михакина на км 1+743 автомобильной дороги Палана-строящийся аэропорт (в том числе проектные работы)</t>
  </si>
  <si>
    <t>Реконструкция мостового перехода через р.Палана на км 6+363 автомобильной дороги Палана-строящийся аэропорт (в том числе проектные работы)</t>
  </si>
  <si>
    <t>16.</t>
  </si>
  <si>
    <t>16.1</t>
  </si>
  <si>
    <t>Государственная программа Камчатского края "Безопасная Камчатка"</t>
  </si>
  <si>
    <t>Министерство специальных программ и по делам казачества Камчатского края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</si>
  <si>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</si>
  <si>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Строительство пожарного депо на 2 выезда в п. Озерновский</t>
  </si>
  <si>
    <t>КГКУ «ЦОД»</t>
  </si>
  <si>
    <t>85 368,163 тыс. рублей.</t>
  </si>
  <si>
    <t>от 11.04.2018 № 41-1-1-3-0020-18</t>
  </si>
  <si>
    <t>Реконструкция крыши здания патологоанатомического корпуса ГБУЗ «Камчатский краевой онкологический диспансер» (в том числе, проектные работы)</t>
  </si>
  <si>
    <t>8.32</t>
  </si>
  <si>
    <t>6.21</t>
  </si>
  <si>
    <t>Многоквартирный жилой дом поз. 15 в микрорайоне "Северо-Западный" в г. Елизово</t>
  </si>
  <si>
    <t xml:space="preserve">2019 год </t>
  </si>
  <si>
    <t>402 748,93 тыс. рублей</t>
  </si>
  <si>
    <t>№ 41-1-1-3-0057-17 от 21.08.2017; № 1-1-6-0079-17 от 13 10.2017</t>
  </si>
  <si>
    <t>КГКУ "Единая дирекция по строительству объекта "Камчатская краевая больница"</t>
  </si>
  <si>
    <t>1.7</t>
  </si>
  <si>
    <t>6.22</t>
  </si>
  <si>
    <t>Сейсмоусиление здания ГБУЗ "Петропавловск-Камчатская городская детская поликлиника № 1"</t>
  </si>
  <si>
    <t xml:space="preserve">ГБУЗ "Петропавловск-Камчатская городская детская поликлиника № 1" </t>
  </si>
  <si>
    <t>Строительство офиса врача общей практики в п. Крутогоровский Соболевского района Камчатского края (проектные работы)</t>
  </si>
  <si>
    <t>90 000,0 тыс. рублей</t>
  </si>
  <si>
    <t>Соболевский муниципальный район в Камчатском крае</t>
  </si>
  <si>
    <t>Положительное заключение гос.экспертизы от 15.06.20 № 41-1-0118-20</t>
  </si>
  <si>
    <t>Положительное заключение гос.экспертизы от 12.05.20 № 41-1-0075-20</t>
  </si>
  <si>
    <t>Положительное заключение гос.экспертизы от  27.05.2020  № 41-1-0090-20</t>
  </si>
  <si>
    <t>от 25.02.2020 № 41-1-1-3-004624-2020
от 30.03.2020 № 41-1-0051-20</t>
  </si>
  <si>
    <t>от 25.07.2017 № 41-1-1-3-0050-2017
от 21.12.2017 № 41-1-0113-17</t>
  </si>
  <si>
    <t>12.2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</si>
  <si>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крае".</t>
  </si>
  <si>
    <t xml:space="preserve">Дом-интернат для психически больных на 400 мест </t>
  </si>
  <si>
    <t>400 мест</t>
  </si>
  <si>
    <t>Министерство социального развития и труда Камчатского края</t>
  </si>
  <si>
    <t>4 559 318,750 тыс. рублей</t>
  </si>
  <si>
    <t>Реконструкция автомобильной дороги подъезд к совхозу Петропавловский на участке км 0 - км 4 (проектные работы)</t>
  </si>
  <si>
    <t>от 26.11.2018 № 41-1-1-3-005550-2018</t>
  </si>
  <si>
    <t>«Строительство Камчатской краевой больницы» 1 этап</t>
  </si>
  <si>
    <t>Министерство строительства и жилищной политики Камчатского края</t>
  </si>
  <si>
    <t>Министерство специальных программ Камчатского края</t>
  </si>
  <si>
    <t>Приложение к постановлению  Правительства Камчатского края
от 29.12.2020 № 554-П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</si>
</sst>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" fontId="7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" fontId="2" fillId="0" borderId="13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64" fontId="2" fillId="0" borderId="21" xfId="0" applyNumberFormat="1" applyFont="1" applyFill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vertical="center" wrapText="1"/>
    </xf>
    <xf numFmtId="1" fontId="2" fillId="2" borderId="21" xfId="0" applyNumberFormat="1" applyFont="1" applyFill="1" applyBorder="1" applyAlignment="1">
      <alignment horizontal="left" vertical="center" wrapText="1"/>
    </xf>
    <xf numFmtId="164" fontId="2" fillId="2" borderId="21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6" fontId="2" fillId="2" borderId="13" xfId="0" applyNumberFormat="1" applyFont="1" applyFill="1" applyBorder="1" applyAlignment="1">
      <alignment horizontal="left" vertical="top" wrapText="1"/>
    </xf>
    <xf numFmtId="16" fontId="2" fillId="2" borderId="14" xfId="0" applyNumberFormat="1" applyFont="1" applyFill="1" applyBorder="1" applyAlignment="1">
      <alignment horizontal="left" vertical="top" wrapText="1"/>
    </xf>
    <xf numFmtId="16" fontId="2" fillId="2" borderId="15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164" fontId="2" fillId="2" borderId="3" xfId="0" applyNumberFormat="1" applyFont="1" applyFill="1" applyBorder="1" applyAlignment="1">
      <alignment horizontal="center" vertical="center" textRotation="90" wrapText="1"/>
    </xf>
    <xf numFmtId="164" fontId="2" fillId="2" borderId="4" xfId="0" applyNumberFormat="1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textRotation="90" wrapText="1"/>
    </xf>
    <xf numFmtId="164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" fontId="2" fillId="2" borderId="13" xfId="0" applyNumberFormat="1" applyFont="1" applyFill="1" applyBorder="1" applyAlignment="1">
      <alignment horizontal="left" vertical="center" wrapText="1"/>
    </xf>
    <xf numFmtId="1" fontId="2" fillId="2" borderId="15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horizontal="justify" vertical="top" wrapText="1"/>
    </xf>
    <xf numFmtId="0" fontId="5" fillId="2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textRotation="90" wrapText="1"/>
    </xf>
    <xf numFmtId="164" fontId="2" fillId="2" borderId="3" xfId="0" applyNumberFormat="1" applyFont="1" applyFill="1" applyBorder="1" applyAlignment="1">
      <alignment horizontal="left" textRotation="90" wrapText="1"/>
    </xf>
    <xf numFmtId="164" fontId="2" fillId="2" borderId="4" xfId="0" applyNumberFormat="1" applyFont="1" applyFill="1" applyBorder="1" applyAlignment="1">
      <alignment horizontal="left" textRotation="90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justify" vertical="top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 vertical="center" textRotation="90" wrapText="1"/>
    </xf>
    <xf numFmtId="164" fontId="2" fillId="2" borderId="3" xfId="0" applyNumberFormat="1" applyFont="1" applyFill="1" applyBorder="1" applyAlignment="1">
      <alignment horizontal="left" vertical="center" textRotation="90" wrapText="1"/>
    </xf>
    <xf numFmtId="164" fontId="2" fillId="2" borderId="4" xfId="0" applyNumberFormat="1" applyFont="1" applyFill="1" applyBorder="1" applyAlignment="1">
      <alignment horizontal="left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AAFE22"/>
      <color rgb="FFCCFFCC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4"/>
  <sheetViews>
    <sheetView tabSelected="1" view="pageBreakPreview" topLeftCell="A1068" zoomScale="70" zoomScaleNormal="70" zoomScaleSheetLayoutView="70" workbookViewId="0">
      <selection activeCell="G3" sqref="G3"/>
    </sheetView>
  </sheetViews>
  <sheetFormatPr defaultColWidth="11.5703125" defaultRowHeight="12.75" x14ac:dyDescent="0.2"/>
  <cols>
    <col min="1" max="1" width="5.7109375" style="1" customWidth="1"/>
    <col min="2" max="2" width="23.140625" style="1" customWidth="1"/>
    <col min="3" max="3" width="17.140625" style="1" customWidth="1"/>
    <col min="4" max="8" width="14.85546875" style="1" customWidth="1"/>
    <col min="9" max="9" width="7.140625" style="1" customWidth="1"/>
    <col min="10" max="10" width="5.5703125" style="1" customWidth="1"/>
    <col min="11" max="11" width="19.5703125" style="1" customWidth="1"/>
    <col min="12" max="12" width="8.140625" style="1" customWidth="1"/>
    <col min="13" max="13" width="12" style="1" customWidth="1"/>
    <col min="14" max="14" width="11.42578125" style="1" customWidth="1"/>
    <col min="15" max="15" width="11.7109375" style="1" customWidth="1"/>
    <col min="16" max="16" width="8.85546875" style="1" customWidth="1"/>
    <col min="17" max="17" width="3.85546875" style="1" customWidth="1"/>
    <col min="18" max="18" width="10.85546875" style="1" customWidth="1"/>
    <col min="19" max="19" width="5.85546875" style="1" customWidth="1"/>
    <col min="20" max="20" width="11.85546875" style="1" customWidth="1"/>
    <col min="21" max="16384" width="11.5703125" style="1"/>
  </cols>
  <sheetData>
    <row r="1" spans="1:20" ht="83.25" customHeight="1" x14ac:dyDescent="0.2">
      <c r="N1" s="132" t="s">
        <v>702</v>
      </c>
      <c r="O1" s="132"/>
      <c r="P1" s="132"/>
      <c r="Q1" s="132"/>
      <c r="R1" s="132"/>
      <c r="S1" s="132"/>
      <c r="T1" s="132"/>
    </row>
    <row r="2" spans="1:20" ht="13.5" customHeight="1" x14ac:dyDescent="0.4">
      <c r="N2" s="2"/>
      <c r="O2" s="2"/>
      <c r="P2" s="2"/>
      <c r="Q2" s="3"/>
      <c r="R2" s="3"/>
      <c r="S2" s="3"/>
      <c r="T2" s="3"/>
    </row>
    <row r="3" spans="1:20" ht="77.25" customHeight="1" x14ac:dyDescent="0.2">
      <c r="N3" s="132" t="s">
        <v>559</v>
      </c>
      <c r="O3" s="132"/>
      <c r="P3" s="132"/>
      <c r="Q3" s="132"/>
      <c r="R3" s="132"/>
      <c r="S3" s="132"/>
      <c r="T3" s="132"/>
    </row>
    <row r="4" spans="1:20" s="4" customFormat="1" ht="12.75" customHeight="1" x14ac:dyDescent="0.2">
      <c r="P4" s="159"/>
      <c r="Q4" s="159"/>
      <c r="R4" s="159"/>
      <c r="S4" s="159"/>
      <c r="T4" s="159"/>
    </row>
    <row r="5" spans="1:20" s="4" customFormat="1" ht="26.25" x14ac:dyDescent="0.2">
      <c r="A5" s="160" t="s">
        <v>192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 ht="197.25" customHeight="1" x14ac:dyDescent="0.2">
      <c r="A7" s="5" t="s">
        <v>26</v>
      </c>
      <c r="B7" s="6" t="s">
        <v>9</v>
      </c>
      <c r="C7" s="6" t="s">
        <v>5</v>
      </c>
      <c r="D7" s="6" t="s">
        <v>350</v>
      </c>
      <c r="E7" s="6" t="s">
        <v>339</v>
      </c>
      <c r="F7" s="6" t="s">
        <v>340</v>
      </c>
      <c r="G7" s="6" t="s">
        <v>24</v>
      </c>
      <c r="H7" s="6" t="s">
        <v>29</v>
      </c>
      <c r="I7" s="7" t="s">
        <v>16</v>
      </c>
      <c r="J7" s="7" t="s">
        <v>27</v>
      </c>
      <c r="K7" s="7" t="s">
        <v>15</v>
      </c>
      <c r="L7" s="7" t="s">
        <v>4</v>
      </c>
      <c r="M7" s="7" t="s">
        <v>12</v>
      </c>
      <c r="N7" s="7" t="s">
        <v>14</v>
      </c>
      <c r="O7" s="7" t="s">
        <v>17</v>
      </c>
      <c r="P7" s="7" t="s">
        <v>20</v>
      </c>
      <c r="Q7" s="7" t="s">
        <v>18</v>
      </c>
      <c r="R7" s="7" t="s">
        <v>19</v>
      </c>
      <c r="S7" s="7" t="s">
        <v>28</v>
      </c>
      <c r="T7" s="8" t="s">
        <v>6</v>
      </c>
    </row>
    <row r="8" spans="1:20" s="11" customFormat="1" x14ac:dyDescent="0.2">
      <c r="A8" s="9">
        <v>1</v>
      </c>
      <c r="B8" s="9">
        <v>2</v>
      </c>
      <c r="C8" s="9">
        <v>3</v>
      </c>
      <c r="D8" s="10" t="s">
        <v>418</v>
      </c>
      <c r="E8" s="10" t="s">
        <v>419</v>
      </c>
      <c r="F8" s="10" t="s">
        <v>420</v>
      </c>
      <c r="G8" s="9">
        <v>7</v>
      </c>
      <c r="H8" s="10" t="s">
        <v>421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0" s="11" customFormat="1" x14ac:dyDescent="0.2">
      <c r="A9" s="88" t="s">
        <v>10</v>
      </c>
      <c r="B9" s="124" t="s">
        <v>98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s="11" customFormat="1" x14ac:dyDescent="0.2">
      <c r="A10" s="89"/>
      <c r="B10" s="12" t="s">
        <v>5</v>
      </c>
      <c r="C10" s="13">
        <f>SUM(D10:H10)</f>
        <v>653997.92110000004</v>
      </c>
      <c r="D10" s="13">
        <f>SUM(D11:D14)</f>
        <v>233254.4241</v>
      </c>
      <c r="E10" s="13">
        <f t="shared" ref="E10" si="0">SUM(E11:E14)</f>
        <v>53233.322</v>
      </c>
      <c r="F10" s="13">
        <f t="shared" ref="F10" si="1">SUM(F11:F14)</f>
        <v>0</v>
      </c>
      <c r="G10" s="13">
        <f t="shared" ref="G10:H10" si="2">SUM(G11:G14)</f>
        <v>198909.86799999999</v>
      </c>
      <c r="H10" s="13">
        <f t="shared" si="2"/>
        <v>168600.307</v>
      </c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</row>
    <row r="11" spans="1:20" ht="12.75" customHeight="1" x14ac:dyDescent="0.2">
      <c r="A11" s="89"/>
      <c r="B11" s="12" t="s">
        <v>0</v>
      </c>
      <c r="C11" s="13">
        <f t="shared" ref="C11:C14" si="3">SUM(D11:H11)</f>
        <v>0</v>
      </c>
      <c r="D11" s="13">
        <f>D19+D27+D35+D43+D51+D59+D67</f>
        <v>0</v>
      </c>
      <c r="E11" s="13">
        <f t="shared" ref="E11:H11" si="4">E19+E27+E35+E43+E51+E59+E67</f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</row>
    <row r="12" spans="1:20" ht="12.75" customHeight="1" x14ac:dyDescent="0.2">
      <c r="A12" s="89"/>
      <c r="B12" s="12" t="s">
        <v>1</v>
      </c>
      <c r="C12" s="13">
        <f t="shared" si="3"/>
        <v>653997.92110000004</v>
      </c>
      <c r="D12" s="13">
        <f t="shared" ref="D12:H14" si="5">D20+D28+D36+D44+D52+D60+D68</f>
        <v>233254.4241</v>
      </c>
      <c r="E12" s="13">
        <f t="shared" si="5"/>
        <v>53233.322</v>
      </c>
      <c r="F12" s="13">
        <f t="shared" si="5"/>
        <v>0</v>
      </c>
      <c r="G12" s="13">
        <f t="shared" si="5"/>
        <v>198909.86799999999</v>
      </c>
      <c r="H12" s="13">
        <f t="shared" si="5"/>
        <v>168600.307</v>
      </c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</row>
    <row r="13" spans="1:20" ht="12.75" customHeight="1" x14ac:dyDescent="0.2">
      <c r="A13" s="89"/>
      <c r="B13" s="12" t="s">
        <v>2</v>
      </c>
      <c r="C13" s="13">
        <f t="shared" si="3"/>
        <v>0</v>
      </c>
      <c r="D13" s="13">
        <f t="shared" si="5"/>
        <v>0</v>
      </c>
      <c r="E13" s="13">
        <f t="shared" si="5"/>
        <v>0</v>
      </c>
      <c r="F13" s="13">
        <f t="shared" si="5"/>
        <v>0</v>
      </c>
      <c r="G13" s="13">
        <f t="shared" si="5"/>
        <v>0</v>
      </c>
      <c r="H13" s="13">
        <f t="shared" si="5"/>
        <v>0</v>
      </c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</row>
    <row r="14" spans="1:20" ht="12.75" customHeight="1" x14ac:dyDescent="0.2">
      <c r="A14" s="90"/>
      <c r="B14" s="12" t="s">
        <v>3</v>
      </c>
      <c r="C14" s="13">
        <f t="shared" si="3"/>
        <v>0</v>
      </c>
      <c r="D14" s="13">
        <f t="shared" si="5"/>
        <v>0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</row>
    <row r="15" spans="1:20" x14ac:dyDescent="0.2">
      <c r="A15" s="69" t="s">
        <v>271</v>
      </c>
      <c r="B15" s="85" t="s">
        <v>66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</row>
    <row r="16" spans="1:20" x14ac:dyDescent="0.2">
      <c r="A16" s="70"/>
      <c r="B16" s="79" t="s">
        <v>129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50.1" customHeight="1" x14ac:dyDescent="0.2">
      <c r="A17" s="70"/>
      <c r="B17" s="100" t="s">
        <v>67</v>
      </c>
      <c r="C17" s="101"/>
      <c r="D17" s="101"/>
      <c r="E17" s="101"/>
      <c r="F17" s="101"/>
      <c r="G17" s="101"/>
      <c r="H17" s="102"/>
      <c r="I17" s="66" t="s">
        <v>130</v>
      </c>
      <c r="J17" s="66"/>
      <c r="K17" s="66" t="s">
        <v>99</v>
      </c>
      <c r="L17" s="66"/>
      <c r="M17" s="66" t="s">
        <v>66</v>
      </c>
      <c r="N17" s="66" t="s">
        <v>66</v>
      </c>
      <c r="O17" s="66" t="s">
        <v>66</v>
      </c>
      <c r="P17" s="103"/>
      <c r="Q17" s="66" t="s">
        <v>30</v>
      </c>
      <c r="R17" s="66" t="s">
        <v>100</v>
      </c>
      <c r="S17" s="66" t="s">
        <v>131</v>
      </c>
      <c r="T17" s="78"/>
    </row>
    <row r="18" spans="1:20" ht="12.75" customHeight="1" x14ac:dyDescent="0.2">
      <c r="A18" s="70"/>
      <c r="B18" s="14" t="s">
        <v>5</v>
      </c>
      <c r="C18" s="15">
        <f>D18+E18+F18+G18+H18</f>
        <v>589476.375</v>
      </c>
      <c r="D18" s="16">
        <f t="shared" ref="D18" si="6">SUM(D19:D22)</f>
        <v>221966.2</v>
      </c>
      <c r="E18" s="16">
        <f t="shared" ref="E18:H18" si="7">SUM(E19:E22)</f>
        <v>0</v>
      </c>
      <c r="F18" s="16">
        <f t="shared" si="7"/>
        <v>0</v>
      </c>
      <c r="G18" s="16">
        <f t="shared" si="7"/>
        <v>198909.86799999999</v>
      </c>
      <c r="H18" s="16">
        <f t="shared" si="7"/>
        <v>168600.307</v>
      </c>
      <c r="I18" s="67"/>
      <c r="J18" s="67"/>
      <c r="K18" s="67"/>
      <c r="L18" s="67"/>
      <c r="M18" s="67"/>
      <c r="N18" s="67"/>
      <c r="O18" s="67"/>
      <c r="P18" s="104"/>
      <c r="Q18" s="67"/>
      <c r="R18" s="67"/>
      <c r="S18" s="67"/>
      <c r="T18" s="78"/>
    </row>
    <row r="19" spans="1:20" ht="12.75" customHeight="1" x14ac:dyDescent="0.2">
      <c r="A19" s="70"/>
      <c r="B19" s="14" t="s">
        <v>0</v>
      </c>
      <c r="C19" s="15">
        <f t="shared" ref="C19:C22" si="8">D19+E19+F19+G19+H19</f>
        <v>0</v>
      </c>
      <c r="D19" s="16"/>
      <c r="E19" s="16"/>
      <c r="F19" s="16"/>
      <c r="G19" s="16"/>
      <c r="H19" s="16"/>
      <c r="I19" s="67"/>
      <c r="J19" s="67"/>
      <c r="K19" s="67"/>
      <c r="L19" s="67"/>
      <c r="M19" s="67"/>
      <c r="N19" s="67"/>
      <c r="O19" s="67"/>
      <c r="P19" s="104"/>
      <c r="Q19" s="67"/>
      <c r="R19" s="67"/>
      <c r="S19" s="67"/>
      <c r="T19" s="78"/>
    </row>
    <row r="20" spans="1:20" ht="12.75" customHeight="1" x14ac:dyDescent="0.2">
      <c r="A20" s="70"/>
      <c r="B20" s="14" t="s">
        <v>1</v>
      </c>
      <c r="C20" s="15">
        <f t="shared" si="8"/>
        <v>589476.375</v>
      </c>
      <c r="D20" s="16">
        <v>221966.2</v>
      </c>
      <c r="E20" s="16">
        <v>0</v>
      </c>
      <c r="F20" s="16">
        <v>0</v>
      </c>
      <c r="G20" s="16">
        <v>198909.86799999999</v>
      </c>
      <c r="H20" s="16">
        <v>168600.307</v>
      </c>
      <c r="I20" s="67"/>
      <c r="J20" s="67"/>
      <c r="K20" s="67"/>
      <c r="L20" s="67"/>
      <c r="M20" s="67"/>
      <c r="N20" s="67"/>
      <c r="O20" s="67"/>
      <c r="P20" s="104"/>
      <c r="Q20" s="67"/>
      <c r="R20" s="67"/>
      <c r="S20" s="67"/>
      <c r="T20" s="78"/>
    </row>
    <row r="21" spans="1:20" ht="12.75" customHeight="1" x14ac:dyDescent="0.2">
      <c r="A21" s="70"/>
      <c r="B21" s="14" t="s">
        <v>2</v>
      </c>
      <c r="C21" s="15">
        <f t="shared" si="8"/>
        <v>0</v>
      </c>
      <c r="D21" s="16"/>
      <c r="E21" s="16"/>
      <c r="F21" s="16"/>
      <c r="G21" s="16"/>
      <c r="H21" s="16"/>
      <c r="I21" s="67"/>
      <c r="J21" s="67"/>
      <c r="K21" s="67"/>
      <c r="L21" s="67"/>
      <c r="M21" s="67"/>
      <c r="N21" s="67"/>
      <c r="O21" s="67"/>
      <c r="P21" s="104"/>
      <c r="Q21" s="67"/>
      <c r="R21" s="67"/>
      <c r="S21" s="67"/>
      <c r="T21" s="78"/>
    </row>
    <row r="22" spans="1:20" ht="12.75" customHeight="1" x14ac:dyDescent="0.2">
      <c r="A22" s="71"/>
      <c r="B22" s="14" t="s">
        <v>3</v>
      </c>
      <c r="C22" s="15">
        <f t="shared" si="8"/>
        <v>0</v>
      </c>
      <c r="D22" s="16"/>
      <c r="E22" s="16"/>
      <c r="F22" s="16"/>
      <c r="G22" s="16"/>
      <c r="H22" s="16"/>
      <c r="I22" s="68"/>
      <c r="J22" s="68"/>
      <c r="K22" s="68"/>
      <c r="L22" s="68"/>
      <c r="M22" s="68"/>
      <c r="N22" s="68"/>
      <c r="O22" s="68"/>
      <c r="P22" s="105"/>
      <c r="Q22" s="68"/>
      <c r="R22" s="68"/>
      <c r="S22" s="68"/>
      <c r="T22" s="78"/>
    </row>
    <row r="23" spans="1:20" ht="12.75" customHeight="1" x14ac:dyDescent="0.2">
      <c r="A23" s="69" t="s">
        <v>272</v>
      </c>
      <c r="B23" s="54" t="s">
        <v>700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</row>
    <row r="24" spans="1:20" x14ac:dyDescent="0.2">
      <c r="A24" s="70"/>
      <c r="B24" s="58" t="s">
        <v>132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50.1" customHeight="1" x14ac:dyDescent="0.2">
      <c r="A25" s="70"/>
      <c r="B25" s="72" t="s">
        <v>699</v>
      </c>
      <c r="C25" s="73"/>
      <c r="D25" s="73"/>
      <c r="E25" s="73"/>
      <c r="F25" s="73"/>
      <c r="G25" s="73"/>
      <c r="H25" s="74"/>
      <c r="I25" s="60" t="s">
        <v>24</v>
      </c>
      <c r="J25" s="60"/>
      <c r="K25" s="60" t="s">
        <v>40</v>
      </c>
      <c r="L25" s="60" t="s">
        <v>104</v>
      </c>
      <c r="M25" s="60" t="s">
        <v>678</v>
      </c>
      <c r="N25" s="60" t="s">
        <v>101</v>
      </c>
      <c r="O25" s="60" t="s">
        <v>678</v>
      </c>
      <c r="P25" s="63" t="s">
        <v>133</v>
      </c>
      <c r="Q25" s="60" t="s">
        <v>30</v>
      </c>
      <c r="R25" s="60" t="s">
        <v>103</v>
      </c>
      <c r="S25" s="60" t="s">
        <v>32</v>
      </c>
      <c r="T25" s="87" t="s">
        <v>550</v>
      </c>
    </row>
    <row r="26" spans="1:20" ht="12.75" customHeight="1" x14ac:dyDescent="0.2">
      <c r="A26" s="70"/>
      <c r="B26" s="30" t="s">
        <v>5</v>
      </c>
      <c r="C26" s="31">
        <f>SUM(D26:H26)</f>
        <v>580</v>
      </c>
      <c r="D26" s="32">
        <f t="shared" ref="D26" si="9">SUM(D27:D30)</f>
        <v>580</v>
      </c>
      <c r="E26" s="32">
        <f t="shared" ref="E26:H26" si="10">SUM(E27:E30)</f>
        <v>0</v>
      </c>
      <c r="F26" s="32">
        <f t="shared" si="10"/>
        <v>0</v>
      </c>
      <c r="G26" s="32">
        <f t="shared" si="10"/>
        <v>0</v>
      </c>
      <c r="H26" s="32">
        <f t="shared" si="10"/>
        <v>0</v>
      </c>
      <c r="I26" s="61"/>
      <c r="J26" s="61"/>
      <c r="K26" s="61"/>
      <c r="L26" s="61"/>
      <c r="M26" s="61"/>
      <c r="N26" s="61"/>
      <c r="O26" s="61"/>
      <c r="P26" s="64"/>
      <c r="Q26" s="61"/>
      <c r="R26" s="61"/>
      <c r="S26" s="61"/>
      <c r="T26" s="87"/>
    </row>
    <row r="27" spans="1:20" ht="12.75" customHeight="1" x14ac:dyDescent="0.2">
      <c r="A27" s="70"/>
      <c r="B27" s="30" t="s">
        <v>0</v>
      </c>
      <c r="C27" s="31">
        <f t="shared" ref="C27:C30" si="11">SUM(D27:H27)</f>
        <v>0</v>
      </c>
      <c r="D27" s="32">
        <f>2501400-102000-2399400</f>
        <v>0</v>
      </c>
      <c r="E27" s="32"/>
      <c r="F27" s="32"/>
      <c r="G27" s="32"/>
      <c r="H27" s="32"/>
      <c r="I27" s="61"/>
      <c r="J27" s="61"/>
      <c r="K27" s="61"/>
      <c r="L27" s="61"/>
      <c r="M27" s="61"/>
      <c r="N27" s="61"/>
      <c r="O27" s="61"/>
      <c r="P27" s="64"/>
      <c r="Q27" s="61"/>
      <c r="R27" s="61"/>
      <c r="S27" s="61"/>
      <c r="T27" s="87"/>
    </row>
    <row r="28" spans="1:20" ht="12.75" customHeight="1" x14ac:dyDescent="0.2">
      <c r="A28" s="70"/>
      <c r="B28" s="30" t="s">
        <v>1</v>
      </c>
      <c r="C28" s="31">
        <f t="shared" si="11"/>
        <v>580</v>
      </c>
      <c r="D28" s="32">
        <f>131700-5400+100000+273700-499420</f>
        <v>580</v>
      </c>
      <c r="E28" s="32"/>
      <c r="F28" s="32"/>
      <c r="G28" s="32"/>
      <c r="H28" s="32"/>
      <c r="I28" s="61"/>
      <c r="J28" s="61"/>
      <c r="K28" s="61"/>
      <c r="L28" s="61"/>
      <c r="M28" s="61"/>
      <c r="N28" s="61"/>
      <c r="O28" s="61"/>
      <c r="P28" s="64"/>
      <c r="Q28" s="61"/>
      <c r="R28" s="61"/>
      <c r="S28" s="61"/>
      <c r="T28" s="87"/>
    </row>
    <row r="29" spans="1:20" ht="12.75" customHeight="1" x14ac:dyDescent="0.2">
      <c r="A29" s="70"/>
      <c r="B29" s="30" t="s">
        <v>2</v>
      </c>
      <c r="C29" s="31">
        <f t="shared" si="11"/>
        <v>0</v>
      </c>
      <c r="D29" s="32"/>
      <c r="E29" s="32"/>
      <c r="F29" s="32"/>
      <c r="G29" s="32"/>
      <c r="H29" s="32"/>
      <c r="I29" s="61"/>
      <c r="J29" s="61"/>
      <c r="K29" s="61"/>
      <c r="L29" s="61"/>
      <c r="M29" s="61"/>
      <c r="N29" s="61"/>
      <c r="O29" s="61"/>
      <c r="P29" s="64"/>
      <c r="Q29" s="61"/>
      <c r="R29" s="61"/>
      <c r="S29" s="61"/>
      <c r="T29" s="87"/>
    </row>
    <row r="30" spans="1:20" ht="12.75" customHeight="1" x14ac:dyDescent="0.2">
      <c r="A30" s="71"/>
      <c r="B30" s="30" t="s">
        <v>3</v>
      </c>
      <c r="C30" s="31">
        <f t="shared" si="11"/>
        <v>0</v>
      </c>
      <c r="D30" s="32"/>
      <c r="E30" s="32"/>
      <c r="F30" s="32"/>
      <c r="G30" s="32"/>
      <c r="H30" s="32"/>
      <c r="I30" s="62"/>
      <c r="J30" s="62"/>
      <c r="K30" s="62"/>
      <c r="L30" s="62"/>
      <c r="M30" s="62"/>
      <c r="N30" s="62"/>
      <c r="O30" s="62"/>
      <c r="P30" s="65"/>
      <c r="Q30" s="62"/>
      <c r="R30" s="62"/>
      <c r="S30" s="62"/>
      <c r="T30" s="87"/>
    </row>
    <row r="31" spans="1:20" ht="12.75" customHeight="1" x14ac:dyDescent="0.2">
      <c r="A31" s="69" t="s">
        <v>487</v>
      </c>
      <c r="B31" s="54" t="s">
        <v>700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</row>
    <row r="32" spans="1:20" ht="12.75" customHeight="1" x14ac:dyDescent="0.2">
      <c r="A32" s="70"/>
      <c r="B32" s="58" t="s">
        <v>132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50.1" customHeight="1" x14ac:dyDescent="0.2">
      <c r="A33" s="70"/>
      <c r="B33" s="72" t="s">
        <v>488</v>
      </c>
      <c r="C33" s="73"/>
      <c r="D33" s="73"/>
      <c r="E33" s="73"/>
      <c r="F33" s="73"/>
      <c r="G33" s="73"/>
      <c r="H33" s="74"/>
      <c r="I33" s="60" t="s">
        <v>13</v>
      </c>
      <c r="J33" s="60"/>
      <c r="K33" s="60" t="s">
        <v>40</v>
      </c>
      <c r="L33" s="60"/>
      <c r="M33" s="60" t="s">
        <v>105</v>
      </c>
      <c r="N33" s="60" t="s">
        <v>101</v>
      </c>
      <c r="O33" s="60" t="s">
        <v>105</v>
      </c>
      <c r="P33" s="63" t="s">
        <v>539</v>
      </c>
      <c r="Q33" s="60" t="s">
        <v>30</v>
      </c>
      <c r="R33" s="60" t="s">
        <v>65</v>
      </c>
      <c r="S33" s="60" t="s">
        <v>32</v>
      </c>
      <c r="T33" s="60" t="s">
        <v>540</v>
      </c>
    </row>
    <row r="34" spans="1:20" ht="12.75" customHeight="1" x14ac:dyDescent="0.2">
      <c r="A34" s="70"/>
      <c r="B34" s="30" t="s">
        <v>5</v>
      </c>
      <c r="C34" s="31">
        <f>SUM(D34:H34)</f>
        <v>342.88626999999997</v>
      </c>
      <c r="D34" s="32">
        <f>SUM(D35:D38)</f>
        <v>342.88626999999997</v>
      </c>
      <c r="E34" s="32">
        <f t="shared" ref="E34:H34" si="12">SUM(E35:E38)</f>
        <v>0</v>
      </c>
      <c r="F34" s="32">
        <f t="shared" si="12"/>
        <v>0</v>
      </c>
      <c r="G34" s="32">
        <f t="shared" si="12"/>
        <v>0</v>
      </c>
      <c r="H34" s="32">
        <f t="shared" si="12"/>
        <v>0</v>
      </c>
      <c r="I34" s="61"/>
      <c r="J34" s="61"/>
      <c r="K34" s="61"/>
      <c r="L34" s="61"/>
      <c r="M34" s="61"/>
      <c r="N34" s="61"/>
      <c r="O34" s="61"/>
      <c r="P34" s="64"/>
      <c r="Q34" s="61"/>
      <c r="R34" s="61"/>
      <c r="S34" s="61"/>
      <c r="T34" s="61"/>
    </row>
    <row r="35" spans="1:20" ht="12.75" customHeight="1" x14ac:dyDescent="0.2">
      <c r="A35" s="70"/>
      <c r="B35" s="30" t="s">
        <v>0</v>
      </c>
      <c r="C35" s="31">
        <f>SUM(D35:H35)</f>
        <v>0</v>
      </c>
      <c r="D35" s="32"/>
      <c r="E35" s="32"/>
      <c r="F35" s="32"/>
      <c r="G35" s="32"/>
      <c r="H35" s="32"/>
      <c r="I35" s="61"/>
      <c r="J35" s="61"/>
      <c r="K35" s="61"/>
      <c r="L35" s="61"/>
      <c r="M35" s="61"/>
      <c r="N35" s="61"/>
      <c r="O35" s="61"/>
      <c r="P35" s="64"/>
      <c r="Q35" s="61"/>
      <c r="R35" s="61"/>
      <c r="S35" s="61"/>
      <c r="T35" s="61"/>
    </row>
    <row r="36" spans="1:20" ht="12.75" customHeight="1" x14ac:dyDescent="0.2">
      <c r="A36" s="70"/>
      <c r="B36" s="30" t="s">
        <v>1</v>
      </c>
      <c r="C36" s="31">
        <f t="shared" ref="C36:C38" si="13">SUM(D36:H36)</f>
        <v>342.88626999999997</v>
      </c>
      <c r="D36" s="32">
        <f>0+342.9-0.01373</f>
        <v>342.88626999999997</v>
      </c>
      <c r="E36" s="32"/>
      <c r="F36" s="32"/>
      <c r="G36" s="32"/>
      <c r="H36" s="32"/>
      <c r="I36" s="61"/>
      <c r="J36" s="61"/>
      <c r="K36" s="61"/>
      <c r="L36" s="61"/>
      <c r="M36" s="61"/>
      <c r="N36" s="61"/>
      <c r="O36" s="61"/>
      <c r="P36" s="64"/>
      <c r="Q36" s="61"/>
      <c r="R36" s="61"/>
      <c r="S36" s="61"/>
      <c r="T36" s="61"/>
    </row>
    <row r="37" spans="1:20" ht="12.75" customHeight="1" x14ac:dyDescent="0.2">
      <c r="A37" s="70"/>
      <c r="B37" s="30" t="s">
        <v>2</v>
      </c>
      <c r="C37" s="31">
        <f t="shared" si="13"/>
        <v>0</v>
      </c>
      <c r="D37" s="32"/>
      <c r="E37" s="32"/>
      <c r="F37" s="32"/>
      <c r="G37" s="32"/>
      <c r="H37" s="32"/>
      <c r="I37" s="61"/>
      <c r="J37" s="61"/>
      <c r="K37" s="61"/>
      <c r="L37" s="61"/>
      <c r="M37" s="61"/>
      <c r="N37" s="61"/>
      <c r="O37" s="61"/>
      <c r="P37" s="64"/>
      <c r="Q37" s="61"/>
      <c r="R37" s="61"/>
      <c r="S37" s="61"/>
      <c r="T37" s="61"/>
    </row>
    <row r="38" spans="1:20" ht="12.75" customHeight="1" x14ac:dyDescent="0.2">
      <c r="A38" s="71"/>
      <c r="B38" s="30" t="s">
        <v>3</v>
      </c>
      <c r="C38" s="31">
        <f t="shared" si="13"/>
        <v>0</v>
      </c>
      <c r="D38" s="32"/>
      <c r="E38" s="32"/>
      <c r="F38" s="32"/>
      <c r="G38" s="32"/>
      <c r="H38" s="32"/>
      <c r="I38" s="62"/>
      <c r="J38" s="62"/>
      <c r="K38" s="62"/>
      <c r="L38" s="62"/>
      <c r="M38" s="62"/>
      <c r="N38" s="62"/>
      <c r="O38" s="62"/>
      <c r="P38" s="65"/>
      <c r="Q38" s="62"/>
      <c r="R38" s="62"/>
      <c r="S38" s="62"/>
      <c r="T38" s="62"/>
    </row>
    <row r="39" spans="1:20" ht="12.75" customHeight="1" x14ac:dyDescent="0.2">
      <c r="A39" s="69" t="s">
        <v>573</v>
      </c>
      <c r="B39" s="85" t="s">
        <v>101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</row>
    <row r="40" spans="1:20" ht="12.75" customHeight="1" x14ac:dyDescent="0.2">
      <c r="A40" s="70"/>
      <c r="B40" s="79" t="s">
        <v>132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ht="50.1" customHeight="1" x14ac:dyDescent="0.2">
      <c r="A41" s="70"/>
      <c r="B41" s="84" t="s">
        <v>671</v>
      </c>
      <c r="C41" s="85"/>
      <c r="D41" s="85"/>
      <c r="E41" s="85"/>
      <c r="F41" s="85"/>
      <c r="G41" s="85"/>
      <c r="H41" s="86"/>
      <c r="I41" s="66" t="s">
        <v>22</v>
      </c>
      <c r="J41" s="66"/>
      <c r="K41" s="66" t="s">
        <v>557</v>
      </c>
      <c r="L41" s="66"/>
      <c r="M41" s="66" t="s">
        <v>575</v>
      </c>
      <c r="N41" s="66" t="s">
        <v>101</v>
      </c>
      <c r="O41" s="66" t="s">
        <v>575</v>
      </c>
      <c r="P41" s="66" t="s">
        <v>579</v>
      </c>
      <c r="Q41" s="66" t="s">
        <v>30</v>
      </c>
      <c r="R41" s="66" t="s">
        <v>8</v>
      </c>
      <c r="S41" s="66" t="s">
        <v>31</v>
      </c>
      <c r="T41" s="66" t="s">
        <v>576</v>
      </c>
    </row>
    <row r="42" spans="1:20" ht="12.75" customHeight="1" x14ac:dyDescent="0.2">
      <c r="A42" s="70"/>
      <c r="B42" s="14" t="s">
        <v>5</v>
      </c>
      <c r="C42" s="15">
        <f>SUM(D42:H42)</f>
        <v>1899.9999999999991</v>
      </c>
      <c r="D42" s="16">
        <f>SUM(D43:D46)</f>
        <v>1899.9999999999991</v>
      </c>
      <c r="E42" s="16">
        <f t="shared" ref="E42:H42" si="14">SUM(E43:E46)</f>
        <v>0</v>
      </c>
      <c r="F42" s="16">
        <f t="shared" si="14"/>
        <v>0</v>
      </c>
      <c r="G42" s="16">
        <f t="shared" si="14"/>
        <v>0</v>
      </c>
      <c r="H42" s="16">
        <f t="shared" si="14"/>
        <v>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2.75" customHeight="1" x14ac:dyDescent="0.2">
      <c r="A43" s="70"/>
      <c r="B43" s="14" t="s">
        <v>0</v>
      </c>
      <c r="C43" s="15">
        <f t="shared" ref="C43:C46" si="15">SUM(D43:H43)</f>
        <v>0</v>
      </c>
      <c r="D43" s="16"/>
      <c r="E43" s="16"/>
      <c r="F43" s="16"/>
      <c r="G43" s="16"/>
      <c r="H43" s="1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2.75" customHeight="1" x14ac:dyDescent="0.2">
      <c r="A44" s="70"/>
      <c r="B44" s="14" t="s">
        <v>1</v>
      </c>
      <c r="C44" s="15">
        <f t="shared" si="15"/>
        <v>1899.9999999999991</v>
      </c>
      <c r="D44" s="16">
        <f>0+9428.158-7528.158</f>
        <v>1899.9999999999991</v>
      </c>
      <c r="E44" s="16"/>
      <c r="F44" s="16"/>
      <c r="G44" s="16"/>
      <c r="H44" s="1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2.75" customHeight="1" x14ac:dyDescent="0.2">
      <c r="A45" s="70"/>
      <c r="B45" s="14" t="s">
        <v>2</v>
      </c>
      <c r="C45" s="15">
        <f t="shared" si="15"/>
        <v>0</v>
      </c>
      <c r="D45" s="16"/>
      <c r="E45" s="16"/>
      <c r="F45" s="16"/>
      <c r="G45" s="16"/>
      <c r="H45" s="1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2.75" customHeight="1" x14ac:dyDescent="0.2">
      <c r="A46" s="71"/>
      <c r="B46" s="14" t="s">
        <v>3</v>
      </c>
      <c r="C46" s="15">
        <f t="shared" si="15"/>
        <v>0</v>
      </c>
      <c r="D46" s="16"/>
      <c r="E46" s="16"/>
      <c r="F46" s="16"/>
      <c r="G46" s="16"/>
      <c r="H46" s="16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0" ht="12.75" customHeight="1" x14ac:dyDescent="0.2">
      <c r="A47" s="69" t="s">
        <v>574</v>
      </c>
      <c r="B47" s="85" t="s">
        <v>101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6"/>
    </row>
    <row r="48" spans="1:20" ht="12.75" customHeight="1" x14ac:dyDescent="0.2">
      <c r="A48" s="70"/>
      <c r="B48" s="84" t="s">
        <v>132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</row>
    <row r="49" spans="1:20" ht="50.1" customHeight="1" x14ac:dyDescent="0.2">
      <c r="A49" s="70"/>
      <c r="B49" s="59" t="s">
        <v>589</v>
      </c>
      <c r="C49" s="54"/>
      <c r="D49" s="54"/>
      <c r="E49" s="54"/>
      <c r="F49" s="54"/>
      <c r="G49" s="54"/>
      <c r="H49" s="55"/>
      <c r="I49" s="60" t="s">
        <v>22</v>
      </c>
      <c r="J49" s="60"/>
      <c r="K49" s="60" t="s">
        <v>557</v>
      </c>
      <c r="L49" s="60"/>
      <c r="M49" s="60" t="s">
        <v>578</v>
      </c>
      <c r="N49" s="60" t="s">
        <v>101</v>
      </c>
      <c r="O49" s="60" t="s">
        <v>578</v>
      </c>
      <c r="P49" s="60" t="s">
        <v>577</v>
      </c>
      <c r="Q49" s="60" t="s">
        <v>30</v>
      </c>
      <c r="R49" s="60" t="s">
        <v>8</v>
      </c>
      <c r="S49" s="60" t="s">
        <v>31</v>
      </c>
      <c r="T49" s="60" t="s">
        <v>576</v>
      </c>
    </row>
    <row r="50" spans="1:20" ht="12.75" customHeight="1" x14ac:dyDescent="0.2">
      <c r="A50" s="70"/>
      <c r="B50" s="30" t="s">
        <v>5</v>
      </c>
      <c r="C50" s="31">
        <f>SUM(D50:H50)</f>
        <v>6734.2640000000001</v>
      </c>
      <c r="D50" s="32">
        <f>SUM(D51:D54)</f>
        <v>6734.2640000000001</v>
      </c>
      <c r="E50" s="32">
        <f t="shared" ref="E50:H50" si="16">SUM(E51:E54)</f>
        <v>0</v>
      </c>
      <c r="F50" s="32">
        <f t="shared" si="16"/>
        <v>0</v>
      </c>
      <c r="G50" s="32">
        <f t="shared" si="16"/>
        <v>0</v>
      </c>
      <c r="H50" s="32">
        <f t="shared" si="16"/>
        <v>0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2.75" customHeight="1" x14ac:dyDescent="0.2">
      <c r="A51" s="70"/>
      <c r="B51" s="30" t="s">
        <v>0</v>
      </c>
      <c r="C51" s="31">
        <f t="shared" ref="C51:C54" si="17">SUM(D51:H51)</f>
        <v>0</v>
      </c>
      <c r="D51" s="32"/>
      <c r="E51" s="32"/>
      <c r="F51" s="32"/>
      <c r="G51" s="32"/>
      <c r="H51" s="32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12.75" customHeight="1" x14ac:dyDescent="0.2">
      <c r="A52" s="70"/>
      <c r="B52" s="30" t="s">
        <v>1</v>
      </c>
      <c r="C52" s="31">
        <f t="shared" si="17"/>
        <v>6734.2640000000001</v>
      </c>
      <c r="D52" s="32">
        <f>0+6734.264</f>
        <v>6734.2640000000001</v>
      </c>
      <c r="E52" s="32"/>
      <c r="F52" s="32"/>
      <c r="G52" s="32"/>
      <c r="H52" s="32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 customHeight="1" x14ac:dyDescent="0.2">
      <c r="A53" s="70"/>
      <c r="B53" s="30" t="s">
        <v>2</v>
      </c>
      <c r="C53" s="31">
        <f t="shared" si="17"/>
        <v>0</v>
      </c>
      <c r="D53" s="32"/>
      <c r="E53" s="32"/>
      <c r="F53" s="32"/>
      <c r="G53" s="32"/>
      <c r="H53" s="32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ht="12.75" customHeight="1" x14ac:dyDescent="0.2">
      <c r="A54" s="71"/>
      <c r="B54" s="30" t="s">
        <v>3</v>
      </c>
      <c r="C54" s="31">
        <f t="shared" si="17"/>
        <v>0</v>
      </c>
      <c r="D54" s="32"/>
      <c r="E54" s="32"/>
      <c r="F54" s="32"/>
      <c r="G54" s="32"/>
      <c r="H54" s="3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2.75" customHeight="1" x14ac:dyDescent="0.2">
      <c r="A55" s="69" t="s">
        <v>590</v>
      </c>
      <c r="B55" s="54" t="s">
        <v>700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</row>
    <row r="56" spans="1:20" ht="12.75" customHeight="1" x14ac:dyDescent="0.2">
      <c r="A56" s="70"/>
      <c r="B56" s="58" t="s">
        <v>132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50.1" customHeight="1" x14ac:dyDescent="0.2">
      <c r="A57" s="70"/>
      <c r="B57" s="59" t="s">
        <v>588</v>
      </c>
      <c r="C57" s="54"/>
      <c r="D57" s="54"/>
      <c r="E57" s="54"/>
      <c r="F57" s="54"/>
      <c r="G57" s="54"/>
      <c r="H57" s="55"/>
      <c r="I57" s="60" t="s">
        <v>22</v>
      </c>
      <c r="J57" s="60" t="s">
        <v>22</v>
      </c>
      <c r="K57" s="60" t="s">
        <v>40</v>
      </c>
      <c r="L57" s="60"/>
      <c r="M57" s="60" t="s">
        <v>678</v>
      </c>
      <c r="N57" s="60" t="s">
        <v>101</v>
      </c>
      <c r="O57" s="60" t="s">
        <v>678</v>
      </c>
      <c r="P57" s="63" t="s">
        <v>591</v>
      </c>
      <c r="Q57" s="60" t="s">
        <v>30</v>
      </c>
      <c r="R57" s="60" t="s">
        <v>592</v>
      </c>
      <c r="S57" s="60" t="s">
        <v>25</v>
      </c>
      <c r="T57" s="60"/>
    </row>
    <row r="58" spans="1:20" ht="12.75" customHeight="1" x14ac:dyDescent="0.2">
      <c r="A58" s="70"/>
      <c r="B58" s="30" t="s">
        <v>5</v>
      </c>
      <c r="C58" s="31">
        <f>SUM(D58:H58)</f>
        <v>54733.322</v>
      </c>
      <c r="D58" s="32">
        <f>SUM(D59:D62)</f>
        <v>1500</v>
      </c>
      <c r="E58" s="32">
        <f t="shared" ref="E58:H58" si="18">SUM(E59:E62)</f>
        <v>53233.322</v>
      </c>
      <c r="F58" s="32">
        <f t="shared" si="18"/>
        <v>0</v>
      </c>
      <c r="G58" s="32">
        <f t="shared" si="18"/>
        <v>0</v>
      </c>
      <c r="H58" s="32">
        <f t="shared" si="18"/>
        <v>0</v>
      </c>
      <c r="I58" s="61"/>
      <c r="J58" s="61"/>
      <c r="K58" s="61"/>
      <c r="L58" s="61"/>
      <c r="M58" s="61"/>
      <c r="N58" s="61"/>
      <c r="O58" s="61"/>
      <c r="P58" s="64"/>
      <c r="Q58" s="61"/>
      <c r="R58" s="61"/>
      <c r="S58" s="61"/>
      <c r="T58" s="61"/>
    </row>
    <row r="59" spans="1:20" ht="12.75" customHeight="1" x14ac:dyDescent="0.2">
      <c r="A59" s="70"/>
      <c r="B59" s="30" t="s">
        <v>0</v>
      </c>
      <c r="C59" s="31">
        <f>SUM(D59:H59)</f>
        <v>0</v>
      </c>
      <c r="D59" s="32"/>
      <c r="E59" s="32"/>
      <c r="F59" s="32"/>
      <c r="G59" s="32"/>
      <c r="H59" s="32"/>
      <c r="I59" s="61"/>
      <c r="J59" s="61"/>
      <c r="K59" s="61"/>
      <c r="L59" s="61"/>
      <c r="M59" s="61"/>
      <c r="N59" s="61"/>
      <c r="O59" s="61"/>
      <c r="P59" s="64"/>
      <c r="Q59" s="61"/>
      <c r="R59" s="61"/>
      <c r="S59" s="61"/>
      <c r="T59" s="61"/>
    </row>
    <row r="60" spans="1:20" ht="12.75" customHeight="1" x14ac:dyDescent="0.2">
      <c r="A60" s="70"/>
      <c r="B60" s="30" t="s">
        <v>1</v>
      </c>
      <c r="C60" s="31">
        <f>SUM(D60:H60)</f>
        <v>54733.322</v>
      </c>
      <c r="D60" s="32">
        <f>0+1500</f>
        <v>1500</v>
      </c>
      <c r="E60" s="32">
        <f>0+53233.322</f>
        <v>53233.322</v>
      </c>
      <c r="F60" s="32"/>
      <c r="G60" s="32"/>
      <c r="H60" s="32"/>
      <c r="I60" s="61"/>
      <c r="J60" s="61"/>
      <c r="K60" s="61"/>
      <c r="L60" s="61"/>
      <c r="M60" s="61"/>
      <c r="N60" s="61"/>
      <c r="O60" s="61"/>
      <c r="P60" s="64"/>
      <c r="Q60" s="61"/>
      <c r="R60" s="61"/>
      <c r="S60" s="61"/>
      <c r="T60" s="61"/>
    </row>
    <row r="61" spans="1:20" ht="12.75" customHeight="1" x14ac:dyDescent="0.2">
      <c r="A61" s="70"/>
      <c r="B61" s="30" t="s">
        <v>2</v>
      </c>
      <c r="C61" s="31">
        <f t="shared" ref="C61:C62" si="19">SUM(D61:H61)</f>
        <v>0</v>
      </c>
      <c r="D61" s="32"/>
      <c r="E61" s="32"/>
      <c r="F61" s="32"/>
      <c r="G61" s="32"/>
      <c r="H61" s="32"/>
      <c r="I61" s="61"/>
      <c r="J61" s="61"/>
      <c r="K61" s="61"/>
      <c r="L61" s="61"/>
      <c r="M61" s="61"/>
      <c r="N61" s="61"/>
      <c r="O61" s="61"/>
      <c r="P61" s="64"/>
      <c r="Q61" s="61"/>
      <c r="R61" s="61"/>
      <c r="S61" s="61"/>
      <c r="T61" s="61"/>
    </row>
    <row r="62" spans="1:20" ht="12.75" customHeight="1" x14ac:dyDescent="0.2">
      <c r="A62" s="71"/>
      <c r="B62" s="30" t="s">
        <v>3</v>
      </c>
      <c r="C62" s="31">
        <f t="shared" si="19"/>
        <v>0</v>
      </c>
      <c r="D62" s="32"/>
      <c r="E62" s="32"/>
      <c r="F62" s="32"/>
      <c r="G62" s="32"/>
      <c r="H62" s="32"/>
      <c r="I62" s="62"/>
      <c r="J62" s="62"/>
      <c r="K62" s="62"/>
      <c r="L62" s="62"/>
      <c r="M62" s="62"/>
      <c r="N62" s="62"/>
      <c r="O62" s="62"/>
      <c r="P62" s="65"/>
      <c r="Q62" s="62"/>
      <c r="R62" s="62"/>
      <c r="S62" s="62"/>
      <c r="T62" s="62"/>
    </row>
    <row r="63" spans="1:20" ht="12.75" customHeight="1" x14ac:dyDescent="0.2">
      <c r="A63" s="51" t="s">
        <v>679</v>
      </c>
      <c r="B63" s="54" t="s">
        <v>101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5"/>
    </row>
    <row r="64" spans="1:20" ht="12.75" customHeight="1" x14ac:dyDescent="0.2">
      <c r="A64" s="52"/>
      <c r="B64" s="59" t="s">
        <v>132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/>
    </row>
    <row r="65" spans="1:20" ht="50.1" customHeight="1" x14ac:dyDescent="0.2">
      <c r="A65" s="52"/>
      <c r="B65" s="59" t="s">
        <v>683</v>
      </c>
      <c r="C65" s="54"/>
      <c r="D65" s="54"/>
      <c r="E65" s="54"/>
      <c r="F65" s="54"/>
      <c r="G65" s="54"/>
      <c r="H65" s="55"/>
      <c r="I65" s="60"/>
      <c r="J65" s="60" t="s">
        <v>116</v>
      </c>
      <c r="K65" s="60" t="s">
        <v>40</v>
      </c>
      <c r="L65" s="60"/>
      <c r="M65" s="60" t="s">
        <v>101</v>
      </c>
      <c r="N65" s="60" t="s">
        <v>101</v>
      </c>
      <c r="O65" s="60" t="s">
        <v>101</v>
      </c>
      <c r="P65" s="60" t="s">
        <v>684</v>
      </c>
      <c r="Q65" s="60" t="s">
        <v>30</v>
      </c>
      <c r="R65" s="60" t="s">
        <v>685</v>
      </c>
      <c r="S65" s="60"/>
      <c r="T65" s="60"/>
    </row>
    <row r="66" spans="1:20" ht="12.75" customHeight="1" x14ac:dyDescent="0.2">
      <c r="A66" s="52"/>
      <c r="B66" s="30" t="s">
        <v>5</v>
      </c>
      <c r="C66" s="31">
        <f>SUM(D66:H66)</f>
        <v>231.07382999999999</v>
      </c>
      <c r="D66" s="32">
        <f>SUM(D67:D70)</f>
        <v>231.07382999999999</v>
      </c>
      <c r="E66" s="32">
        <f t="shared" ref="E66:H66" si="20">SUM(E67:E70)</f>
        <v>0</v>
      </c>
      <c r="F66" s="32">
        <f t="shared" si="20"/>
        <v>0</v>
      </c>
      <c r="G66" s="32">
        <f t="shared" si="20"/>
        <v>0</v>
      </c>
      <c r="H66" s="32">
        <f t="shared" si="20"/>
        <v>0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ht="12.75" customHeight="1" x14ac:dyDescent="0.2">
      <c r="A67" s="52"/>
      <c r="B67" s="30" t="s">
        <v>0</v>
      </c>
      <c r="C67" s="31">
        <f t="shared" ref="C67:C70" si="21">SUM(D67:H67)</f>
        <v>0</v>
      </c>
      <c r="D67" s="32"/>
      <c r="E67" s="32"/>
      <c r="F67" s="32"/>
      <c r="G67" s="32"/>
      <c r="H67" s="32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ht="12.75" customHeight="1" x14ac:dyDescent="0.2">
      <c r="A68" s="52"/>
      <c r="B68" s="30" t="s">
        <v>1</v>
      </c>
      <c r="C68" s="31">
        <f t="shared" si="21"/>
        <v>231.07382999999999</v>
      </c>
      <c r="D68" s="32">
        <f>0+231.07383</f>
        <v>231.07382999999999</v>
      </c>
      <c r="E68" s="32"/>
      <c r="F68" s="32"/>
      <c r="G68" s="32"/>
      <c r="H68" s="32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ht="12.75" customHeight="1" x14ac:dyDescent="0.2">
      <c r="A69" s="52"/>
      <c r="B69" s="30" t="s">
        <v>2</v>
      </c>
      <c r="C69" s="31">
        <f t="shared" si="21"/>
        <v>0</v>
      </c>
      <c r="D69" s="32"/>
      <c r="E69" s="32"/>
      <c r="F69" s="32"/>
      <c r="G69" s="32"/>
      <c r="H69" s="32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ht="12.75" customHeight="1" x14ac:dyDescent="0.2">
      <c r="A70" s="53"/>
      <c r="B70" s="30" t="s">
        <v>3</v>
      </c>
      <c r="C70" s="31">
        <f t="shared" si="21"/>
        <v>0</v>
      </c>
      <c r="D70" s="32"/>
      <c r="E70" s="32"/>
      <c r="F70" s="32"/>
      <c r="G70" s="32"/>
      <c r="H70" s="3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x14ac:dyDescent="0.2">
      <c r="A71" s="88" t="s">
        <v>106</v>
      </c>
      <c r="B71" s="58" t="s">
        <v>134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x14ac:dyDescent="0.2">
      <c r="A72" s="89"/>
      <c r="B72" s="33" t="s">
        <v>5</v>
      </c>
      <c r="C72" s="34">
        <f>SUM(D72:H72)</f>
        <v>4871373.3717700001</v>
      </c>
      <c r="D72" s="34">
        <f t="shared" ref="D72" si="22">SUM(D73:D76)</f>
        <v>1762250.7473499998</v>
      </c>
      <c r="E72" s="34">
        <f>SUM(E73:E76)</f>
        <v>971684.06182000006</v>
      </c>
      <c r="F72" s="34">
        <f t="shared" ref="F72" si="23">SUM(F73:F76)</f>
        <v>1621014.8103400001</v>
      </c>
      <c r="G72" s="34">
        <f t="shared" ref="G72:H72" si="24">SUM(G73:G76)</f>
        <v>516423.75225999998</v>
      </c>
      <c r="H72" s="34">
        <f t="shared" si="24"/>
        <v>0</v>
      </c>
      <c r="I72" s="150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2"/>
    </row>
    <row r="73" spans="1:20" ht="12.75" customHeight="1" x14ac:dyDescent="0.2">
      <c r="A73" s="89"/>
      <c r="B73" s="33" t="s">
        <v>0</v>
      </c>
      <c r="C73" s="34">
        <f t="shared" ref="C73:C76" si="25">SUM(D73:H73)</f>
        <v>1872410.3</v>
      </c>
      <c r="D73" s="34">
        <f>D81+D89+D97+D105+D113+D121+D129+D137+D145+D153+D161+D169+D177+D193+D209+D217+D185+D201+D225</f>
        <v>546781.30000000005</v>
      </c>
      <c r="E73" s="34">
        <f t="shared" ref="E73:H73" si="26">E81+E89+E97+E105+E113+E121+E129+E137+E145+E153+E161+E169+E177+E193+E209+E217+E185+E201+E225</f>
        <v>784884.5</v>
      </c>
      <c r="F73" s="34">
        <f t="shared" si="26"/>
        <v>439067.2</v>
      </c>
      <c r="G73" s="34">
        <f t="shared" si="26"/>
        <v>101677.3</v>
      </c>
      <c r="H73" s="34">
        <f t="shared" si="26"/>
        <v>0</v>
      </c>
      <c r="I73" s="153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5"/>
    </row>
    <row r="74" spans="1:20" ht="12.75" customHeight="1" x14ac:dyDescent="0.2">
      <c r="A74" s="89"/>
      <c r="B74" s="33" t="s">
        <v>1</v>
      </c>
      <c r="C74" s="34">
        <f t="shared" si="25"/>
        <v>2990952.6844199998</v>
      </c>
      <c r="D74" s="34">
        <f t="shared" ref="D74:H76" si="27">D82+D90+D98+D106+D114+D122+D130+D138+D146+D154+D162+D170+D178+D194+D210+D218+D186+D202+D226</f>
        <v>1211369.8887999998</v>
      </c>
      <c r="E74" s="34">
        <f t="shared" si="27"/>
        <v>184962.46528</v>
      </c>
      <c r="F74" s="34">
        <f t="shared" si="27"/>
        <v>1181947.6103400001</v>
      </c>
      <c r="G74" s="34">
        <f t="shared" si="27"/>
        <v>412672.72</v>
      </c>
      <c r="H74" s="34">
        <f t="shared" si="27"/>
        <v>0</v>
      </c>
      <c r="I74" s="153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5"/>
    </row>
    <row r="75" spans="1:20" ht="12.75" customHeight="1" x14ac:dyDescent="0.2">
      <c r="A75" s="89"/>
      <c r="B75" s="33" t="s">
        <v>2</v>
      </c>
      <c r="C75" s="34">
        <f t="shared" si="25"/>
        <v>8010.3873500000009</v>
      </c>
      <c r="D75" s="34">
        <f t="shared" si="27"/>
        <v>4099.5585499999997</v>
      </c>
      <c r="E75" s="34">
        <f t="shared" si="27"/>
        <v>1837.09654</v>
      </c>
      <c r="F75" s="34">
        <f t="shared" si="27"/>
        <v>0</v>
      </c>
      <c r="G75" s="34">
        <f t="shared" si="27"/>
        <v>2073.7322600000002</v>
      </c>
      <c r="H75" s="34">
        <f t="shared" si="27"/>
        <v>0</v>
      </c>
      <c r="I75" s="153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5"/>
    </row>
    <row r="76" spans="1:20" ht="12.75" customHeight="1" x14ac:dyDescent="0.2">
      <c r="A76" s="90"/>
      <c r="B76" s="33" t="s">
        <v>3</v>
      </c>
      <c r="C76" s="34">
        <f t="shared" si="25"/>
        <v>0</v>
      </c>
      <c r="D76" s="34">
        <f t="shared" si="27"/>
        <v>0</v>
      </c>
      <c r="E76" s="34">
        <f t="shared" si="27"/>
        <v>0</v>
      </c>
      <c r="F76" s="34">
        <f t="shared" si="27"/>
        <v>0</v>
      </c>
      <c r="G76" s="34">
        <f t="shared" si="27"/>
        <v>0</v>
      </c>
      <c r="H76" s="34">
        <f t="shared" si="27"/>
        <v>0</v>
      </c>
      <c r="I76" s="156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</row>
    <row r="77" spans="1:20" x14ac:dyDescent="0.2">
      <c r="A77" s="69" t="s">
        <v>285</v>
      </c>
      <c r="B77" s="54" t="s">
        <v>700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5"/>
    </row>
    <row r="78" spans="1:20" x14ac:dyDescent="0.2">
      <c r="A78" s="70" t="s">
        <v>102</v>
      </c>
      <c r="B78" s="58" t="s">
        <v>135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50.1" customHeight="1" x14ac:dyDescent="0.2">
      <c r="A79" s="70"/>
      <c r="B79" s="72" t="s">
        <v>137</v>
      </c>
      <c r="C79" s="73"/>
      <c r="D79" s="73"/>
      <c r="E79" s="73"/>
      <c r="F79" s="73"/>
      <c r="G79" s="73"/>
      <c r="H79" s="74"/>
      <c r="I79" s="60" t="s">
        <v>24</v>
      </c>
      <c r="J79" s="60"/>
      <c r="K79" s="60" t="s">
        <v>40</v>
      </c>
      <c r="L79" s="60" t="s">
        <v>109</v>
      </c>
      <c r="M79" s="60" t="s">
        <v>105</v>
      </c>
      <c r="N79" s="60" t="s">
        <v>378</v>
      </c>
      <c r="O79" s="60" t="s">
        <v>105</v>
      </c>
      <c r="P79" s="63" t="s">
        <v>193</v>
      </c>
      <c r="Q79" s="60" t="s">
        <v>30</v>
      </c>
      <c r="R79" s="60" t="s">
        <v>60</v>
      </c>
      <c r="S79" s="60" t="s">
        <v>32</v>
      </c>
      <c r="T79" s="87" t="s">
        <v>422</v>
      </c>
    </row>
    <row r="80" spans="1:20" ht="12.75" customHeight="1" x14ac:dyDescent="0.2">
      <c r="A80" s="70"/>
      <c r="B80" s="30" t="s">
        <v>5</v>
      </c>
      <c r="C80" s="31">
        <f>SUM(D80:H80)</f>
        <v>80000</v>
      </c>
      <c r="D80" s="32">
        <f t="shared" ref="D80" si="28">SUM(D81:D84)</f>
        <v>0</v>
      </c>
      <c r="E80" s="32">
        <f t="shared" ref="E80:H80" si="29">SUM(E81:E84)</f>
        <v>0</v>
      </c>
      <c r="F80" s="32">
        <f t="shared" si="29"/>
        <v>80000</v>
      </c>
      <c r="G80" s="32">
        <f t="shared" si="29"/>
        <v>0</v>
      </c>
      <c r="H80" s="32">
        <f t="shared" si="29"/>
        <v>0</v>
      </c>
      <c r="I80" s="61"/>
      <c r="J80" s="61"/>
      <c r="K80" s="61"/>
      <c r="L80" s="61"/>
      <c r="M80" s="61"/>
      <c r="N80" s="61"/>
      <c r="O80" s="61"/>
      <c r="P80" s="64"/>
      <c r="Q80" s="61"/>
      <c r="R80" s="61"/>
      <c r="S80" s="61"/>
      <c r="T80" s="87"/>
    </row>
    <row r="81" spans="1:20" ht="12.75" customHeight="1" x14ac:dyDescent="0.2">
      <c r="A81" s="70"/>
      <c r="B81" s="30" t="s">
        <v>0</v>
      </c>
      <c r="C81" s="31">
        <f t="shared" ref="C81:C84" si="30">SUM(D81:H81)</f>
        <v>0</v>
      </c>
      <c r="D81" s="32"/>
      <c r="E81" s="32"/>
      <c r="F81" s="32"/>
      <c r="G81" s="32"/>
      <c r="H81" s="32"/>
      <c r="I81" s="61"/>
      <c r="J81" s="61"/>
      <c r="K81" s="61"/>
      <c r="L81" s="61"/>
      <c r="M81" s="61"/>
      <c r="N81" s="61"/>
      <c r="O81" s="61"/>
      <c r="P81" s="64"/>
      <c r="Q81" s="61"/>
      <c r="R81" s="61"/>
      <c r="S81" s="61"/>
      <c r="T81" s="87"/>
    </row>
    <row r="82" spans="1:20" ht="12.75" customHeight="1" x14ac:dyDescent="0.2">
      <c r="A82" s="70"/>
      <c r="B82" s="30" t="s">
        <v>1</v>
      </c>
      <c r="C82" s="31">
        <f t="shared" si="30"/>
        <v>80000</v>
      </c>
      <c r="D82" s="32">
        <v>0</v>
      </c>
      <c r="E82" s="32">
        <v>0</v>
      </c>
      <c r="F82" s="32">
        <v>80000</v>
      </c>
      <c r="G82" s="32"/>
      <c r="H82" s="32"/>
      <c r="I82" s="61"/>
      <c r="J82" s="61"/>
      <c r="K82" s="61"/>
      <c r="L82" s="61"/>
      <c r="M82" s="61"/>
      <c r="N82" s="61"/>
      <c r="O82" s="61"/>
      <c r="P82" s="64"/>
      <c r="Q82" s="61"/>
      <c r="R82" s="61"/>
      <c r="S82" s="61"/>
      <c r="T82" s="87"/>
    </row>
    <row r="83" spans="1:20" ht="12.75" customHeight="1" x14ac:dyDescent="0.2">
      <c r="A83" s="70"/>
      <c r="B83" s="30" t="s">
        <v>2</v>
      </c>
      <c r="C83" s="31">
        <f t="shared" si="30"/>
        <v>0</v>
      </c>
      <c r="D83" s="32"/>
      <c r="E83" s="32"/>
      <c r="F83" s="32"/>
      <c r="G83" s="32"/>
      <c r="H83" s="32"/>
      <c r="I83" s="61"/>
      <c r="J83" s="61"/>
      <c r="K83" s="61"/>
      <c r="L83" s="61"/>
      <c r="M83" s="61"/>
      <c r="N83" s="61"/>
      <c r="O83" s="61"/>
      <c r="P83" s="64"/>
      <c r="Q83" s="61"/>
      <c r="R83" s="61"/>
      <c r="S83" s="61"/>
      <c r="T83" s="87"/>
    </row>
    <row r="84" spans="1:20" ht="12.75" customHeight="1" x14ac:dyDescent="0.2">
      <c r="A84" s="71"/>
      <c r="B84" s="30" t="s">
        <v>3</v>
      </c>
      <c r="C84" s="31">
        <f t="shared" si="30"/>
        <v>0</v>
      </c>
      <c r="D84" s="32"/>
      <c r="E84" s="32"/>
      <c r="F84" s="32"/>
      <c r="G84" s="32"/>
      <c r="H84" s="32"/>
      <c r="I84" s="62"/>
      <c r="J84" s="62"/>
      <c r="K84" s="62"/>
      <c r="L84" s="62"/>
      <c r="M84" s="62"/>
      <c r="N84" s="62"/>
      <c r="O84" s="62"/>
      <c r="P84" s="65"/>
      <c r="Q84" s="62"/>
      <c r="R84" s="62"/>
      <c r="S84" s="62"/>
      <c r="T84" s="87"/>
    </row>
    <row r="85" spans="1:20" x14ac:dyDescent="0.2">
      <c r="A85" s="69" t="s">
        <v>286</v>
      </c>
      <c r="B85" s="54" t="s">
        <v>700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5"/>
    </row>
    <row r="86" spans="1:20" x14ac:dyDescent="0.2">
      <c r="A86" s="70" t="s">
        <v>102</v>
      </c>
      <c r="B86" s="58" t="s">
        <v>135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50.1" customHeight="1" x14ac:dyDescent="0.2">
      <c r="A87" s="70"/>
      <c r="B87" s="72" t="s">
        <v>138</v>
      </c>
      <c r="C87" s="73"/>
      <c r="D87" s="73"/>
      <c r="E87" s="73"/>
      <c r="F87" s="73"/>
      <c r="G87" s="73"/>
      <c r="H87" s="74"/>
      <c r="I87" s="60" t="s">
        <v>24</v>
      </c>
      <c r="J87" s="60"/>
      <c r="K87" s="60" t="s">
        <v>40</v>
      </c>
      <c r="L87" s="60" t="s">
        <v>109</v>
      </c>
      <c r="M87" s="60" t="s">
        <v>105</v>
      </c>
      <c r="N87" s="60" t="s">
        <v>378</v>
      </c>
      <c r="O87" s="60" t="s">
        <v>105</v>
      </c>
      <c r="P87" s="63" t="s">
        <v>139</v>
      </c>
      <c r="Q87" s="60" t="s">
        <v>30</v>
      </c>
      <c r="R87" s="60" t="s">
        <v>57</v>
      </c>
      <c r="S87" s="60" t="s">
        <v>31</v>
      </c>
      <c r="T87" s="87" t="s">
        <v>194</v>
      </c>
    </row>
    <row r="88" spans="1:20" ht="12.75" customHeight="1" x14ac:dyDescent="0.2">
      <c r="A88" s="70"/>
      <c r="B88" s="30" t="s">
        <v>5</v>
      </c>
      <c r="C88" s="31">
        <f>SUM(D88:H88)</f>
        <v>100000</v>
      </c>
      <c r="D88" s="32">
        <f t="shared" ref="D88:E88" si="31">SUM(D89:D92)</f>
        <v>0</v>
      </c>
      <c r="E88" s="32">
        <f t="shared" si="31"/>
        <v>0</v>
      </c>
      <c r="F88" s="32">
        <f t="shared" ref="F88:H88" si="32">SUM(F89:F92)</f>
        <v>100000</v>
      </c>
      <c r="G88" s="32">
        <f t="shared" si="32"/>
        <v>0</v>
      </c>
      <c r="H88" s="32">
        <f t="shared" si="32"/>
        <v>0</v>
      </c>
      <c r="I88" s="61"/>
      <c r="J88" s="61"/>
      <c r="K88" s="61"/>
      <c r="L88" s="61"/>
      <c r="M88" s="61"/>
      <c r="N88" s="61"/>
      <c r="O88" s="61"/>
      <c r="P88" s="64"/>
      <c r="Q88" s="61"/>
      <c r="R88" s="61"/>
      <c r="S88" s="61"/>
      <c r="T88" s="87"/>
    </row>
    <row r="89" spans="1:20" ht="12.75" customHeight="1" x14ac:dyDescent="0.2">
      <c r="A89" s="70"/>
      <c r="B89" s="30" t="s">
        <v>0</v>
      </c>
      <c r="C89" s="31">
        <f t="shared" ref="C89:C92" si="33">SUM(D89:H89)</f>
        <v>0</v>
      </c>
      <c r="D89" s="32"/>
      <c r="E89" s="32"/>
      <c r="F89" s="32"/>
      <c r="G89" s="32"/>
      <c r="H89" s="32"/>
      <c r="I89" s="61"/>
      <c r="J89" s="61"/>
      <c r="K89" s="61"/>
      <c r="L89" s="61"/>
      <c r="M89" s="61"/>
      <c r="N89" s="61"/>
      <c r="O89" s="61"/>
      <c r="P89" s="64"/>
      <c r="Q89" s="61"/>
      <c r="R89" s="61"/>
      <c r="S89" s="61"/>
      <c r="T89" s="87"/>
    </row>
    <row r="90" spans="1:20" ht="12.75" customHeight="1" x14ac:dyDescent="0.2">
      <c r="A90" s="70"/>
      <c r="B90" s="30" t="s">
        <v>1</v>
      </c>
      <c r="C90" s="31">
        <f t="shared" si="33"/>
        <v>100000</v>
      </c>
      <c r="D90" s="32">
        <v>0</v>
      </c>
      <c r="E90" s="32">
        <v>0</v>
      </c>
      <c r="F90" s="32">
        <v>100000</v>
      </c>
      <c r="G90" s="32"/>
      <c r="H90" s="32"/>
      <c r="I90" s="61"/>
      <c r="J90" s="61"/>
      <c r="K90" s="61"/>
      <c r="L90" s="61"/>
      <c r="M90" s="61"/>
      <c r="N90" s="61"/>
      <c r="O90" s="61"/>
      <c r="P90" s="64"/>
      <c r="Q90" s="61"/>
      <c r="R90" s="61"/>
      <c r="S90" s="61"/>
      <c r="T90" s="87"/>
    </row>
    <row r="91" spans="1:20" ht="12.75" customHeight="1" x14ac:dyDescent="0.2">
      <c r="A91" s="70"/>
      <c r="B91" s="30" t="s">
        <v>2</v>
      </c>
      <c r="C91" s="31">
        <f t="shared" si="33"/>
        <v>0</v>
      </c>
      <c r="D91" s="32"/>
      <c r="E91" s="32"/>
      <c r="F91" s="32"/>
      <c r="G91" s="32"/>
      <c r="H91" s="32"/>
      <c r="I91" s="61"/>
      <c r="J91" s="61"/>
      <c r="K91" s="61"/>
      <c r="L91" s="61"/>
      <c r="M91" s="61"/>
      <c r="N91" s="61"/>
      <c r="O91" s="61"/>
      <c r="P91" s="64"/>
      <c r="Q91" s="61"/>
      <c r="R91" s="61"/>
      <c r="S91" s="61"/>
      <c r="T91" s="87"/>
    </row>
    <row r="92" spans="1:20" ht="12.75" customHeight="1" x14ac:dyDescent="0.2">
      <c r="A92" s="71"/>
      <c r="B92" s="30" t="s">
        <v>3</v>
      </c>
      <c r="C92" s="31">
        <f t="shared" si="33"/>
        <v>0</v>
      </c>
      <c r="D92" s="32"/>
      <c r="E92" s="32"/>
      <c r="F92" s="32"/>
      <c r="G92" s="32"/>
      <c r="H92" s="32"/>
      <c r="I92" s="62"/>
      <c r="J92" s="62"/>
      <c r="K92" s="62"/>
      <c r="L92" s="62"/>
      <c r="M92" s="62"/>
      <c r="N92" s="62"/>
      <c r="O92" s="62"/>
      <c r="P92" s="65"/>
      <c r="Q92" s="62"/>
      <c r="R92" s="62"/>
      <c r="S92" s="62"/>
      <c r="T92" s="87"/>
    </row>
    <row r="93" spans="1:20" x14ac:dyDescent="0.2">
      <c r="A93" s="69" t="s">
        <v>287</v>
      </c>
      <c r="B93" s="54" t="s">
        <v>700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5"/>
    </row>
    <row r="94" spans="1:20" x14ac:dyDescent="0.2">
      <c r="A94" s="70" t="s">
        <v>102</v>
      </c>
      <c r="B94" s="58" t="s">
        <v>135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50.1" customHeight="1" x14ac:dyDescent="0.2">
      <c r="A95" s="70"/>
      <c r="B95" s="72" t="s">
        <v>141</v>
      </c>
      <c r="C95" s="73"/>
      <c r="D95" s="73"/>
      <c r="E95" s="73"/>
      <c r="F95" s="73"/>
      <c r="G95" s="73"/>
      <c r="H95" s="74"/>
      <c r="I95" s="60" t="s">
        <v>24</v>
      </c>
      <c r="J95" s="60"/>
      <c r="K95" s="60" t="s">
        <v>40</v>
      </c>
      <c r="L95" s="60" t="s">
        <v>111</v>
      </c>
      <c r="M95" s="60" t="s">
        <v>105</v>
      </c>
      <c r="N95" s="60" t="s">
        <v>378</v>
      </c>
      <c r="O95" s="60" t="s">
        <v>105</v>
      </c>
      <c r="P95" s="63" t="s">
        <v>142</v>
      </c>
      <c r="Q95" s="60" t="s">
        <v>30</v>
      </c>
      <c r="R95" s="60" t="s">
        <v>48</v>
      </c>
      <c r="S95" s="60" t="s">
        <v>31</v>
      </c>
      <c r="T95" s="87" t="s">
        <v>195</v>
      </c>
    </row>
    <row r="96" spans="1:20" ht="12.75" customHeight="1" x14ac:dyDescent="0.2">
      <c r="A96" s="70"/>
      <c r="B96" s="30" t="s">
        <v>5</v>
      </c>
      <c r="C96" s="31">
        <f>SUM(D96:H96)</f>
        <v>158371.8377</v>
      </c>
      <c r="D96" s="32">
        <f t="shared" ref="D96:E96" si="34">SUM(D97:D100)</f>
        <v>0</v>
      </c>
      <c r="E96" s="32">
        <f t="shared" si="34"/>
        <v>0</v>
      </c>
      <c r="F96" s="32">
        <f t="shared" ref="F96:H96" si="35">SUM(F97:F100)</f>
        <v>158371.8377</v>
      </c>
      <c r="G96" s="32">
        <f t="shared" si="35"/>
        <v>0</v>
      </c>
      <c r="H96" s="32">
        <f t="shared" si="35"/>
        <v>0</v>
      </c>
      <c r="I96" s="61"/>
      <c r="J96" s="61"/>
      <c r="K96" s="61"/>
      <c r="L96" s="61"/>
      <c r="M96" s="61"/>
      <c r="N96" s="61"/>
      <c r="O96" s="61"/>
      <c r="P96" s="64"/>
      <c r="Q96" s="61"/>
      <c r="R96" s="61"/>
      <c r="S96" s="61"/>
      <c r="T96" s="87"/>
    </row>
    <row r="97" spans="1:20" ht="12.75" customHeight="1" x14ac:dyDescent="0.2">
      <c r="A97" s="70"/>
      <c r="B97" s="30" t="s">
        <v>0</v>
      </c>
      <c r="C97" s="31">
        <f t="shared" ref="C97:C100" si="36">SUM(D97:H97)</f>
        <v>0</v>
      </c>
      <c r="D97" s="32"/>
      <c r="E97" s="32"/>
      <c r="F97" s="32"/>
      <c r="G97" s="32"/>
      <c r="H97" s="32"/>
      <c r="I97" s="61"/>
      <c r="J97" s="61"/>
      <c r="K97" s="61"/>
      <c r="L97" s="61"/>
      <c r="M97" s="61"/>
      <c r="N97" s="61"/>
      <c r="O97" s="61"/>
      <c r="P97" s="64"/>
      <c r="Q97" s="61"/>
      <c r="R97" s="61"/>
      <c r="S97" s="61"/>
      <c r="T97" s="87"/>
    </row>
    <row r="98" spans="1:20" ht="12.75" customHeight="1" x14ac:dyDescent="0.2">
      <c r="A98" s="70"/>
      <c r="B98" s="30" t="s">
        <v>1</v>
      </c>
      <c r="C98" s="31">
        <f t="shared" si="36"/>
        <v>158371.8377</v>
      </c>
      <c r="D98" s="32">
        <v>0</v>
      </c>
      <c r="E98" s="32">
        <v>0</v>
      </c>
      <c r="F98" s="32">
        <f>150000+8371.8377</f>
        <v>158371.8377</v>
      </c>
      <c r="G98" s="32"/>
      <c r="H98" s="32"/>
      <c r="I98" s="61"/>
      <c r="J98" s="61"/>
      <c r="K98" s="61"/>
      <c r="L98" s="61"/>
      <c r="M98" s="61"/>
      <c r="N98" s="61"/>
      <c r="O98" s="61"/>
      <c r="P98" s="64"/>
      <c r="Q98" s="61"/>
      <c r="R98" s="61"/>
      <c r="S98" s="61"/>
      <c r="T98" s="87"/>
    </row>
    <row r="99" spans="1:20" ht="12.75" customHeight="1" x14ac:dyDescent="0.2">
      <c r="A99" s="70"/>
      <c r="B99" s="30" t="s">
        <v>2</v>
      </c>
      <c r="C99" s="31">
        <f t="shared" si="36"/>
        <v>0</v>
      </c>
      <c r="D99" s="32"/>
      <c r="E99" s="32"/>
      <c r="F99" s="32"/>
      <c r="G99" s="32"/>
      <c r="H99" s="32"/>
      <c r="I99" s="61"/>
      <c r="J99" s="61"/>
      <c r="K99" s="61"/>
      <c r="L99" s="61"/>
      <c r="M99" s="61"/>
      <c r="N99" s="61"/>
      <c r="O99" s="61"/>
      <c r="P99" s="64"/>
      <c r="Q99" s="61"/>
      <c r="R99" s="61"/>
      <c r="S99" s="61"/>
      <c r="T99" s="87"/>
    </row>
    <row r="100" spans="1:20" ht="12.75" customHeight="1" x14ac:dyDescent="0.2">
      <c r="A100" s="71"/>
      <c r="B100" s="30" t="s">
        <v>3</v>
      </c>
      <c r="C100" s="31">
        <f t="shared" si="36"/>
        <v>0</v>
      </c>
      <c r="D100" s="32"/>
      <c r="E100" s="32"/>
      <c r="F100" s="32"/>
      <c r="G100" s="32"/>
      <c r="H100" s="32"/>
      <c r="I100" s="62"/>
      <c r="J100" s="62"/>
      <c r="K100" s="62"/>
      <c r="L100" s="62"/>
      <c r="M100" s="62"/>
      <c r="N100" s="62"/>
      <c r="O100" s="62"/>
      <c r="P100" s="65"/>
      <c r="Q100" s="62"/>
      <c r="R100" s="62"/>
      <c r="S100" s="62"/>
      <c r="T100" s="87"/>
    </row>
    <row r="101" spans="1:20" x14ac:dyDescent="0.2">
      <c r="A101" s="69" t="s">
        <v>288</v>
      </c>
      <c r="B101" s="54" t="s">
        <v>700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5"/>
    </row>
    <row r="102" spans="1:20" x14ac:dyDescent="0.2">
      <c r="A102" s="70" t="s">
        <v>102</v>
      </c>
      <c r="B102" s="58" t="s">
        <v>135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50.1" customHeight="1" x14ac:dyDescent="0.2">
      <c r="A103" s="70"/>
      <c r="B103" s="72" t="s">
        <v>143</v>
      </c>
      <c r="C103" s="73"/>
      <c r="D103" s="73"/>
      <c r="E103" s="73"/>
      <c r="F103" s="73"/>
      <c r="G103" s="73"/>
      <c r="H103" s="74"/>
      <c r="I103" s="60" t="s">
        <v>24</v>
      </c>
      <c r="J103" s="60"/>
      <c r="K103" s="60" t="s">
        <v>11</v>
      </c>
      <c r="L103" s="60" t="s">
        <v>144</v>
      </c>
      <c r="M103" s="60" t="s">
        <v>23</v>
      </c>
      <c r="N103" s="60" t="s">
        <v>378</v>
      </c>
      <c r="O103" s="60" t="s">
        <v>23</v>
      </c>
      <c r="P103" s="63" t="s">
        <v>145</v>
      </c>
      <c r="Q103" s="60" t="s">
        <v>7</v>
      </c>
      <c r="R103" s="60" t="s">
        <v>8</v>
      </c>
      <c r="S103" s="60" t="s">
        <v>31</v>
      </c>
      <c r="T103" s="87" t="s">
        <v>423</v>
      </c>
    </row>
    <row r="104" spans="1:20" ht="12.75" customHeight="1" x14ac:dyDescent="0.2">
      <c r="A104" s="70"/>
      <c r="B104" s="30" t="s">
        <v>5</v>
      </c>
      <c r="C104" s="31">
        <f>SUM(D104:H104)</f>
        <v>206346.1827</v>
      </c>
      <c r="D104" s="32">
        <f t="shared" ref="D104:F104" si="37">SUM(D105:D108)</f>
        <v>0</v>
      </c>
      <c r="E104" s="32">
        <f t="shared" si="37"/>
        <v>0</v>
      </c>
      <c r="F104" s="32">
        <f t="shared" si="37"/>
        <v>0</v>
      </c>
      <c r="G104" s="32">
        <f t="shared" ref="G104:H104" si="38">SUM(G105:G108)</f>
        <v>206346.1827</v>
      </c>
      <c r="H104" s="32">
        <f t="shared" si="38"/>
        <v>0</v>
      </c>
      <c r="I104" s="61"/>
      <c r="J104" s="61"/>
      <c r="K104" s="61"/>
      <c r="L104" s="61"/>
      <c r="M104" s="61"/>
      <c r="N104" s="61"/>
      <c r="O104" s="61"/>
      <c r="P104" s="64"/>
      <c r="Q104" s="61"/>
      <c r="R104" s="61"/>
      <c r="S104" s="61"/>
      <c r="T104" s="87"/>
    </row>
    <row r="105" spans="1:20" ht="12.75" customHeight="1" x14ac:dyDescent="0.2">
      <c r="A105" s="70"/>
      <c r="B105" s="30" t="s">
        <v>0</v>
      </c>
      <c r="C105" s="31">
        <f t="shared" ref="C105:C108" si="39">SUM(D105:H105)</f>
        <v>0</v>
      </c>
      <c r="D105" s="32"/>
      <c r="E105" s="32"/>
      <c r="F105" s="32"/>
      <c r="G105" s="32"/>
      <c r="H105" s="32"/>
      <c r="I105" s="61"/>
      <c r="J105" s="61"/>
      <c r="K105" s="61"/>
      <c r="L105" s="61"/>
      <c r="M105" s="61"/>
      <c r="N105" s="61"/>
      <c r="O105" s="61"/>
      <c r="P105" s="64"/>
      <c r="Q105" s="61"/>
      <c r="R105" s="61"/>
      <c r="S105" s="61"/>
      <c r="T105" s="87"/>
    </row>
    <row r="106" spans="1:20" ht="12.75" customHeight="1" x14ac:dyDescent="0.2">
      <c r="A106" s="70"/>
      <c r="B106" s="30" t="s">
        <v>1</v>
      </c>
      <c r="C106" s="31">
        <f t="shared" si="39"/>
        <v>205309.31657</v>
      </c>
      <c r="D106" s="32">
        <v>0</v>
      </c>
      <c r="E106" s="32">
        <v>0</v>
      </c>
      <c r="F106" s="32">
        <v>0</v>
      </c>
      <c r="G106" s="32">
        <f>206336.36-1027.04343</f>
        <v>205309.31657</v>
      </c>
      <c r="H106" s="32"/>
      <c r="I106" s="61"/>
      <c r="J106" s="61"/>
      <c r="K106" s="61"/>
      <c r="L106" s="61"/>
      <c r="M106" s="61"/>
      <c r="N106" s="61"/>
      <c r="O106" s="61"/>
      <c r="P106" s="64"/>
      <c r="Q106" s="61"/>
      <c r="R106" s="61"/>
      <c r="S106" s="61"/>
      <c r="T106" s="87"/>
    </row>
    <row r="107" spans="1:20" ht="12.75" customHeight="1" x14ac:dyDescent="0.2">
      <c r="A107" s="70"/>
      <c r="B107" s="30" t="s">
        <v>2</v>
      </c>
      <c r="C107" s="31">
        <f t="shared" si="39"/>
        <v>1036.8661300000001</v>
      </c>
      <c r="D107" s="32">
        <v>0</v>
      </c>
      <c r="E107" s="32">
        <v>0</v>
      </c>
      <c r="F107" s="32">
        <v>0</v>
      </c>
      <c r="G107" s="32">
        <v>1036.8661300000001</v>
      </c>
      <c r="H107" s="32"/>
      <c r="I107" s="61"/>
      <c r="J107" s="61"/>
      <c r="K107" s="61"/>
      <c r="L107" s="61"/>
      <c r="M107" s="61"/>
      <c r="N107" s="61"/>
      <c r="O107" s="61"/>
      <c r="P107" s="64"/>
      <c r="Q107" s="61"/>
      <c r="R107" s="61"/>
      <c r="S107" s="61"/>
      <c r="T107" s="87"/>
    </row>
    <row r="108" spans="1:20" ht="12.75" customHeight="1" x14ac:dyDescent="0.2">
      <c r="A108" s="71"/>
      <c r="B108" s="30" t="s">
        <v>3</v>
      </c>
      <c r="C108" s="31">
        <f t="shared" si="39"/>
        <v>0</v>
      </c>
      <c r="D108" s="32"/>
      <c r="E108" s="32"/>
      <c r="F108" s="32"/>
      <c r="G108" s="32"/>
      <c r="H108" s="32"/>
      <c r="I108" s="62"/>
      <c r="J108" s="62"/>
      <c r="K108" s="62"/>
      <c r="L108" s="62"/>
      <c r="M108" s="62"/>
      <c r="N108" s="62"/>
      <c r="O108" s="62"/>
      <c r="P108" s="65"/>
      <c r="Q108" s="62"/>
      <c r="R108" s="62"/>
      <c r="S108" s="62"/>
      <c r="T108" s="87"/>
    </row>
    <row r="109" spans="1:20" x14ac:dyDescent="0.2">
      <c r="A109" s="69" t="s">
        <v>289</v>
      </c>
      <c r="B109" s="124" t="s">
        <v>378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x14ac:dyDescent="0.2">
      <c r="A110" s="70" t="s">
        <v>102</v>
      </c>
      <c r="B110" s="79" t="s">
        <v>135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1:20" ht="50.1" customHeight="1" x14ac:dyDescent="0.2">
      <c r="A111" s="70"/>
      <c r="B111" s="59" t="s">
        <v>351</v>
      </c>
      <c r="C111" s="54"/>
      <c r="D111" s="54"/>
      <c r="E111" s="54"/>
      <c r="F111" s="54"/>
      <c r="G111" s="54"/>
      <c r="H111" s="55"/>
      <c r="I111" s="60" t="s">
        <v>21</v>
      </c>
      <c r="J111" s="60"/>
      <c r="K111" s="60" t="s">
        <v>47</v>
      </c>
      <c r="L111" s="60" t="s">
        <v>240</v>
      </c>
      <c r="M111" s="60" t="s">
        <v>413</v>
      </c>
      <c r="N111" s="60" t="s">
        <v>378</v>
      </c>
      <c r="O111" s="60" t="s">
        <v>413</v>
      </c>
      <c r="P111" s="63" t="s">
        <v>560</v>
      </c>
      <c r="Q111" s="60" t="s">
        <v>7</v>
      </c>
      <c r="R111" s="60" t="s">
        <v>35</v>
      </c>
      <c r="S111" s="60" t="s">
        <v>31</v>
      </c>
      <c r="T111" s="87"/>
    </row>
    <row r="112" spans="1:20" ht="12.75" customHeight="1" x14ac:dyDescent="0.2">
      <c r="A112" s="70"/>
      <c r="B112" s="30" t="s">
        <v>5</v>
      </c>
      <c r="C112" s="31">
        <f>SUM(D112:H112)</f>
        <v>84320</v>
      </c>
      <c r="D112" s="32">
        <f t="shared" ref="D112" si="40">SUM(D113:D116)</f>
        <v>0</v>
      </c>
      <c r="E112" s="32">
        <f t="shared" ref="E112:H112" si="41">SUM(E113:E116)</f>
        <v>84320</v>
      </c>
      <c r="F112" s="32">
        <f t="shared" si="41"/>
        <v>0</v>
      </c>
      <c r="G112" s="32">
        <f t="shared" si="41"/>
        <v>0</v>
      </c>
      <c r="H112" s="32">
        <f t="shared" si="41"/>
        <v>0</v>
      </c>
      <c r="I112" s="61"/>
      <c r="J112" s="61"/>
      <c r="K112" s="61"/>
      <c r="L112" s="61"/>
      <c r="M112" s="61"/>
      <c r="N112" s="61"/>
      <c r="O112" s="61"/>
      <c r="P112" s="64"/>
      <c r="Q112" s="61"/>
      <c r="R112" s="61"/>
      <c r="S112" s="61"/>
      <c r="T112" s="87"/>
    </row>
    <row r="113" spans="1:20" ht="12.75" customHeight="1" x14ac:dyDescent="0.2">
      <c r="A113" s="70"/>
      <c r="B113" s="30" t="s">
        <v>0</v>
      </c>
      <c r="C113" s="31">
        <f t="shared" ref="C113:C116" si="42">SUM(D113:H113)</f>
        <v>0</v>
      </c>
      <c r="D113" s="32"/>
      <c r="E113" s="32"/>
      <c r="F113" s="32"/>
      <c r="G113" s="32"/>
      <c r="H113" s="32"/>
      <c r="I113" s="61"/>
      <c r="J113" s="61"/>
      <c r="K113" s="61"/>
      <c r="L113" s="61"/>
      <c r="M113" s="61"/>
      <c r="N113" s="61"/>
      <c r="O113" s="61"/>
      <c r="P113" s="64"/>
      <c r="Q113" s="61"/>
      <c r="R113" s="61"/>
      <c r="S113" s="61"/>
      <c r="T113" s="87"/>
    </row>
    <row r="114" spans="1:20" ht="12.75" customHeight="1" x14ac:dyDescent="0.2">
      <c r="A114" s="70"/>
      <c r="B114" s="30" t="s">
        <v>1</v>
      </c>
      <c r="C114" s="31">
        <f t="shared" si="42"/>
        <v>84320</v>
      </c>
      <c r="D114" s="32">
        <f>73000-29505.2-35566.18-7928.62</f>
        <v>0</v>
      </c>
      <c r="E114" s="32">
        <v>84320</v>
      </c>
      <c r="F114" s="32"/>
      <c r="G114" s="32"/>
      <c r="H114" s="32"/>
      <c r="I114" s="61"/>
      <c r="J114" s="61"/>
      <c r="K114" s="61"/>
      <c r="L114" s="61"/>
      <c r="M114" s="61"/>
      <c r="N114" s="61"/>
      <c r="O114" s="61"/>
      <c r="P114" s="64"/>
      <c r="Q114" s="61"/>
      <c r="R114" s="61"/>
      <c r="S114" s="61"/>
      <c r="T114" s="87"/>
    </row>
    <row r="115" spans="1:20" ht="12.75" customHeight="1" x14ac:dyDescent="0.2">
      <c r="A115" s="70"/>
      <c r="B115" s="30" t="s">
        <v>2</v>
      </c>
      <c r="C115" s="31">
        <f t="shared" si="42"/>
        <v>0</v>
      </c>
      <c r="D115" s="32"/>
      <c r="E115" s="32"/>
      <c r="F115" s="32"/>
      <c r="G115" s="32"/>
      <c r="H115" s="32"/>
      <c r="I115" s="61"/>
      <c r="J115" s="61"/>
      <c r="K115" s="61"/>
      <c r="L115" s="61"/>
      <c r="M115" s="61"/>
      <c r="N115" s="61"/>
      <c r="O115" s="61"/>
      <c r="P115" s="64"/>
      <c r="Q115" s="61"/>
      <c r="R115" s="61"/>
      <c r="S115" s="61"/>
      <c r="T115" s="87"/>
    </row>
    <row r="116" spans="1:20" ht="12.75" customHeight="1" x14ac:dyDescent="0.2">
      <c r="A116" s="71"/>
      <c r="B116" s="30" t="s">
        <v>3</v>
      </c>
      <c r="C116" s="31">
        <f t="shared" si="42"/>
        <v>0</v>
      </c>
      <c r="D116" s="32"/>
      <c r="E116" s="32"/>
      <c r="F116" s="32"/>
      <c r="G116" s="32"/>
      <c r="H116" s="32"/>
      <c r="I116" s="62"/>
      <c r="J116" s="62"/>
      <c r="K116" s="62"/>
      <c r="L116" s="62"/>
      <c r="M116" s="62"/>
      <c r="N116" s="62"/>
      <c r="O116" s="62"/>
      <c r="P116" s="65"/>
      <c r="Q116" s="62"/>
      <c r="R116" s="62"/>
      <c r="S116" s="62"/>
      <c r="T116" s="87"/>
    </row>
    <row r="117" spans="1:20" x14ac:dyDescent="0.2">
      <c r="A117" s="69" t="s">
        <v>290</v>
      </c>
      <c r="B117" s="54" t="s">
        <v>700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5"/>
    </row>
    <row r="118" spans="1:20" x14ac:dyDescent="0.2">
      <c r="A118" s="70" t="s">
        <v>102</v>
      </c>
      <c r="B118" s="58" t="s">
        <v>135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50.1" customHeight="1" x14ac:dyDescent="0.2">
      <c r="A119" s="70"/>
      <c r="B119" s="72" t="s">
        <v>352</v>
      </c>
      <c r="C119" s="73"/>
      <c r="D119" s="73"/>
      <c r="E119" s="73"/>
      <c r="F119" s="73"/>
      <c r="G119" s="73"/>
      <c r="H119" s="74"/>
      <c r="I119" s="60" t="s">
        <v>21</v>
      </c>
      <c r="J119" s="60" t="s">
        <v>13</v>
      </c>
      <c r="K119" s="60" t="s">
        <v>40</v>
      </c>
      <c r="L119" s="60" t="s">
        <v>506</v>
      </c>
      <c r="M119" s="60" t="s">
        <v>105</v>
      </c>
      <c r="N119" s="60" t="s">
        <v>378</v>
      </c>
      <c r="O119" s="60" t="s">
        <v>105</v>
      </c>
      <c r="P119" s="63" t="s">
        <v>196</v>
      </c>
      <c r="Q119" s="60" t="s">
        <v>30</v>
      </c>
      <c r="R119" s="60" t="s">
        <v>8</v>
      </c>
      <c r="S119" s="60" t="s">
        <v>32</v>
      </c>
      <c r="T119" s="87" t="s">
        <v>689</v>
      </c>
    </row>
    <row r="120" spans="1:20" ht="12.75" customHeight="1" x14ac:dyDescent="0.2">
      <c r="A120" s="70"/>
      <c r="B120" s="30" t="s">
        <v>5</v>
      </c>
      <c r="C120" s="31">
        <f>SUM(D120:H120)</f>
        <v>329840.7</v>
      </c>
      <c r="D120" s="32">
        <f t="shared" ref="D120" si="43">SUM(D121:D124)</f>
        <v>235769.72649999999</v>
      </c>
      <c r="E120" s="32">
        <f t="shared" ref="E120:H120" si="44">SUM(E121:E124)</f>
        <v>94070.973500000007</v>
      </c>
      <c r="F120" s="32">
        <f t="shared" si="44"/>
        <v>0</v>
      </c>
      <c r="G120" s="32">
        <f t="shared" si="44"/>
        <v>0</v>
      </c>
      <c r="H120" s="32">
        <f t="shared" si="44"/>
        <v>0</v>
      </c>
      <c r="I120" s="61"/>
      <c r="J120" s="61"/>
      <c r="K120" s="61"/>
      <c r="L120" s="61"/>
      <c r="M120" s="61"/>
      <c r="N120" s="61"/>
      <c r="O120" s="61"/>
      <c r="P120" s="64"/>
      <c r="Q120" s="61"/>
      <c r="R120" s="61"/>
      <c r="S120" s="61"/>
      <c r="T120" s="87"/>
    </row>
    <row r="121" spans="1:20" ht="12.75" customHeight="1" x14ac:dyDescent="0.2">
      <c r="A121" s="70"/>
      <c r="B121" s="42" t="s">
        <v>0</v>
      </c>
      <c r="C121" s="31">
        <f t="shared" ref="C121:C124" si="45">SUM(D121:H121)</f>
        <v>141278.26</v>
      </c>
      <c r="D121" s="32">
        <v>54256.55</v>
      </c>
      <c r="E121" s="32">
        <v>87021.71</v>
      </c>
      <c r="F121" s="32">
        <v>0</v>
      </c>
      <c r="G121" s="32">
        <v>0</v>
      </c>
      <c r="H121" s="32">
        <v>0</v>
      </c>
      <c r="I121" s="61"/>
      <c r="J121" s="61"/>
      <c r="K121" s="61"/>
      <c r="L121" s="61"/>
      <c r="M121" s="61"/>
      <c r="N121" s="61"/>
      <c r="O121" s="61"/>
      <c r="P121" s="64"/>
      <c r="Q121" s="61"/>
      <c r="R121" s="61"/>
      <c r="S121" s="61"/>
      <c r="T121" s="87"/>
    </row>
    <row r="122" spans="1:20" ht="12.75" customHeight="1" x14ac:dyDescent="0.2">
      <c r="A122" s="70"/>
      <c r="B122" s="30" t="s">
        <v>1</v>
      </c>
      <c r="C122" s="31">
        <f t="shared" si="45"/>
        <v>188562.44</v>
      </c>
      <c r="D122" s="32">
        <f>211672.4765+7044.7-28000-9204</f>
        <v>181513.1765</v>
      </c>
      <c r="E122" s="32">
        <v>7049.2635</v>
      </c>
      <c r="F122" s="32">
        <v>0</v>
      </c>
      <c r="G122" s="32">
        <v>0</v>
      </c>
      <c r="H122" s="32">
        <v>0</v>
      </c>
      <c r="I122" s="61"/>
      <c r="J122" s="61"/>
      <c r="K122" s="61"/>
      <c r="L122" s="61"/>
      <c r="M122" s="61"/>
      <c r="N122" s="61"/>
      <c r="O122" s="61"/>
      <c r="P122" s="64"/>
      <c r="Q122" s="61"/>
      <c r="R122" s="61"/>
      <c r="S122" s="61"/>
      <c r="T122" s="87"/>
    </row>
    <row r="123" spans="1:20" ht="12.75" customHeight="1" x14ac:dyDescent="0.2">
      <c r="A123" s="70"/>
      <c r="B123" s="30" t="s">
        <v>2</v>
      </c>
      <c r="C123" s="31">
        <f t="shared" si="45"/>
        <v>0</v>
      </c>
      <c r="D123" s="32"/>
      <c r="E123" s="32"/>
      <c r="F123" s="32"/>
      <c r="G123" s="32"/>
      <c r="H123" s="32"/>
      <c r="I123" s="61"/>
      <c r="J123" s="61"/>
      <c r="K123" s="61"/>
      <c r="L123" s="61"/>
      <c r="M123" s="61"/>
      <c r="N123" s="61"/>
      <c r="O123" s="61"/>
      <c r="P123" s="64"/>
      <c r="Q123" s="61"/>
      <c r="R123" s="61"/>
      <c r="S123" s="61"/>
      <c r="T123" s="87"/>
    </row>
    <row r="124" spans="1:20" ht="12.75" customHeight="1" x14ac:dyDescent="0.2">
      <c r="A124" s="71"/>
      <c r="B124" s="30" t="s">
        <v>3</v>
      </c>
      <c r="C124" s="31">
        <f t="shared" si="45"/>
        <v>0</v>
      </c>
      <c r="D124" s="32"/>
      <c r="E124" s="32"/>
      <c r="F124" s="32"/>
      <c r="G124" s="32"/>
      <c r="H124" s="32"/>
      <c r="I124" s="62"/>
      <c r="J124" s="62"/>
      <c r="K124" s="62"/>
      <c r="L124" s="62"/>
      <c r="M124" s="62"/>
      <c r="N124" s="62"/>
      <c r="O124" s="62"/>
      <c r="P124" s="65"/>
      <c r="Q124" s="62"/>
      <c r="R124" s="62"/>
      <c r="S124" s="62"/>
      <c r="T124" s="87"/>
    </row>
    <row r="125" spans="1:20" x14ac:dyDescent="0.2">
      <c r="A125" s="69" t="s">
        <v>291</v>
      </c>
      <c r="B125" s="54" t="s">
        <v>700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5"/>
    </row>
    <row r="126" spans="1:20" x14ac:dyDescent="0.2">
      <c r="A126" s="70" t="s">
        <v>102</v>
      </c>
      <c r="B126" s="58" t="s">
        <v>135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50.1" customHeight="1" x14ac:dyDescent="0.2">
      <c r="A127" s="70"/>
      <c r="B127" s="72" t="s">
        <v>189</v>
      </c>
      <c r="C127" s="73"/>
      <c r="D127" s="73"/>
      <c r="E127" s="73"/>
      <c r="F127" s="73"/>
      <c r="G127" s="73"/>
      <c r="H127" s="74"/>
      <c r="I127" s="60" t="s">
        <v>22</v>
      </c>
      <c r="J127" s="60"/>
      <c r="K127" s="60" t="s">
        <v>40</v>
      </c>
      <c r="L127" s="60" t="s">
        <v>107</v>
      </c>
      <c r="M127" s="60" t="s">
        <v>105</v>
      </c>
      <c r="N127" s="60" t="s">
        <v>378</v>
      </c>
      <c r="O127" s="60" t="s">
        <v>105</v>
      </c>
      <c r="P127" s="63" t="s">
        <v>197</v>
      </c>
      <c r="Q127" s="60" t="s">
        <v>30</v>
      </c>
      <c r="R127" s="60" t="s">
        <v>92</v>
      </c>
      <c r="S127" s="60" t="s">
        <v>32</v>
      </c>
      <c r="T127" s="87" t="s">
        <v>424</v>
      </c>
    </row>
    <row r="128" spans="1:20" ht="12.75" customHeight="1" x14ac:dyDescent="0.2">
      <c r="A128" s="70"/>
      <c r="B128" s="30" t="s">
        <v>5</v>
      </c>
      <c r="C128" s="31">
        <f>SUM(D128:H128)</f>
        <v>330182.15979000001</v>
      </c>
      <c r="D128" s="32">
        <f t="shared" ref="D128" si="46">SUM(D129:D132)</f>
        <v>330182.15979000001</v>
      </c>
      <c r="E128" s="32">
        <f t="shared" ref="E128:H128" si="47">SUM(E129:E132)</f>
        <v>0</v>
      </c>
      <c r="F128" s="32">
        <f t="shared" si="47"/>
        <v>0</v>
      </c>
      <c r="G128" s="32">
        <f t="shared" si="47"/>
        <v>0</v>
      </c>
      <c r="H128" s="32">
        <f t="shared" si="47"/>
        <v>0</v>
      </c>
      <c r="I128" s="61"/>
      <c r="J128" s="61"/>
      <c r="K128" s="61"/>
      <c r="L128" s="61"/>
      <c r="M128" s="61"/>
      <c r="N128" s="61"/>
      <c r="O128" s="61"/>
      <c r="P128" s="64"/>
      <c r="Q128" s="61"/>
      <c r="R128" s="61"/>
      <c r="S128" s="61"/>
      <c r="T128" s="87"/>
    </row>
    <row r="129" spans="1:20" ht="12.75" customHeight="1" x14ac:dyDescent="0.2">
      <c r="A129" s="70"/>
      <c r="B129" s="42" t="s">
        <v>0</v>
      </c>
      <c r="C129" s="31">
        <f t="shared" ref="C129:C132" si="48">SUM(D129:H129)</f>
        <v>89995.27</v>
      </c>
      <c r="D129" s="32">
        <f>69995.27+20000</f>
        <v>89995.27</v>
      </c>
      <c r="E129" s="32"/>
      <c r="F129" s="32"/>
      <c r="G129" s="32"/>
      <c r="H129" s="32"/>
      <c r="I129" s="61"/>
      <c r="J129" s="61"/>
      <c r="K129" s="61"/>
      <c r="L129" s="61"/>
      <c r="M129" s="61"/>
      <c r="N129" s="61"/>
      <c r="O129" s="61"/>
      <c r="P129" s="64"/>
      <c r="Q129" s="61"/>
      <c r="R129" s="61"/>
      <c r="S129" s="61"/>
      <c r="T129" s="87"/>
    </row>
    <row r="130" spans="1:20" ht="12.75" customHeight="1" x14ac:dyDescent="0.2">
      <c r="A130" s="70"/>
      <c r="B130" s="30" t="s">
        <v>1</v>
      </c>
      <c r="C130" s="31">
        <f t="shared" si="48"/>
        <v>240186.88978999999</v>
      </c>
      <c r="D130" s="32">
        <f>212186.88979+28000</f>
        <v>240186.88978999999</v>
      </c>
      <c r="E130" s="32"/>
      <c r="F130" s="32"/>
      <c r="G130" s="32"/>
      <c r="H130" s="32"/>
      <c r="I130" s="61"/>
      <c r="J130" s="61"/>
      <c r="K130" s="61"/>
      <c r="L130" s="61"/>
      <c r="M130" s="61"/>
      <c r="N130" s="61"/>
      <c r="O130" s="61"/>
      <c r="P130" s="64"/>
      <c r="Q130" s="61"/>
      <c r="R130" s="61"/>
      <c r="S130" s="61"/>
      <c r="T130" s="87"/>
    </row>
    <row r="131" spans="1:20" ht="12.75" customHeight="1" x14ac:dyDescent="0.2">
      <c r="A131" s="70"/>
      <c r="B131" s="30" t="s">
        <v>2</v>
      </c>
      <c r="C131" s="31">
        <f t="shared" si="48"/>
        <v>0</v>
      </c>
      <c r="D131" s="32"/>
      <c r="E131" s="32"/>
      <c r="F131" s="32"/>
      <c r="G131" s="32"/>
      <c r="H131" s="32"/>
      <c r="I131" s="61"/>
      <c r="J131" s="61"/>
      <c r="K131" s="61"/>
      <c r="L131" s="61"/>
      <c r="M131" s="61"/>
      <c r="N131" s="61"/>
      <c r="O131" s="61"/>
      <c r="P131" s="64"/>
      <c r="Q131" s="61"/>
      <c r="R131" s="61"/>
      <c r="S131" s="61"/>
      <c r="T131" s="87"/>
    </row>
    <row r="132" spans="1:20" ht="12.75" customHeight="1" x14ac:dyDescent="0.2">
      <c r="A132" s="71"/>
      <c r="B132" s="30" t="s">
        <v>3</v>
      </c>
      <c r="C132" s="31">
        <f t="shared" si="48"/>
        <v>0</v>
      </c>
      <c r="D132" s="32"/>
      <c r="E132" s="32"/>
      <c r="F132" s="32"/>
      <c r="G132" s="32"/>
      <c r="H132" s="32"/>
      <c r="I132" s="62"/>
      <c r="J132" s="62"/>
      <c r="K132" s="62"/>
      <c r="L132" s="62"/>
      <c r="M132" s="62"/>
      <c r="N132" s="62"/>
      <c r="O132" s="62"/>
      <c r="P132" s="65"/>
      <c r="Q132" s="62"/>
      <c r="R132" s="62"/>
      <c r="S132" s="62"/>
      <c r="T132" s="87"/>
    </row>
    <row r="133" spans="1:20" x14ac:dyDescent="0.2">
      <c r="A133" s="69" t="s">
        <v>292</v>
      </c>
      <c r="B133" s="124" t="s">
        <v>378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</row>
    <row r="134" spans="1:20" x14ac:dyDescent="0.2">
      <c r="A134" s="70" t="s">
        <v>102</v>
      </c>
      <c r="B134" s="79" t="s">
        <v>135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1:20" ht="50.1" customHeight="1" x14ac:dyDescent="0.2">
      <c r="A135" s="70"/>
      <c r="B135" s="84" t="s">
        <v>458</v>
      </c>
      <c r="C135" s="85"/>
      <c r="D135" s="85"/>
      <c r="E135" s="85"/>
      <c r="F135" s="85"/>
      <c r="G135" s="85"/>
      <c r="H135" s="86"/>
      <c r="I135" s="66" t="s">
        <v>21</v>
      </c>
      <c r="J135" s="66" t="s">
        <v>13</v>
      </c>
      <c r="K135" s="66" t="s">
        <v>47</v>
      </c>
      <c r="L135" s="66" t="s">
        <v>198</v>
      </c>
      <c r="M135" s="66" t="s">
        <v>23</v>
      </c>
      <c r="N135" s="66" t="s">
        <v>378</v>
      </c>
      <c r="O135" s="66" t="s">
        <v>23</v>
      </c>
      <c r="P135" s="103" t="s">
        <v>239</v>
      </c>
      <c r="Q135" s="66" t="s">
        <v>7</v>
      </c>
      <c r="R135" s="66" t="s">
        <v>8</v>
      </c>
      <c r="S135" s="66" t="s">
        <v>32</v>
      </c>
      <c r="T135" s="78"/>
    </row>
    <row r="136" spans="1:20" ht="12.75" customHeight="1" x14ac:dyDescent="0.2">
      <c r="A136" s="70"/>
      <c r="B136" s="14" t="s">
        <v>5</v>
      </c>
      <c r="C136" s="15">
        <f>SUM(D136:H136)</f>
        <v>54256.516499999998</v>
      </c>
      <c r="D136" s="32">
        <f t="shared" ref="D136" si="49">SUM(D137:D140)</f>
        <v>5.2757798130187439E-13</v>
      </c>
      <c r="E136" s="16">
        <f t="shared" ref="E136:H136" si="50">SUM(E137:E140)</f>
        <v>54256.516499999998</v>
      </c>
      <c r="F136" s="16">
        <f t="shared" si="50"/>
        <v>0</v>
      </c>
      <c r="G136" s="16">
        <f t="shared" si="50"/>
        <v>0</v>
      </c>
      <c r="H136" s="16">
        <f t="shared" si="50"/>
        <v>0</v>
      </c>
      <c r="I136" s="67"/>
      <c r="J136" s="67"/>
      <c r="K136" s="67"/>
      <c r="L136" s="67"/>
      <c r="M136" s="67"/>
      <c r="N136" s="67"/>
      <c r="O136" s="67"/>
      <c r="P136" s="104"/>
      <c r="Q136" s="67"/>
      <c r="R136" s="67"/>
      <c r="S136" s="67"/>
      <c r="T136" s="78"/>
    </row>
    <row r="137" spans="1:20" ht="12.75" customHeight="1" x14ac:dyDescent="0.2">
      <c r="A137" s="70"/>
      <c r="B137" s="14" t="s">
        <v>0</v>
      </c>
      <c r="C137" s="15">
        <f t="shared" ref="C137:C140" si="51">SUM(D137:H137)</f>
        <v>0</v>
      </c>
      <c r="D137" s="32">
        <f>94541.26-88772.56-5768.7</f>
        <v>0</v>
      </c>
      <c r="E137" s="16"/>
      <c r="F137" s="16"/>
      <c r="G137" s="16"/>
      <c r="H137" s="16"/>
      <c r="I137" s="67"/>
      <c r="J137" s="67"/>
      <c r="K137" s="67"/>
      <c r="L137" s="67"/>
      <c r="M137" s="67"/>
      <c r="N137" s="67"/>
      <c r="O137" s="67"/>
      <c r="P137" s="104"/>
      <c r="Q137" s="67"/>
      <c r="R137" s="67"/>
      <c r="S137" s="67"/>
      <c r="T137" s="78"/>
    </row>
    <row r="138" spans="1:20" ht="12.75" customHeight="1" x14ac:dyDescent="0.2">
      <c r="A138" s="70"/>
      <c r="B138" s="14" t="s">
        <v>1</v>
      </c>
      <c r="C138" s="15">
        <f t="shared" si="51"/>
        <v>54256.516499999998</v>
      </c>
      <c r="D138" s="32">
        <f>13458.74-12562.04748-887.7256-8.96692</f>
        <v>5.2757798130187439E-13</v>
      </c>
      <c r="E138" s="16">
        <v>54256.516499999998</v>
      </c>
      <c r="F138" s="16"/>
      <c r="G138" s="16"/>
      <c r="H138" s="16"/>
      <c r="I138" s="67"/>
      <c r="J138" s="67"/>
      <c r="K138" s="67"/>
      <c r="L138" s="67"/>
      <c r="M138" s="67"/>
      <c r="N138" s="67"/>
      <c r="O138" s="67"/>
      <c r="P138" s="104"/>
      <c r="Q138" s="67"/>
      <c r="R138" s="67"/>
      <c r="S138" s="67"/>
      <c r="T138" s="78"/>
    </row>
    <row r="139" spans="1:20" ht="12.75" customHeight="1" x14ac:dyDescent="0.2">
      <c r="A139" s="70"/>
      <c r="B139" s="14" t="s">
        <v>2</v>
      </c>
      <c r="C139" s="15">
        <f t="shared" si="51"/>
        <v>0</v>
      </c>
      <c r="D139" s="32">
        <f>448.65286+94.0607-542.71356</f>
        <v>0</v>
      </c>
      <c r="E139" s="16"/>
      <c r="F139" s="16"/>
      <c r="G139" s="16"/>
      <c r="H139" s="16"/>
      <c r="I139" s="67"/>
      <c r="J139" s="67"/>
      <c r="K139" s="67"/>
      <c r="L139" s="67"/>
      <c r="M139" s="67"/>
      <c r="N139" s="67"/>
      <c r="O139" s="67"/>
      <c r="P139" s="104"/>
      <c r="Q139" s="67"/>
      <c r="R139" s="67"/>
      <c r="S139" s="67"/>
      <c r="T139" s="78"/>
    </row>
    <row r="140" spans="1:20" ht="12.75" customHeight="1" x14ac:dyDescent="0.2">
      <c r="A140" s="71"/>
      <c r="B140" s="14" t="s">
        <v>3</v>
      </c>
      <c r="C140" s="15">
        <f t="shared" si="51"/>
        <v>0</v>
      </c>
      <c r="D140" s="32"/>
      <c r="E140" s="16"/>
      <c r="F140" s="16"/>
      <c r="G140" s="16"/>
      <c r="H140" s="16"/>
      <c r="I140" s="68"/>
      <c r="J140" s="68"/>
      <c r="K140" s="68"/>
      <c r="L140" s="68"/>
      <c r="M140" s="68"/>
      <c r="N140" s="68"/>
      <c r="O140" s="68"/>
      <c r="P140" s="105"/>
      <c r="Q140" s="68"/>
      <c r="R140" s="68"/>
      <c r="S140" s="68"/>
      <c r="T140" s="78"/>
    </row>
    <row r="141" spans="1:20" x14ac:dyDescent="0.2">
      <c r="A141" s="69" t="s">
        <v>293</v>
      </c>
      <c r="B141" s="124" t="s">
        <v>378</v>
      </c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x14ac:dyDescent="0.2">
      <c r="A142" s="70" t="s">
        <v>102</v>
      </c>
      <c r="B142" s="79" t="s">
        <v>135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</row>
    <row r="143" spans="1:20" ht="50.1" customHeight="1" x14ac:dyDescent="0.2">
      <c r="A143" s="70"/>
      <c r="B143" s="59" t="s">
        <v>379</v>
      </c>
      <c r="C143" s="54"/>
      <c r="D143" s="54"/>
      <c r="E143" s="54"/>
      <c r="F143" s="54"/>
      <c r="G143" s="54"/>
      <c r="H143" s="55"/>
      <c r="I143" s="60" t="s">
        <v>22</v>
      </c>
      <c r="J143" s="60" t="s">
        <v>13</v>
      </c>
      <c r="K143" s="60" t="s">
        <v>47</v>
      </c>
      <c r="L143" s="60" t="s">
        <v>108</v>
      </c>
      <c r="M143" s="60" t="s">
        <v>413</v>
      </c>
      <c r="N143" s="60" t="s">
        <v>378</v>
      </c>
      <c r="O143" s="60" t="s">
        <v>413</v>
      </c>
      <c r="P143" s="63">
        <v>488793.74</v>
      </c>
      <c r="Q143" s="60" t="s">
        <v>7</v>
      </c>
      <c r="R143" s="60" t="s">
        <v>35</v>
      </c>
      <c r="S143" s="60" t="s">
        <v>32</v>
      </c>
      <c r="T143" s="87" t="s">
        <v>686</v>
      </c>
    </row>
    <row r="144" spans="1:20" ht="12.75" customHeight="1" x14ac:dyDescent="0.2">
      <c r="A144" s="70"/>
      <c r="B144" s="30" t="s">
        <v>5</v>
      </c>
      <c r="C144" s="31">
        <f>SUM(D144:H144)</f>
        <v>379752.23885999998</v>
      </c>
      <c r="D144" s="32">
        <f t="shared" ref="D144" si="52">SUM(D145:D148)</f>
        <v>379752.23885999998</v>
      </c>
      <c r="E144" s="32">
        <f t="shared" ref="E144:H144" si="53">SUM(E145:E148)</f>
        <v>0</v>
      </c>
      <c r="F144" s="32">
        <f t="shared" si="53"/>
        <v>0</v>
      </c>
      <c r="G144" s="32">
        <f t="shared" si="53"/>
        <v>0</v>
      </c>
      <c r="H144" s="32">
        <f t="shared" si="53"/>
        <v>0</v>
      </c>
      <c r="I144" s="61"/>
      <c r="J144" s="61"/>
      <c r="K144" s="61"/>
      <c r="L144" s="61"/>
      <c r="M144" s="61"/>
      <c r="N144" s="61"/>
      <c r="O144" s="61"/>
      <c r="P144" s="64"/>
      <c r="Q144" s="61"/>
      <c r="R144" s="61"/>
      <c r="S144" s="61"/>
      <c r="T144" s="87"/>
    </row>
    <row r="145" spans="1:20" ht="12.75" customHeight="1" x14ac:dyDescent="0.2">
      <c r="A145" s="70"/>
      <c r="B145" s="30" t="s">
        <v>0</v>
      </c>
      <c r="C145" s="31">
        <f t="shared" ref="C145:C148" si="54">SUM(D145:H145)</f>
        <v>215743.96</v>
      </c>
      <c r="D145" s="32">
        <f>141548.96+74195</f>
        <v>215743.96</v>
      </c>
      <c r="E145" s="32"/>
      <c r="F145" s="32"/>
      <c r="G145" s="32"/>
      <c r="H145" s="32"/>
      <c r="I145" s="61"/>
      <c r="J145" s="61"/>
      <c r="K145" s="61"/>
      <c r="L145" s="61"/>
      <c r="M145" s="61"/>
      <c r="N145" s="61"/>
      <c r="O145" s="61"/>
      <c r="P145" s="64"/>
      <c r="Q145" s="61"/>
      <c r="R145" s="61"/>
      <c r="S145" s="61"/>
      <c r="T145" s="87"/>
    </row>
    <row r="146" spans="1:20" ht="12.75" customHeight="1" x14ac:dyDescent="0.2">
      <c r="A146" s="70"/>
      <c r="B146" s="30" t="s">
        <v>1</v>
      </c>
      <c r="C146" s="31">
        <f t="shared" si="54"/>
        <v>162109.51766000001</v>
      </c>
      <c r="D146" s="32">
        <f>177202.00135+749.44451-15841.9282</f>
        <v>162109.51766000001</v>
      </c>
      <c r="E146" s="32"/>
      <c r="F146" s="32"/>
      <c r="G146" s="32"/>
      <c r="H146" s="32"/>
      <c r="I146" s="61"/>
      <c r="J146" s="61"/>
      <c r="K146" s="61"/>
      <c r="L146" s="61"/>
      <c r="M146" s="61"/>
      <c r="N146" s="61"/>
      <c r="O146" s="61"/>
      <c r="P146" s="64"/>
      <c r="Q146" s="61"/>
      <c r="R146" s="61"/>
      <c r="S146" s="61"/>
      <c r="T146" s="87"/>
    </row>
    <row r="147" spans="1:20" ht="12.75" customHeight="1" x14ac:dyDescent="0.2">
      <c r="A147" s="70"/>
      <c r="B147" s="30" t="s">
        <v>2</v>
      </c>
      <c r="C147" s="31">
        <f t="shared" si="54"/>
        <v>1898.7611999999999</v>
      </c>
      <c r="D147" s="32">
        <f>672.68687+1305.68201-79.6076-0.00008</f>
        <v>1898.7611999999999</v>
      </c>
      <c r="E147" s="32"/>
      <c r="F147" s="32"/>
      <c r="G147" s="32"/>
      <c r="H147" s="32"/>
      <c r="I147" s="61"/>
      <c r="J147" s="61"/>
      <c r="K147" s="61"/>
      <c r="L147" s="61"/>
      <c r="M147" s="61"/>
      <c r="N147" s="61"/>
      <c r="O147" s="61"/>
      <c r="P147" s="64"/>
      <c r="Q147" s="61"/>
      <c r="R147" s="61"/>
      <c r="S147" s="61"/>
      <c r="T147" s="87"/>
    </row>
    <row r="148" spans="1:20" ht="12.75" customHeight="1" x14ac:dyDescent="0.2">
      <c r="A148" s="71"/>
      <c r="B148" s="30" t="s">
        <v>3</v>
      </c>
      <c r="C148" s="31">
        <f t="shared" si="54"/>
        <v>0</v>
      </c>
      <c r="D148" s="32"/>
      <c r="E148" s="32"/>
      <c r="F148" s="32"/>
      <c r="G148" s="32"/>
      <c r="H148" s="32"/>
      <c r="I148" s="62"/>
      <c r="J148" s="62"/>
      <c r="K148" s="62"/>
      <c r="L148" s="62"/>
      <c r="M148" s="62"/>
      <c r="N148" s="62"/>
      <c r="O148" s="62"/>
      <c r="P148" s="65"/>
      <c r="Q148" s="62"/>
      <c r="R148" s="62"/>
      <c r="S148" s="62"/>
      <c r="T148" s="87"/>
    </row>
    <row r="149" spans="1:20" x14ac:dyDescent="0.2">
      <c r="A149" s="69" t="s">
        <v>294</v>
      </c>
      <c r="B149" s="124" t="s">
        <v>378</v>
      </c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x14ac:dyDescent="0.2">
      <c r="A150" s="70" t="s">
        <v>102</v>
      </c>
      <c r="B150" s="79" t="s">
        <v>135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</row>
    <row r="151" spans="1:20" ht="50.1" customHeight="1" x14ac:dyDescent="0.2">
      <c r="A151" s="70"/>
      <c r="B151" s="59" t="s">
        <v>380</v>
      </c>
      <c r="C151" s="54"/>
      <c r="D151" s="54"/>
      <c r="E151" s="54"/>
      <c r="F151" s="54"/>
      <c r="G151" s="54"/>
      <c r="H151" s="55"/>
      <c r="I151" s="60" t="s">
        <v>22</v>
      </c>
      <c r="J151" s="60" t="s">
        <v>13</v>
      </c>
      <c r="K151" s="60" t="s">
        <v>47</v>
      </c>
      <c r="L151" s="60" t="s">
        <v>109</v>
      </c>
      <c r="M151" s="60" t="s">
        <v>413</v>
      </c>
      <c r="N151" s="60" t="s">
        <v>378</v>
      </c>
      <c r="O151" s="60" t="s">
        <v>413</v>
      </c>
      <c r="P151" s="63">
        <v>288172.3</v>
      </c>
      <c r="Q151" s="60" t="s">
        <v>7</v>
      </c>
      <c r="R151" s="60" t="s">
        <v>35</v>
      </c>
      <c r="S151" s="60" t="s">
        <v>32</v>
      </c>
      <c r="T151" s="87" t="s">
        <v>687</v>
      </c>
    </row>
    <row r="152" spans="1:20" ht="12.75" customHeight="1" x14ac:dyDescent="0.2">
      <c r="A152" s="70"/>
      <c r="B152" s="30" t="s">
        <v>5</v>
      </c>
      <c r="C152" s="31">
        <f>SUM(D152:H152)</f>
        <v>231067.45988000001</v>
      </c>
      <c r="D152" s="32">
        <f t="shared" ref="D152" si="55">SUM(D153:D156)</f>
        <v>231067.45988000001</v>
      </c>
      <c r="E152" s="32">
        <f t="shared" ref="E152:H152" si="56">SUM(E153:E156)</f>
        <v>0</v>
      </c>
      <c r="F152" s="32">
        <f t="shared" si="56"/>
        <v>0</v>
      </c>
      <c r="G152" s="32">
        <f t="shared" si="56"/>
        <v>0</v>
      </c>
      <c r="H152" s="32">
        <f t="shared" si="56"/>
        <v>0</v>
      </c>
      <c r="I152" s="61"/>
      <c r="J152" s="61"/>
      <c r="K152" s="61"/>
      <c r="L152" s="61"/>
      <c r="M152" s="61"/>
      <c r="N152" s="61"/>
      <c r="O152" s="61"/>
      <c r="P152" s="64"/>
      <c r="Q152" s="61"/>
      <c r="R152" s="61"/>
      <c r="S152" s="61"/>
      <c r="T152" s="87"/>
    </row>
    <row r="153" spans="1:20" ht="12.75" customHeight="1" x14ac:dyDescent="0.2">
      <c r="A153" s="70"/>
      <c r="B153" s="30" t="s">
        <v>0</v>
      </c>
      <c r="C153" s="31">
        <f t="shared" ref="C153:C156" si="57">SUM(D153:H153)</f>
        <v>98012.959999999992</v>
      </c>
      <c r="D153" s="32">
        <f>28050.46+69962.5</f>
        <v>98012.959999999992</v>
      </c>
      <c r="E153" s="32"/>
      <c r="F153" s="32"/>
      <c r="G153" s="32"/>
      <c r="H153" s="32"/>
      <c r="I153" s="61"/>
      <c r="J153" s="61"/>
      <c r="K153" s="61"/>
      <c r="L153" s="61"/>
      <c r="M153" s="61"/>
      <c r="N153" s="61"/>
      <c r="O153" s="61"/>
      <c r="P153" s="64"/>
      <c r="Q153" s="61"/>
      <c r="R153" s="61"/>
      <c r="S153" s="61"/>
      <c r="T153" s="87"/>
    </row>
    <row r="154" spans="1:20" ht="12.75" customHeight="1" x14ac:dyDescent="0.2">
      <c r="A154" s="70"/>
      <c r="B154" s="30" t="s">
        <v>1</v>
      </c>
      <c r="C154" s="31">
        <f t="shared" si="57"/>
        <v>132252.50854000001</v>
      </c>
      <c r="D154" s="32">
        <f>120703.68412+706.69192+10842.1325</f>
        <v>132252.50854000001</v>
      </c>
      <c r="E154" s="32"/>
      <c r="F154" s="32"/>
      <c r="G154" s="32"/>
      <c r="H154" s="32"/>
      <c r="I154" s="61"/>
      <c r="J154" s="61"/>
      <c r="K154" s="61"/>
      <c r="L154" s="61"/>
      <c r="M154" s="61"/>
      <c r="N154" s="61"/>
      <c r="O154" s="61"/>
      <c r="P154" s="64"/>
      <c r="Q154" s="61"/>
      <c r="R154" s="61"/>
      <c r="S154" s="61"/>
      <c r="T154" s="87"/>
    </row>
    <row r="155" spans="1:20" ht="12.75" customHeight="1" x14ac:dyDescent="0.2">
      <c r="A155" s="70"/>
      <c r="B155" s="30" t="s">
        <v>2</v>
      </c>
      <c r="C155" s="31">
        <f t="shared" si="57"/>
        <v>801.99134000000004</v>
      </c>
      <c r="D155" s="32">
        <f>393.29014+709.33979+54.4831-355.12169</f>
        <v>801.99134000000004</v>
      </c>
      <c r="E155" s="32"/>
      <c r="F155" s="32"/>
      <c r="G155" s="32"/>
      <c r="H155" s="32"/>
      <c r="I155" s="61"/>
      <c r="J155" s="61"/>
      <c r="K155" s="61"/>
      <c r="L155" s="61"/>
      <c r="M155" s="61"/>
      <c r="N155" s="61"/>
      <c r="O155" s="61"/>
      <c r="P155" s="64"/>
      <c r="Q155" s="61"/>
      <c r="R155" s="61"/>
      <c r="S155" s="61"/>
      <c r="T155" s="87"/>
    </row>
    <row r="156" spans="1:20" ht="12.75" customHeight="1" x14ac:dyDescent="0.2">
      <c r="A156" s="71"/>
      <c r="B156" s="30" t="s">
        <v>3</v>
      </c>
      <c r="C156" s="31">
        <f t="shared" si="57"/>
        <v>0</v>
      </c>
      <c r="D156" s="32"/>
      <c r="E156" s="32"/>
      <c r="F156" s="32"/>
      <c r="G156" s="32"/>
      <c r="H156" s="32"/>
      <c r="I156" s="62"/>
      <c r="J156" s="62"/>
      <c r="K156" s="62"/>
      <c r="L156" s="62"/>
      <c r="M156" s="62"/>
      <c r="N156" s="62"/>
      <c r="O156" s="62"/>
      <c r="P156" s="65"/>
      <c r="Q156" s="62"/>
      <c r="R156" s="62"/>
      <c r="S156" s="62"/>
      <c r="T156" s="87"/>
    </row>
    <row r="157" spans="1:20" x14ac:dyDescent="0.2">
      <c r="A157" s="69" t="s">
        <v>295</v>
      </c>
      <c r="B157" s="124" t="s">
        <v>378</v>
      </c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x14ac:dyDescent="0.2">
      <c r="A158" s="70" t="s">
        <v>102</v>
      </c>
      <c r="B158" s="79" t="s">
        <v>135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1:20" ht="50.1" customHeight="1" x14ac:dyDescent="0.2">
      <c r="A159" s="70"/>
      <c r="B159" s="59" t="s">
        <v>381</v>
      </c>
      <c r="C159" s="54"/>
      <c r="D159" s="54"/>
      <c r="E159" s="54"/>
      <c r="F159" s="54"/>
      <c r="G159" s="54"/>
      <c r="H159" s="55"/>
      <c r="I159" s="60" t="s">
        <v>21</v>
      </c>
      <c r="J159" s="60" t="s">
        <v>13</v>
      </c>
      <c r="K159" s="60" t="s">
        <v>47</v>
      </c>
      <c r="L159" s="60" t="s">
        <v>108</v>
      </c>
      <c r="M159" s="60" t="s">
        <v>199</v>
      </c>
      <c r="N159" s="60" t="s">
        <v>378</v>
      </c>
      <c r="O159" s="60" t="s">
        <v>199</v>
      </c>
      <c r="P159" s="63">
        <v>756865.6</v>
      </c>
      <c r="Q159" s="60" t="s">
        <v>7</v>
      </c>
      <c r="R159" s="60" t="s">
        <v>39</v>
      </c>
      <c r="S159" s="60" t="s">
        <v>32</v>
      </c>
      <c r="T159" s="87" t="s">
        <v>688</v>
      </c>
    </row>
    <row r="160" spans="1:20" ht="12.75" customHeight="1" x14ac:dyDescent="0.2">
      <c r="A160" s="70"/>
      <c r="B160" s="30" t="s">
        <v>5</v>
      </c>
      <c r="C160" s="31">
        <f>SUM(D160:H160)</f>
        <v>647180.50941000006</v>
      </c>
      <c r="D160" s="32">
        <f t="shared" ref="D160" si="58">SUM(D161:D164)</f>
        <v>279761.20075000002</v>
      </c>
      <c r="E160" s="32">
        <f t="shared" ref="E160" si="59">SUM(E161:E164)</f>
        <v>367419.30866000004</v>
      </c>
      <c r="F160" s="32">
        <f t="shared" ref="F160:H160" si="60">SUM(F161:F164)</f>
        <v>0</v>
      </c>
      <c r="G160" s="32">
        <f t="shared" si="60"/>
        <v>0</v>
      </c>
      <c r="H160" s="32">
        <f t="shared" si="60"/>
        <v>0</v>
      </c>
      <c r="I160" s="61"/>
      <c r="J160" s="61"/>
      <c r="K160" s="61"/>
      <c r="L160" s="61"/>
      <c r="M160" s="61"/>
      <c r="N160" s="61"/>
      <c r="O160" s="61"/>
      <c r="P160" s="64"/>
      <c r="Q160" s="61"/>
      <c r="R160" s="61"/>
      <c r="S160" s="61"/>
      <c r="T160" s="87"/>
    </row>
    <row r="161" spans="1:20" ht="12.75" customHeight="1" x14ac:dyDescent="0.2">
      <c r="A161" s="70"/>
      <c r="B161" s="30" t="s">
        <v>0</v>
      </c>
      <c r="C161" s="31">
        <f t="shared" ref="C161:C164" si="61">SUM(D161:H161)</f>
        <v>361926.39</v>
      </c>
      <c r="D161" s="32">
        <v>0</v>
      </c>
      <c r="E161" s="32">
        <v>361926.39</v>
      </c>
      <c r="F161" s="32"/>
      <c r="G161" s="32"/>
      <c r="H161" s="32"/>
      <c r="I161" s="61"/>
      <c r="J161" s="61"/>
      <c r="K161" s="61"/>
      <c r="L161" s="61"/>
      <c r="M161" s="61"/>
      <c r="N161" s="61"/>
      <c r="O161" s="61"/>
      <c r="P161" s="64"/>
      <c r="Q161" s="61"/>
      <c r="R161" s="61"/>
      <c r="S161" s="61"/>
      <c r="T161" s="87"/>
    </row>
    <row r="162" spans="1:20" ht="12.75" customHeight="1" x14ac:dyDescent="0.2">
      <c r="A162" s="70"/>
      <c r="B162" s="30" t="s">
        <v>1</v>
      </c>
      <c r="C162" s="31">
        <f t="shared" si="61"/>
        <v>282018.21686000004</v>
      </c>
      <c r="D162" s="32">
        <v>278362.39474000002</v>
      </c>
      <c r="E162" s="32">
        <v>3655.8221199999998</v>
      </c>
      <c r="F162" s="32"/>
      <c r="G162" s="32"/>
      <c r="H162" s="32"/>
      <c r="I162" s="61"/>
      <c r="J162" s="61"/>
      <c r="K162" s="61"/>
      <c r="L162" s="61"/>
      <c r="M162" s="61"/>
      <c r="N162" s="61"/>
      <c r="O162" s="61"/>
      <c r="P162" s="64"/>
      <c r="Q162" s="61"/>
      <c r="R162" s="61"/>
      <c r="S162" s="61"/>
      <c r="T162" s="87"/>
    </row>
    <row r="163" spans="1:20" ht="12.75" customHeight="1" x14ac:dyDescent="0.2">
      <c r="A163" s="70"/>
      <c r="B163" s="30" t="s">
        <v>2</v>
      </c>
      <c r="C163" s="31">
        <f t="shared" si="61"/>
        <v>3235.9025499999998</v>
      </c>
      <c r="D163" s="32">
        <f>722.304+676.50201</f>
        <v>1398.80601</v>
      </c>
      <c r="E163" s="32">
        <v>1837.09654</v>
      </c>
      <c r="F163" s="32"/>
      <c r="G163" s="32"/>
      <c r="H163" s="32"/>
      <c r="I163" s="61"/>
      <c r="J163" s="61"/>
      <c r="K163" s="61"/>
      <c r="L163" s="61"/>
      <c r="M163" s="61"/>
      <c r="N163" s="61"/>
      <c r="O163" s="61"/>
      <c r="P163" s="64"/>
      <c r="Q163" s="61"/>
      <c r="R163" s="61"/>
      <c r="S163" s="61"/>
      <c r="T163" s="87"/>
    </row>
    <row r="164" spans="1:20" ht="12.75" customHeight="1" x14ac:dyDescent="0.2">
      <c r="A164" s="71"/>
      <c r="B164" s="30" t="s">
        <v>3</v>
      </c>
      <c r="C164" s="31">
        <f t="shared" si="61"/>
        <v>0</v>
      </c>
      <c r="D164" s="32"/>
      <c r="E164" s="32"/>
      <c r="F164" s="32"/>
      <c r="G164" s="32"/>
      <c r="H164" s="32"/>
      <c r="I164" s="62"/>
      <c r="J164" s="62"/>
      <c r="K164" s="62"/>
      <c r="L164" s="62"/>
      <c r="M164" s="62"/>
      <c r="N164" s="62"/>
      <c r="O164" s="62"/>
      <c r="P164" s="65"/>
      <c r="Q164" s="62"/>
      <c r="R164" s="62"/>
      <c r="S164" s="62"/>
      <c r="T164" s="87"/>
    </row>
    <row r="165" spans="1:20" x14ac:dyDescent="0.2">
      <c r="A165" s="69" t="s">
        <v>296</v>
      </c>
      <c r="B165" s="54" t="s">
        <v>700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5"/>
    </row>
    <row r="166" spans="1:20" x14ac:dyDescent="0.2">
      <c r="A166" s="70" t="s">
        <v>102</v>
      </c>
      <c r="B166" s="58" t="s">
        <v>135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50.1" customHeight="1" x14ac:dyDescent="0.2">
      <c r="A167" s="70"/>
      <c r="B167" s="75" t="s">
        <v>387</v>
      </c>
      <c r="C167" s="76"/>
      <c r="D167" s="76"/>
      <c r="E167" s="76"/>
      <c r="F167" s="76"/>
      <c r="G167" s="76"/>
      <c r="H167" s="77"/>
      <c r="I167" s="60" t="s">
        <v>455</v>
      </c>
      <c r="J167" s="60" t="s">
        <v>445</v>
      </c>
      <c r="K167" s="60" t="s">
        <v>40</v>
      </c>
      <c r="L167" s="60" t="s">
        <v>140</v>
      </c>
      <c r="M167" s="60" t="s">
        <v>105</v>
      </c>
      <c r="N167" s="60" t="s">
        <v>378</v>
      </c>
      <c r="O167" s="60" t="s">
        <v>105</v>
      </c>
      <c r="P167" s="60" t="s">
        <v>561</v>
      </c>
      <c r="Q167" s="60" t="s">
        <v>30</v>
      </c>
      <c r="R167" s="60" t="s">
        <v>57</v>
      </c>
      <c r="S167" s="60" t="s">
        <v>31</v>
      </c>
      <c r="T167" s="60" t="s">
        <v>330</v>
      </c>
    </row>
    <row r="168" spans="1:20" ht="12.75" customHeight="1" x14ac:dyDescent="0.2">
      <c r="A168" s="70"/>
      <c r="B168" s="30" t="s">
        <v>5</v>
      </c>
      <c r="C168" s="31">
        <f>SUM(D168:H168)</f>
        <v>300000</v>
      </c>
      <c r="D168" s="32">
        <f t="shared" ref="D168:E168" si="62">SUM(D169:D172)</f>
        <v>0</v>
      </c>
      <c r="E168" s="32">
        <f t="shared" si="62"/>
        <v>0</v>
      </c>
      <c r="F168" s="32">
        <f t="shared" ref="F168:H168" si="63">SUM(F169:F172)</f>
        <v>300000</v>
      </c>
      <c r="G168" s="32">
        <f t="shared" si="63"/>
        <v>0</v>
      </c>
      <c r="H168" s="32">
        <f t="shared" si="63"/>
        <v>0</v>
      </c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</row>
    <row r="169" spans="1:20" ht="12.75" customHeight="1" x14ac:dyDescent="0.2">
      <c r="A169" s="70"/>
      <c r="B169" s="30" t="s">
        <v>0</v>
      </c>
      <c r="C169" s="31">
        <f t="shared" ref="C169:C172" si="64">SUM(D169:H169)</f>
        <v>0</v>
      </c>
      <c r="D169" s="32"/>
      <c r="E169" s="32"/>
      <c r="F169" s="32"/>
      <c r="G169" s="32"/>
      <c r="H169" s="32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</row>
    <row r="170" spans="1:20" ht="12.75" customHeight="1" x14ac:dyDescent="0.2">
      <c r="A170" s="70"/>
      <c r="B170" s="30" t="s">
        <v>1</v>
      </c>
      <c r="C170" s="31">
        <f t="shared" si="64"/>
        <v>300000</v>
      </c>
      <c r="D170" s="32">
        <v>0</v>
      </c>
      <c r="E170" s="32">
        <v>0</v>
      </c>
      <c r="F170" s="32">
        <v>300000</v>
      </c>
      <c r="G170" s="32"/>
      <c r="H170" s="32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</row>
    <row r="171" spans="1:20" ht="12.75" customHeight="1" x14ac:dyDescent="0.2">
      <c r="A171" s="70"/>
      <c r="B171" s="30" t="s">
        <v>2</v>
      </c>
      <c r="C171" s="31">
        <f t="shared" si="64"/>
        <v>0</v>
      </c>
      <c r="D171" s="32"/>
      <c r="E171" s="32"/>
      <c r="F171" s="32"/>
      <c r="G171" s="32"/>
      <c r="H171" s="32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</row>
    <row r="172" spans="1:20" ht="12.75" customHeight="1" x14ac:dyDescent="0.2">
      <c r="A172" s="71"/>
      <c r="B172" s="30" t="s">
        <v>3</v>
      </c>
      <c r="C172" s="31">
        <f t="shared" si="64"/>
        <v>0</v>
      </c>
      <c r="D172" s="32"/>
      <c r="E172" s="32"/>
      <c r="F172" s="32"/>
      <c r="G172" s="32"/>
      <c r="H172" s="3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</row>
    <row r="173" spans="1:20" x14ac:dyDescent="0.2">
      <c r="A173" s="69" t="s">
        <v>297</v>
      </c>
      <c r="B173" s="54" t="s">
        <v>700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5"/>
    </row>
    <row r="174" spans="1:20" x14ac:dyDescent="0.2">
      <c r="A174" s="70" t="s">
        <v>102</v>
      </c>
      <c r="B174" s="58" t="s">
        <v>135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50.1" customHeight="1" x14ac:dyDescent="0.2">
      <c r="A175" s="70"/>
      <c r="B175" s="59" t="s">
        <v>513</v>
      </c>
      <c r="C175" s="54"/>
      <c r="D175" s="54"/>
      <c r="E175" s="54"/>
      <c r="F175" s="54"/>
      <c r="G175" s="54"/>
      <c r="H175" s="55"/>
      <c r="I175" s="60" t="s">
        <v>29</v>
      </c>
      <c r="J175" s="60"/>
      <c r="K175" s="60" t="s">
        <v>40</v>
      </c>
      <c r="L175" s="60" t="s">
        <v>110</v>
      </c>
      <c r="M175" s="60" t="s">
        <v>105</v>
      </c>
      <c r="N175" s="60" t="s">
        <v>378</v>
      </c>
      <c r="O175" s="60" t="s">
        <v>105</v>
      </c>
      <c r="P175" s="63" t="s">
        <v>562</v>
      </c>
      <c r="Q175" s="60" t="s">
        <v>30</v>
      </c>
      <c r="R175" s="60" t="s">
        <v>55</v>
      </c>
      <c r="S175" s="60" t="s">
        <v>31</v>
      </c>
      <c r="T175" s="60" t="s">
        <v>329</v>
      </c>
    </row>
    <row r="176" spans="1:20" ht="12.75" customHeight="1" x14ac:dyDescent="0.2">
      <c r="A176" s="70"/>
      <c r="B176" s="30" t="s">
        <v>5</v>
      </c>
      <c r="C176" s="31">
        <f>SUM(D176:H176)</f>
        <v>97041.442550000036</v>
      </c>
      <c r="D176" s="32">
        <f t="shared" ref="D176:H176" si="65">SUM(D177:D180)</f>
        <v>0</v>
      </c>
      <c r="E176" s="32">
        <f t="shared" si="65"/>
        <v>0</v>
      </c>
      <c r="F176" s="32">
        <f t="shared" si="65"/>
        <v>97041.442550000036</v>
      </c>
      <c r="G176" s="32">
        <f t="shared" si="65"/>
        <v>0</v>
      </c>
      <c r="H176" s="32">
        <f t="shared" si="65"/>
        <v>0</v>
      </c>
      <c r="I176" s="61"/>
      <c r="J176" s="61"/>
      <c r="K176" s="61"/>
      <c r="L176" s="61"/>
      <c r="M176" s="61"/>
      <c r="N176" s="61"/>
      <c r="O176" s="61"/>
      <c r="P176" s="64"/>
      <c r="Q176" s="61"/>
      <c r="R176" s="61"/>
      <c r="S176" s="61"/>
      <c r="T176" s="61"/>
    </row>
    <row r="177" spans="1:20" ht="12.75" customHeight="1" x14ac:dyDescent="0.2">
      <c r="A177" s="70"/>
      <c r="B177" s="30" t="s">
        <v>0</v>
      </c>
      <c r="C177" s="31">
        <f t="shared" ref="C177:C180" si="66">SUM(D177:H177)</f>
        <v>0</v>
      </c>
      <c r="D177" s="32"/>
      <c r="E177" s="32"/>
      <c r="F177" s="32"/>
      <c r="G177" s="32"/>
      <c r="H177" s="32"/>
      <c r="I177" s="61"/>
      <c r="J177" s="61"/>
      <c r="K177" s="61"/>
      <c r="L177" s="61"/>
      <c r="M177" s="61"/>
      <c r="N177" s="61"/>
      <c r="O177" s="61"/>
      <c r="P177" s="64"/>
      <c r="Q177" s="61"/>
      <c r="R177" s="61"/>
      <c r="S177" s="61"/>
      <c r="T177" s="61"/>
    </row>
    <row r="178" spans="1:20" ht="12.75" customHeight="1" x14ac:dyDescent="0.2">
      <c r="A178" s="70"/>
      <c r="B178" s="30" t="s">
        <v>1</v>
      </c>
      <c r="C178" s="31">
        <f t="shared" si="66"/>
        <v>97041.442550000036</v>
      </c>
      <c r="D178" s="32">
        <v>0</v>
      </c>
      <c r="E178" s="32">
        <v>0</v>
      </c>
      <c r="F178" s="32">
        <f>530958.761-6105.57677-427811.74168</f>
        <v>97041.442550000036</v>
      </c>
      <c r="G178" s="32"/>
      <c r="H178" s="32"/>
      <c r="I178" s="61"/>
      <c r="J178" s="61"/>
      <c r="K178" s="61"/>
      <c r="L178" s="61"/>
      <c r="M178" s="61"/>
      <c r="N178" s="61"/>
      <c r="O178" s="61"/>
      <c r="P178" s="64"/>
      <c r="Q178" s="61"/>
      <c r="R178" s="61"/>
      <c r="S178" s="61"/>
      <c r="T178" s="61"/>
    </row>
    <row r="179" spans="1:20" ht="12.75" customHeight="1" x14ac:dyDescent="0.2">
      <c r="A179" s="70"/>
      <c r="B179" s="30" t="s">
        <v>2</v>
      </c>
      <c r="C179" s="31">
        <f t="shared" si="66"/>
        <v>0</v>
      </c>
      <c r="D179" s="32"/>
      <c r="E179" s="32"/>
      <c r="F179" s="32"/>
      <c r="G179" s="32"/>
      <c r="H179" s="32"/>
      <c r="I179" s="61"/>
      <c r="J179" s="61"/>
      <c r="K179" s="61"/>
      <c r="L179" s="61"/>
      <c r="M179" s="61"/>
      <c r="N179" s="61"/>
      <c r="O179" s="61"/>
      <c r="P179" s="64"/>
      <c r="Q179" s="61"/>
      <c r="R179" s="61"/>
      <c r="S179" s="61"/>
      <c r="T179" s="61"/>
    </row>
    <row r="180" spans="1:20" ht="12.75" customHeight="1" x14ac:dyDescent="0.2">
      <c r="A180" s="71"/>
      <c r="B180" s="30" t="s">
        <v>3</v>
      </c>
      <c r="C180" s="31">
        <f t="shared" si="66"/>
        <v>0</v>
      </c>
      <c r="D180" s="32"/>
      <c r="E180" s="32"/>
      <c r="F180" s="32"/>
      <c r="G180" s="32"/>
      <c r="H180" s="32"/>
      <c r="I180" s="62"/>
      <c r="J180" s="62"/>
      <c r="K180" s="62"/>
      <c r="L180" s="62"/>
      <c r="M180" s="62"/>
      <c r="N180" s="62"/>
      <c r="O180" s="62"/>
      <c r="P180" s="65"/>
      <c r="Q180" s="62"/>
      <c r="R180" s="62"/>
      <c r="S180" s="62"/>
      <c r="T180" s="62"/>
    </row>
    <row r="181" spans="1:20" ht="12.75" customHeight="1" x14ac:dyDescent="0.2">
      <c r="A181" s="69" t="s">
        <v>382</v>
      </c>
      <c r="B181" s="54" t="s">
        <v>700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5"/>
    </row>
    <row r="182" spans="1:20" ht="12.75" customHeight="1" x14ac:dyDescent="0.2">
      <c r="A182" s="70" t="s">
        <v>102</v>
      </c>
      <c r="B182" s="58" t="s">
        <v>135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</row>
    <row r="183" spans="1:20" ht="50.1" customHeight="1" x14ac:dyDescent="0.2">
      <c r="A183" s="70"/>
      <c r="B183" s="75" t="s">
        <v>235</v>
      </c>
      <c r="C183" s="76"/>
      <c r="D183" s="76"/>
      <c r="E183" s="76"/>
      <c r="F183" s="76"/>
      <c r="G183" s="76"/>
      <c r="H183" s="77"/>
      <c r="I183" s="60" t="s">
        <v>24</v>
      </c>
      <c r="J183" s="60" t="s">
        <v>13</v>
      </c>
      <c r="K183" s="60" t="s">
        <v>11</v>
      </c>
      <c r="L183" s="60" t="s">
        <v>144</v>
      </c>
      <c r="M183" s="60" t="s">
        <v>23</v>
      </c>
      <c r="N183" s="60" t="s">
        <v>136</v>
      </c>
      <c r="O183" s="60" t="s">
        <v>23</v>
      </c>
      <c r="P183" s="63" t="s">
        <v>563</v>
      </c>
      <c r="Q183" s="60" t="s">
        <v>7</v>
      </c>
      <c r="R183" s="60" t="s">
        <v>8</v>
      </c>
      <c r="S183" s="60" t="s">
        <v>31</v>
      </c>
      <c r="T183" s="60"/>
    </row>
    <row r="184" spans="1:20" ht="12.75" customHeight="1" x14ac:dyDescent="0.2">
      <c r="A184" s="70"/>
      <c r="B184" s="30" t="s">
        <v>5</v>
      </c>
      <c r="C184" s="31">
        <f>SUM(D184:H184)</f>
        <v>207373.22613</v>
      </c>
      <c r="D184" s="32">
        <f t="shared" ref="D184:H184" si="67">SUM(D185:D188)</f>
        <v>0</v>
      </c>
      <c r="E184" s="32">
        <f t="shared" si="67"/>
        <v>0</v>
      </c>
      <c r="F184" s="32">
        <f t="shared" si="67"/>
        <v>0</v>
      </c>
      <c r="G184" s="32">
        <f t="shared" si="67"/>
        <v>207373.22613</v>
      </c>
      <c r="H184" s="32">
        <f t="shared" si="67"/>
        <v>0</v>
      </c>
      <c r="I184" s="61"/>
      <c r="J184" s="61"/>
      <c r="K184" s="61"/>
      <c r="L184" s="61"/>
      <c r="M184" s="61"/>
      <c r="N184" s="61"/>
      <c r="O184" s="61"/>
      <c r="P184" s="64"/>
      <c r="Q184" s="61"/>
      <c r="R184" s="61"/>
      <c r="S184" s="61"/>
      <c r="T184" s="61"/>
    </row>
    <row r="185" spans="1:20" ht="12.75" customHeight="1" x14ac:dyDescent="0.2">
      <c r="A185" s="70"/>
      <c r="B185" s="30" t="s">
        <v>0</v>
      </c>
      <c r="C185" s="31">
        <f t="shared" ref="C185:C188" si="68">SUM(D185:H185)</f>
        <v>0</v>
      </c>
      <c r="D185" s="32"/>
      <c r="E185" s="32"/>
      <c r="F185" s="32"/>
      <c r="G185" s="32"/>
      <c r="H185" s="32"/>
      <c r="I185" s="61"/>
      <c r="J185" s="61"/>
      <c r="K185" s="61"/>
      <c r="L185" s="61"/>
      <c r="M185" s="61"/>
      <c r="N185" s="61"/>
      <c r="O185" s="61"/>
      <c r="P185" s="64"/>
      <c r="Q185" s="61"/>
      <c r="R185" s="61"/>
      <c r="S185" s="61"/>
      <c r="T185" s="61"/>
    </row>
    <row r="186" spans="1:20" ht="12.75" customHeight="1" x14ac:dyDescent="0.2">
      <c r="A186" s="70"/>
      <c r="B186" s="30" t="s">
        <v>1</v>
      </c>
      <c r="C186" s="31">
        <f t="shared" si="68"/>
        <v>206336.36</v>
      </c>
      <c r="D186" s="32">
        <v>0</v>
      </c>
      <c r="E186" s="32">
        <v>0</v>
      </c>
      <c r="F186" s="32">
        <v>0</v>
      </c>
      <c r="G186" s="32">
        <v>206336.36</v>
      </c>
      <c r="H186" s="32"/>
      <c r="I186" s="61"/>
      <c r="J186" s="61"/>
      <c r="K186" s="61"/>
      <c r="L186" s="61"/>
      <c r="M186" s="61"/>
      <c r="N186" s="61"/>
      <c r="O186" s="61"/>
      <c r="P186" s="64"/>
      <c r="Q186" s="61"/>
      <c r="R186" s="61"/>
      <c r="S186" s="61"/>
      <c r="T186" s="61"/>
    </row>
    <row r="187" spans="1:20" ht="12.75" customHeight="1" x14ac:dyDescent="0.2">
      <c r="A187" s="70"/>
      <c r="B187" s="30" t="s">
        <v>2</v>
      </c>
      <c r="C187" s="31">
        <f t="shared" si="68"/>
        <v>1036.8661300000001</v>
      </c>
      <c r="D187" s="32">
        <v>0</v>
      </c>
      <c r="E187" s="32">
        <v>0</v>
      </c>
      <c r="F187" s="32">
        <v>0</v>
      </c>
      <c r="G187" s="32">
        <v>1036.8661300000001</v>
      </c>
      <c r="H187" s="32"/>
      <c r="I187" s="61"/>
      <c r="J187" s="61"/>
      <c r="K187" s="61"/>
      <c r="L187" s="61"/>
      <c r="M187" s="61"/>
      <c r="N187" s="61"/>
      <c r="O187" s="61"/>
      <c r="P187" s="64"/>
      <c r="Q187" s="61"/>
      <c r="R187" s="61"/>
      <c r="S187" s="61"/>
      <c r="T187" s="61"/>
    </row>
    <row r="188" spans="1:20" ht="12.75" customHeight="1" x14ac:dyDescent="0.2">
      <c r="A188" s="71"/>
      <c r="B188" s="30" t="s">
        <v>3</v>
      </c>
      <c r="C188" s="31">
        <f t="shared" si="68"/>
        <v>0</v>
      </c>
      <c r="D188" s="32"/>
      <c r="E188" s="32"/>
      <c r="F188" s="32"/>
      <c r="G188" s="32"/>
      <c r="H188" s="32"/>
      <c r="I188" s="62"/>
      <c r="J188" s="62"/>
      <c r="K188" s="62"/>
      <c r="L188" s="62"/>
      <c r="M188" s="62"/>
      <c r="N188" s="62"/>
      <c r="O188" s="62"/>
      <c r="P188" s="65"/>
      <c r="Q188" s="62"/>
      <c r="R188" s="62"/>
      <c r="S188" s="62"/>
      <c r="T188" s="62"/>
    </row>
    <row r="189" spans="1:20" x14ac:dyDescent="0.2">
      <c r="A189" s="69" t="s">
        <v>385</v>
      </c>
      <c r="B189" s="54" t="s">
        <v>700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5"/>
    </row>
    <row r="190" spans="1:20" x14ac:dyDescent="0.2">
      <c r="A190" s="70" t="s">
        <v>102</v>
      </c>
      <c r="B190" s="58" t="s">
        <v>135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</row>
    <row r="191" spans="1:20" ht="50.1" customHeight="1" x14ac:dyDescent="0.2">
      <c r="A191" s="70"/>
      <c r="B191" s="59" t="s">
        <v>383</v>
      </c>
      <c r="C191" s="54"/>
      <c r="D191" s="54"/>
      <c r="E191" s="54"/>
      <c r="F191" s="54"/>
      <c r="G191" s="54"/>
      <c r="H191" s="55"/>
      <c r="I191" s="60" t="s">
        <v>444</v>
      </c>
      <c r="J191" s="60"/>
      <c r="K191" s="60" t="s">
        <v>40</v>
      </c>
      <c r="L191" s="60" t="s">
        <v>384</v>
      </c>
      <c r="M191" s="60" t="s">
        <v>105</v>
      </c>
      <c r="N191" s="60" t="s">
        <v>378</v>
      </c>
      <c r="O191" s="60" t="s">
        <v>105</v>
      </c>
      <c r="P191" s="63" t="s">
        <v>564</v>
      </c>
      <c r="Q191" s="60" t="s">
        <v>30</v>
      </c>
      <c r="R191" s="60" t="s">
        <v>65</v>
      </c>
      <c r="S191" s="60" t="s">
        <v>31</v>
      </c>
      <c r="T191" s="60"/>
    </row>
    <row r="192" spans="1:20" ht="12.75" customHeight="1" x14ac:dyDescent="0.2">
      <c r="A192" s="70"/>
      <c r="B192" s="30" t="s">
        <v>5</v>
      </c>
      <c r="C192" s="31">
        <f>SUM(D192:H192)</f>
        <v>206876.86868000001</v>
      </c>
      <c r="D192" s="32">
        <f>SUM(D193:D196)</f>
        <v>0</v>
      </c>
      <c r="E192" s="32">
        <f t="shared" ref="E192:H192" si="69">SUM(E193:E196)</f>
        <v>0</v>
      </c>
      <c r="F192" s="32">
        <f t="shared" si="69"/>
        <v>104172.52525000001</v>
      </c>
      <c r="G192" s="32">
        <f t="shared" si="69"/>
        <v>102704.34343000001</v>
      </c>
      <c r="H192" s="32">
        <f t="shared" si="69"/>
        <v>0</v>
      </c>
      <c r="I192" s="61"/>
      <c r="J192" s="61"/>
      <c r="K192" s="61"/>
      <c r="L192" s="61"/>
      <c r="M192" s="61"/>
      <c r="N192" s="61"/>
      <c r="O192" s="61"/>
      <c r="P192" s="64"/>
      <c r="Q192" s="61"/>
      <c r="R192" s="61"/>
      <c r="S192" s="61"/>
      <c r="T192" s="61"/>
    </row>
    <row r="193" spans="1:20" ht="12.75" customHeight="1" x14ac:dyDescent="0.2">
      <c r="A193" s="70"/>
      <c r="B193" s="30" t="s">
        <v>0</v>
      </c>
      <c r="C193" s="31">
        <f t="shared" ref="C193:C196" si="70">SUM(D193:H193)</f>
        <v>204808.1</v>
      </c>
      <c r="D193" s="32">
        <v>0</v>
      </c>
      <c r="E193" s="32">
        <v>0</v>
      </c>
      <c r="F193" s="32">
        <v>103130.8</v>
      </c>
      <c r="G193" s="32">
        <v>101677.3</v>
      </c>
      <c r="H193" s="32"/>
      <c r="I193" s="61"/>
      <c r="J193" s="61"/>
      <c r="K193" s="61"/>
      <c r="L193" s="61"/>
      <c r="M193" s="61"/>
      <c r="N193" s="61"/>
      <c r="O193" s="61"/>
      <c r="P193" s="64"/>
      <c r="Q193" s="61"/>
      <c r="R193" s="61"/>
      <c r="S193" s="61"/>
      <c r="T193" s="61"/>
    </row>
    <row r="194" spans="1:20" ht="12.75" customHeight="1" x14ac:dyDescent="0.2">
      <c r="A194" s="70"/>
      <c r="B194" s="30" t="s">
        <v>1</v>
      </c>
      <c r="C194" s="31">
        <f t="shared" si="70"/>
        <v>2068.7686800000001</v>
      </c>
      <c r="D194" s="32">
        <v>0</v>
      </c>
      <c r="E194" s="32">
        <v>0</v>
      </c>
      <c r="F194" s="32">
        <v>1041.72525</v>
      </c>
      <c r="G194" s="32">
        <f>0+1027.04343</f>
        <v>1027.0434299999999</v>
      </c>
      <c r="H194" s="32"/>
      <c r="I194" s="61"/>
      <c r="J194" s="61"/>
      <c r="K194" s="61"/>
      <c r="L194" s="61"/>
      <c r="M194" s="61"/>
      <c r="N194" s="61"/>
      <c r="O194" s="61"/>
      <c r="P194" s="64"/>
      <c r="Q194" s="61"/>
      <c r="R194" s="61"/>
      <c r="S194" s="61"/>
      <c r="T194" s="61"/>
    </row>
    <row r="195" spans="1:20" ht="12.75" customHeight="1" x14ac:dyDescent="0.2">
      <c r="A195" s="70"/>
      <c r="B195" s="30" t="s">
        <v>2</v>
      </c>
      <c r="C195" s="31">
        <f t="shared" si="70"/>
        <v>0</v>
      </c>
      <c r="D195" s="32"/>
      <c r="E195" s="32"/>
      <c r="F195" s="32"/>
      <c r="G195" s="32"/>
      <c r="H195" s="32"/>
      <c r="I195" s="61"/>
      <c r="J195" s="61"/>
      <c r="K195" s="61"/>
      <c r="L195" s="61"/>
      <c r="M195" s="61"/>
      <c r="N195" s="61"/>
      <c r="O195" s="61"/>
      <c r="P195" s="64"/>
      <c r="Q195" s="61"/>
      <c r="R195" s="61"/>
      <c r="S195" s="61"/>
      <c r="T195" s="61"/>
    </row>
    <row r="196" spans="1:20" ht="12.75" customHeight="1" x14ac:dyDescent="0.2">
      <c r="A196" s="71"/>
      <c r="B196" s="30" t="s">
        <v>3</v>
      </c>
      <c r="C196" s="31">
        <f t="shared" si="70"/>
        <v>0</v>
      </c>
      <c r="D196" s="32"/>
      <c r="E196" s="32"/>
      <c r="F196" s="32"/>
      <c r="G196" s="32"/>
      <c r="H196" s="32"/>
      <c r="I196" s="62"/>
      <c r="J196" s="62"/>
      <c r="K196" s="62"/>
      <c r="L196" s="62"/>
      <c r="M196" s="62"/>
      <c r="N196" s="62"/>
      <c r="O196" s="62"/>
      <c r="P196" s="65"/>
      <c r="Q196" s="62"/>
      <c r="R196" s="62"/>
      <c r="S196" s="62"/>
      <c r="T196" s="62"/>
    </row>
    <row r="197" spans="1:20" ht="12.75" customHeight="1" x14ac:dyDescent="0.2">
      <c r="A197" s="69" t="s">
        <v>298</v>
      </c>
      <c r="B197" s="54" t="s">
        <v>700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5"/>
    </row>
    <row r="198" spans="1:20" ht="12.75" customHeight="1" x14ac:dyDescent="0.2">
      <c r="A198" s="70" t="s">
        <v>102</v>
      </c>
      <c r="B198" s="58" t="s">
        <v>135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ht="50.1" customHeight="1" x14ac:dyDescent="0.2">
      <c r="A199" s="70"/>
      <c r="B199" s="59" t="s">
        <v>514</v>
      </c>
      <c r="C199" s="54"/>
      <c r="D199" s="54"/>
      <c r="E199" s="54"/>
      <c r="F199" s="54"/>
      <c r="G199" s="54"/>
      <c r="H199" s="55"/>
      <c r="I199" s="60" t="s">
        <v>444</v>
      </c>
      <c r="J199" s="60" t="s">
        <v>515</v>
      </c>
      <c r="K199" s="60" t="s">
        <v>40</v>
      </c>
      <c r="L199" s="60" t="s">
        <v>384</v>
      </c>
      <c r="M199" s="60" t="s">
        <v>105</v>
      </c>
      <c r="N199" s="60" t="s">
        <v>378</v>
      </c>
      <c r="O199" s="60" t="s">
        <v>105</v>
      </c>
      <c r="P199" s="63" t="s">
        <v>564</v>
      </c>
      <c r="Q199" s="60" t="s">
        <v>30</v>
      </c>
      <c r="R199" s="60" t="s">
        <v>65</v>
      </c>
      <c r="S199" s="60" t="s">
        <v>25</v>
      </c>
      <c r="T199" s="87"/>
    </row>
    <row r="200" spans="1:20" ht="12.75" customHeight="1" x14ac:dyDescent="0.2">
      <c r="A200" s="70"/>
      <c r="B200" s="30" t="s">
        <v>5</v>
      </c>
      <c r="C200" s="31">
        <f>SUM(C201:C204)</f>
        <v>18000</v>
      </c>
      <c r="D200" s="31">
        <f t="shared" ref="D200:H200" si="71">SUM(D201:D204)</f>
        <v>0</v>
      </c>
      <c r="E200" s="31">
        <f t="shared" si="71"/>
        <v>18000</v>
      </c>
      <c r="F200" s="31">
        <f t="shared" si="71"/>
        <v>0</v>
      </c>
      <c r="G200" s="31">
        <f t="shared" si="71"/>
        <v>0</v>
      </c>
      <c r="H200" s="31">
        <f t="shared" si="71"/>
        <v>0</v>
      </c>
      <c r="I200" s="61"/>
      <c r="J200" s="61"/>
      <c r="K200" s="61"/>
      <c r="L200" s="61"/>
      <c r="M200" s="61"/>
      <c r="N200" s="61"/>
      <c r="O200" s="61"/>
      <c r="P200" s="64"/>
      <c r="Q200" s="61"/>
      <c r="R200" s="61"/>
      <c r="S200" s="61"/>
      <c r="T200" s="87"/>
    </row>
    <row r="201" spans="1:20" ht="12.75" customHeight="1" x14ac:dyDescent="0.2">
      <c r="A201" s="70"/>
      <c r="B201" s="30" t="s">
        <v>0</v>
      </c>
      <c r="C201" s="31">
        <f>SUM(D201:H201)</f>
        <v>0</v>
      </c>
      <c r="D201" s="32"/>
      <c r="E201" s="32"/>
      <c r="F201" s="32"/>
      <c r="G201" s="32"/>
      <c r="H201" s="32"/>
      <c r="I201" s="61"/>
      <c r="J201" s="61"/>
      <c r="K201" s="61"/>
      <c r="L201" s="61"/>
      <c r="M201" s="61"/>
      <c r="N201" s="61"/>
      <c r="O201" s="61"/>
      <c r="P201" s="64"/>
      <c r="Q201" s="61"/>
      <c r="R201" s="61"/>
      <c r="S201" s="61"/>
      <c r="T201" s="87"/>
    </row>
    <row r="202" spans="1:20" ht="12.75" customHeight="1" x14ac:dyDescent="0.2">
      <c r="A202" s="70"/>
      <c r="B202" s="30" t="s">
        <v>1</v>
      </c>
      <c r="C202" s="31">
        <f t="shared" ref="C202:C204" si="72">SUM(D202:H202)</f>
        <v>18000</v>
      </c>
      <c r="D202" s="32"/>
      <c r="E202" s="32">
        <f>0+18000</f>
        <v>18000</v>
      </c>
      <c r="F202" s="32"/>
      <c r="G202" s="32"/>
      <c r="H202" s="32"/>
      <c r="I202" s="61"/>
      <c r="J202" s="61"/>
      <c r="K202" s="61"/>
      <c r="L202" s="61"/>
      <c r="M202" s="61"/>
      <c r="N202" s="61"/>
      <c r="O202" s="61"/>
      <c r="P202" s="64"/>
      <c r="Q202" s="61"/>
      <c r="R202" s="61"/>
      <c r="S202" s="61"/>
      <c r="T202" s="87"/>
    </row>
    <row r="203" spans="1:20" ht="12.75" customHeight="1" x14ac:dyDescent="0.2">
      <c r="A203" s="70"/>
      <c r="B203" s="30" t="s">
        <v>2</v>
      </c>
      <c r="C203" s="31">
        <f t="shared" si="72"/>
        <v>0</v>
      </c>
      <c r="D203" s="32"/>
      <c r="E203" s="32"/>
      <c r="F203" s="32"/>
      <c r="G203" s="32"/>
      <c r="H203" s="32"/>
      <c r="I203" s="61"/>
      <c r="J203" s="61"/>
      <c r="K203" s="61"/>
      <c r="L203" s="61"/>
      <c r="M203" s="61"/>
      <c r="N203" s="61"/>
      <c r="O203" s="61"/>
      <c r="P203" s="64"/>
      <c r="Q203" s="61"/>
      <c r="R203" s="61"/>
      <c r="S203" s="61"/>
      <c r="T203" s="87"/>
    </row>
    <row r="204" spans="1:20" ht="12.75" customHeight="1" x14ac:dyDescent="0.2">
      <c r="A204" s="71"/>
      <c r="B204" s="30" t="s">
        <v>3</v>
      </c>
      <c r="C204" s="31">
        <f t="shared" si="72"/>
        <v>0</v>
      </c>
      <c r="D204" s="32"/>
      <c r="E204" s="32"/>
      <c r="F204" s="32"/>
      <c r="G204" s="32"/>
      <c r="H204" s="32"/>
      <c r="I204" s="62"/>
      <c r="J204" s="62"/>
      <c r="K204" s="62"/>
      <c r="L204" s="62"/>
      <c r="M204" s="62"/>
      <c r="N204" s="62"/>
      <c r="O204" s="62"/>
      <c r="P204" s="65"/>
      <c r="Q204" s="62"/>
      <c r="R204" s="62"/>
      <c r="S204" s="62"/>
      <c r="T204" s="87"/>
    </row>
    <row r="205" spans="1:20" x14ac:dyDescent="0.2">
      <c r="A205" s="69" t="s">
        <v>489</v>
      </c>
      <c r="B205" s="54" t="s">
        <v>700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5"/>
    </row>
    <row r="206" spans="1:20" x14ac:dyDescent="0.2">
      <c r="A206" s="70" t="s">
        <v>102</v>
      </c>
      <c r="B206" s="58" t="s">
        <v>135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ht="50.1" customHeight="1" x14ac:dyDescent="0.2">
      <c r="A207" s="70"/>
      <c r="B207" s="59" t="s">
        <v>349</v>
      </c>
      <c r="C207" s="54"/>
      <c r="D207" s="54"/>
      <c r="E207" s="54"/>
      <c r="F207" s="54"/>
      <c r="G207" s="54"/>
      <c r="H207" s="55"/>
      <c r="I207" s="60" t="s">
        <v>443</v>
      </c>
      <c r="J207" s="60"/>
      <c r="K207" s="60" t="s">
        <v>40</v>
      </c>
      <c r="L207" s="60" t="s">
        <v>386</v>
      </c>
      <c r="M207" s="60" t="s">
        <v>105</v>
      </c>
      <c r="N207" s="60" t="s">
        <v>378</v>
      </c>
      <c r="O207" s="60" t="s">
        <v>105</v>
      </c>
      <c r="P207" s="63" t="s">
        <v>572</v>
      </c>
      <c r="Q207" s="60" t="s">
        <v>30</v>
      </c>
      <c r="R207" s="60" t="s">
        <v>8</v>
      </c>
      <c r="S207" s="60" t="s">
        <v>31</v>
      </c>
      <c r="T207" s="60" t="s">
        <v>690</v>
      </c>
    </row>
    <row r="208" spans="1:20" ht="12.75" customHeight="1" x14ac:dyDescent="0.2">
      <c r="A208" s="70"/>
      <c r="B208" s="30" t="s">
        <v>5</v>
      </c>
      <c r="C208" s="31">
        <f>SUM(D208:H208)</f>
        <v>1212000</v>
      </c>
      <c r="D208" s="32">
        <f>SUM(D209:D212)</f>
        <v>76953.732000000004</v>
      </c>
      <c r="E208" s="32">
        <f t="shared" ref="E208:H208" si="73">SUM(E209:E212)</f>
        <v>353617.26316000003</v>
      </c>
      <c r="F208" s="32">
        <f t="shared" si="73"/>
        <v>781429.00484000007</v>
      </c>
      <c r="G208" s="32">
        <f t="shared" si="73"/>
        <v>0</v>
      </c>
      <c r="H208" s="32">
        <f t="shared" si="73"/>
        <v>0</v>
      </c>
      <c r="I208" s="61"/>
      <c r="J208" s="61"/>
      <c r="K208" s="61"/>
      <c r="L208" s="61"/>
      <c r="M208" s="61"/>
      <c r="N208" s="61"/>
      <c r="O208" s="61"/>
      <c r="P208" s="64"/>
      <c r="Q208" s="61"/>
      <c r="R208" s="61"/>
      <c r="S208" s="61"/>
      <c r="T208" s="61"/>
    </row>
    <row r="209" spans="1:20" ht="12.75" customHeight="1" x14ac:dyDescent="0.2">
      <c r="A209" s="70"/>
      <c r="B209" s="30" t="s">
        <v>0</v>
      </c>
      <c r="C209" s="31">
        <f t="shared" ref="C209:C212" si="74">SUM(D209:H209)</f>
        <v>671872.8</v>
      </c>
      <c r="D209" s="32">
        <v>0</v>
      </c>
      <c r="E209" s="32">
        <v>335936.4</v>
      </c>
      <c r="F209" s="32">
        <v>335936.4</v>
      </c>
      <c r="G209" s="32"/>
      <c r="H209" s="32"/>
      <c r="I209" s="61"/>
      <c r="J209" s="61"/>
      <c r="K209" s="61"/>
      <c r="L209" s="61"/>
      <c r="M209" s="61"/>
      <c r="N209" s="61"/>
      <c r="O209" s="61"/>
      <c r="P209" s="64"/>
      <c r="Q209" s="61"/>
      <c r="R209" s="61"/>
      <c r="S209" s="61"/>
      <c r="T209" s="61"/>
    </row>
    <row r="210" spans="1:20" ht="12.75" customHeight="1" x14ac:dyDescent="0.2">
      <c r="A210" s="70"/>
      <c r="B210" s="30" t="s">
        <v>1</v>
      </c>
      <c r="C210" s="31">
        <f t="shared" si="74"/>
        <v>540127.19999999995</v>
      </c>
      <c r="D210" s="32">
        <f>0+76953.732</f>
        <v>76953.732000000004</v>
      </c>
      <c r="E210" s="32">
        <v>17680.863160000001</v>
      </c>
      <c r="F210" s="32">
        <f>17680.86316+427811.74168</f>
        <v>445492.60483999999</v>
      </c>
      <c r="G210" s="32"/>
      <c r="H210" s="32"/>
      <c r="I210" s="61"/>
      <c r="J210" s="61"/>
      <c r="K210" s="61"/>
      <c r="L210" s="61"/>
      <c r="M210" s="61"/>
      <c r="N210" s="61"/>
      <c r="O210" s="61"/>
      <c r="P210" s="64"/>
      <c r="Q210" s="61"/>
      <c r="R210" s="61"/>
      <c r="S210" s="61"/>
      <c r="T210" s="61"/>
    </row>
    <row r="211" spans="1:20" ht="12.75" customHeight="1" x14ac:dyDescent="0.2">
      <c r="A211" s="70"/>
      <c r="B211" s="30" t="s">
        <v>2</v>
      </c>
      <c r="C211" s="31">
        <f t="shared" si="74"/>
        <v>0</v>
      </c>
      <c r="D211" s="32"/>
      <c r="E211" s="32"/>
      <c r="F211" s="32"/>
      <c r="G211" s="32"/>
      <c r="H211" s="32"/>
      <c r="I211" s="61"/>
      <c r="J211" s="61"/>
      <c r="K211" s="61"/>
      <c r="L211" s="61"/>
      <c r="M211" s="61"/>
      <c r="N211" s="61"/>
      <c r="O211" s="61"/>
      <c r="P211" s="64"/>
      <c r="Q211" s="61"/>
      <c r="R211" s="61"/>
      <c r="S211" s="61"/>
      <c r="T211" s="61"/>
    </row>
    <row r="212" spans="1:20" ht="12.75" customHeight="1" x14ac:dyDescent="0.2">
      <c r="A212" s="71"/>
      <c r="B212" s="30" t="s">
        <v>3</v>
      </c>
      <c r="C212" s="31">
        <f t="shared" si="74"/>
        <v>0</v>
      </c>
      <c r="D212" s="32"/>
      <c r="E212" s="32"/>
      <c r="F212" s="32"/>
      <c r="G212" s="32"/>
      <c r="H212" s="32"/>
      <c r="I212" s="62"/>
      <c r="J212" s="62"/>
      <c r="K212" s="62"/>
      <c r="L212" s="62"/>
      <c r="M212" s="62"/>
      <c r="N212" s="62"/>
      <c r="O212" s="62"/>
      <c r="P212" s="65"/>
      <c r="Q212" s="62"/>
      <c r="R212" s="62"/>
      <c r="S212" s="62"/>
      <c r="T212" s="62"/>
    </row>
    <row r="213" spans="1:20" ht="12.75" customHeight="1" x14ac:dyDescent="0.2">
      <c r="A213" s="69" t="s">
        <v>500</v>
      </c>
      <c r="B213" s="54" t="s">
        <v>700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5"/>
    </row>
    <row r="214" spans="1:20" ht="12.75" customHeight="1" x14ac:dyDescent="0.2">
      <c r="A214" s="70" t="s">
        <v>102</v>
      </c>
      <c r="B214" s="58" t="s">
        <v>135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ht="50.1" customHeight="1" x14ac:dyDescent="0.2">
      <c r="A215" s="70"/>
      <c r="B215" s="59" t="s">
        <v>490</v>
      </c>
      <c r="C215" s="54"/>
      <c r="D215" s="54"/>
      <c r="E215" s="54"/>
      <c r="F215" s="54"/>
      <c r="G215" s="54"/>
      <c r="H215" s="55"/>
      <c r="I215" s="60" t="s">
        <v>13</v>
      </c>
      <c r="J215" s="60"/>
      <c r="K215" s="60" t="s">
        <v>40</v>
      </c>
      <c r="L215" s="60" t="s">
        <v>109</v>
      </c>
      <c r="M215" s="60" t="s">
        <v>105</v>
      </c>
      <c r="N215" s="60" t="s">
        <v>378</v>
      </c>
      <c r="O215" s="60" t="s">
        <v>105</v>
      </c>
      <c r="P215" s="63" t="s">
        <v>541</v>
      </c>
      <c r="Q215" s="60" t="s">
        <v>30</v>
      </c>
      <c r="R215" s="60" t="s">
        <v>65</v>
      </c>
      <c r="S215" s="60" t="s">
        <v>32</v>
      </c>
      <c r="T215" s="60" t="s">
        <v>542</v>
      </c>
    </row>
    <row r="216" spans="1:20" ht="12.75" customHeight="1" x14ac:dyDescent="0.2">
      <c r="A216" s="70"/>
      <c r="B216" s="30" t="s">
        <v>5</v>
      </c>
      <c r="C216" s="31">
        <f>SUM(D216:H216)</f>
        <v>218220.71606999999</v>
      </c>
      <c r="D216" s="32">
        <f>SUM(D217:D220)</f>
        <v>218220.71606999999</v>
      </c>
      <c r="E216" s="32">
        <f t="shared" ref="E216:H216" si="75">SUM(E217:E220)</f>
        <v>0</v>
      </c>
      <c r="F216" s="32">
        <f t="shared" si="75"/>
        <v>0</v>
      </c>
      <c r="G216" s="32">
        <f t="shared" si="75"/>
        <v>0</v>
      </c>
      <c r="H216" s="32">
        <f t="shared" si="75"/>
        <v>0</v>
      </c>
      <c r="I216" s="61"/>
      <c r="J216" s="61"/>
      <c r="K216" s="61"/>
      <c r="L216" s="61"/>
      <c r="M216" s="61"/>
      <c r="N216" s="61"/>
      <c r="O216" s="61"/>
      <c r="P216" s="64"/>
      <c r="Q216" s="61"/>
      <c r="R216" s="61"/>
      <c r="S216" s="61"/>
      <c r="T216" s="61"/>
    </row>
    <row r="217" spans="1:20" ht="12.75" customHeight="1" x14ac:dyDescent="0.2">
      <c r="A217" s="70"/>
      <c r="B217" s="30" t="s">
        <v>0</v>
      </c>
      <c r="C217" s="31">
        <f t="shared" ref="C217:C220" si="76">SUM(D217:H217)</f>
        <v>88772.56</v>
      </c>
      <c r="D217" s="32">
        <f>0+88772.56</f>
        <v>88772.56</v>
      </c>
      <c r="E217" s="32"/>
      <c r="F217" s="32"/>
      <c r="G217" s="32"/>
      <c r="H217" s="32"/>
      <c r="I217" s="61"/>
      <c r="J217" s="61"/>
      <c r="K217" s="61"/>
      <c r="L217" s="61"/>
      <c r="M217" s="61"/>
      <c r="N217" s="61"/>
      <c r="O217" s="61"/>
      <c r="P217" s="64"/>
      <c r="Q217" s="61"/>
      <c r="R217" s="61"/>
      <c r="S217" s="61"/>
      <c r="T217" s="61"/>
    </row>
    <row r="218" spans="1:20" ht="12.75" customHeight="1" x14ac:dyDescent="0.2">
      <c r="A218" s="70"/>
      <c r="B218" s="30" t="s">
        <v>1</v>
      </c>
      <c r="C218" s="31">
        <f t="shared" si="76"/>
        <v>129448.15607</v>
      </c>
      <c r="D218" s="32">
        <f>0+135698.3+887.7256-7137.86953</f>
        <v>129448.15607</v>
      </c>
      <c r="E218" s="32"/>
      <c r="F218" s="32"/>
      <c r="G218" s="32"/>
      <c r="H218" s="32"/>
      <c r="I218" s="61"/>
      <c r="J218" s="61"/>
      <c r="K218" s="61"/>
      <c r="L218" s="61"/>
      <c r="M218" s="61"/>
      <c r="N218" s="61"/>
      <c r="O218" s="61"/>
      <c r="P218" s="64"/>
      <c r="Q218" s="61"/>
      <c r="R218" s="61"/>
      <c r="S218" s="61"/>
      <c r="T218" s="61"/>
    </row>
    <row r="219" spans="1:20" ht="12.75" customHeight="1" x14ac:dyDescent="0.2">
      <c r="A219" s="70"/>
      <c r="B219" s="30" t="s">
        <v>2</v>
      </c>
      <c r="C219" s="31">
        <f t="shared" si="76"/>
        <v>0</v>
      </c>
      <c r="D219" s="32"/>
      <c r="E219" s="32"/>
      <c r="F219" s="32"/>
      <c r="G219" s="32"/>
      <c r="H219" s="32"/>
      <c r="I219" s="61"/>
      <c r="J219" s="61"/>
      <c r="K219" s="61"/>
      <c r="L219" s="61"/>
      <c r="M219" s="61"/>
      <c r="N219" s="61"/>
      <c r="O219" s="61"/>
      <c r="P219" s="64"/>
      <c r="Q219" s="61"/>
      <c r="R219" s="61"/>
      <c r="S219" s="61"/>
      <c r="T219" s="61"/>
    </row>
    <row r="220" spans="1:20" ht="12.75" customHeight="1" x14ac:dyDescent="0.2">
      <c r="A220" s="71"/>
      <c r="B220" s="30" t="s">
        <v>3</v>
      </c>
      <c r="C220" s="31">
        <f t="shared" si="76"/>
        <v>0</v>
      </c>
      <c r="D220" s="32"/>
      <c r="E220" s="32"/>
      <c r="F220" s="32"/>
      <c r="G220" s="32"/>
      <c r="H220" s="32"/>
      <c r="I220" s="62"/>
      <c r="J220" s="62"/>
      <c r="K220" s="62"/>
      <c r="L220" s="62"/>
      <c r="M220" s="62"/>
      <c r="N220" s="62"/>
      <c r="O220" s="62"/>
      <c r="P220" s="65"/>
      <c r="Q220" s="62"/>
      <c r="R220" s="62"/>
      <c r="S220" s="62"/>
      <c r="T220" s="62"/>
    </row>
    <row r="221" spans="1:20" ht="12.75" customHeight="1" x14ac:dyDescent="0.2">
      <c r="A221" s="69" t="s">
        <v>548</v>
      </c>
      <c r="B221" s="54" t="s">
        <v>700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5"/>
    </row>
    <row r="222" spans="1:20" ht="12.75" customHeight="1" x14ac:dyDescent="0.2">
      <c r="A222" s="70" t="s">
        <v>102</v>
      </c>
      <c r="B222" s="79" t="s">
        <v>135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</row>
    <row r="223" spans="1:20" ht="50.1" customHeight="1" x14ac:dyDescent="0.2">
      <c r="A223" s="70"/>
      <c r="B223" s="84" t="s">
        <v>501</v>
      </c>
      <c r="C223" s="85"/>
      <c r="D223" s="85"/>
      <c r="E223" s="85"/>
      <c r="F223" s="85"/>
      <c r="G223" s="85"/>
      <c r="H223" s="86"/>
      <c r="I223" s="66" t="s">
        <v>502</v>
      </c>
      <c r="J223" s="66"/>
      <c r="K223" s="66" t="s">
        <v>40</v>
      </c>
      <c r="L223" s="66" t="s">
        <v>503</v>
      </c>
      <c r="M223" s="66" t="s">
        <v>105</v>
      </c>
      <c r="N223" s="66" t="s">
        <v>378</v>
      </c>
      <c r="O223" s="66" t="s">
        <v>105</v>
      </c>
      <c r="P223" s="103" t="s">
        <v>504</v>
      </c>
      <c r="Q223" s="66" t="s">
        <v>30</v>
      </c>
      <c r="R223" s="66" t="s">
        <v>48</v>
      </c>
      <c r="S223" s="66"/>
      <c r="T223" s="66" t="s">
        <v>505</v>
      </c>
    </row>
    <row r="224" spans="1:20" ht="12.75" customHeight="1" x14ac:dyDescent="0.2">
      <c r="A224" s="70"/>
      <c r="B224" s="14" t="s">
        <v>5</v>
      </c>
      <c r="C224" s="15">
        <f>SUM(D224:H224)</f>
        <v>10543.513499999999</v>
      </c>
      <c r="D224" s="16">
        <f>SUM(D225:D228)</f>
        <v>10543.513499999999</v>
      </c>
      <c r="E224" s="16">
        <f t="shared" ref="E224:H224" si="77">SUM(E225:E228)</f>
        <v>0</v>
      </c>
      <c r="F224" s="16">
        <f t="shared" si="77"/>
        <v>0</v>
      </c>
      <c r="G224" s="16">
        <f t="shared" si="77"/>
        <v>0</v>
      </c>
      <c r="H224" s="16">
        <f t="shared" si="77"/>
        <v>0</v>
      </c>
      <c r="I224" s="67"/>
      <c r="J224" s="67"/>
      <c r="K224" s="67"/>
      <c r="L224" s="67"/>
      <c r="M224" s="67"/>
      <c r="N224" s="67"/>
      <c r="O224" s="67"/>
      <c r="P224" s="104"/>
      <c r="Q224" s="67"/>
      <c r="R224" s="67"/>
      <c r="S224" s="67"/>
      <c r="T224" s="67"/>
    </row>
    <row r="225" spans="1:20" ht="12.75" customHeight="1" x14ac:dyDescent="0.2">
      <c r="A225" s="70"/>
      <c r="B225" s="14" t="s">
        <v>0</v>
      </c>
      <c r="C225" s="15">
        <f t="shared" ref="C225:C228" si="78">SUM(D225:H225)</f>
        <v>0</v>
      </c>
      <c r="D225" s="16"/>
      <c r="E225" s="16"/>
      <c r="F225" s="16"/>
      <c r="G225" s="16"/>
      <c r="H225" s="16"/>
      <c r="I225" s="67"/>
      <c r="J225" s="67"/>
      <c r="K225" s="67"/>
      <c r="L225" s="67"/>
      <c r="M225" s="67"/>
      <c r="N225" s="67"/>
      <c r="O225" s="67"/>
      <c r="P225" s="104"/>
      <c r="Q225" s="67"/>
      <c r="R225" s="67"/>
      <c r="S225" s="67"/>
      <c r="T225" s="67"/>
    </row>
    <row r="226" spans="1:20" ht="12.75" customHeight="1" x14ac:dyDescent="0.2">
      <c r="A226" s="70"/>
      <c r="B226" s="14" t="s">
        <v>1</v>
      </c>
      <c r="C226" s="15">
        <f t="shared" si="78"/>
        <v>10543.513499999999</v>
      </c>
      <c r="D226" s="16">
        <f>0+10543.5135</f>
        <v>10543.513499999999</v>
      </c>
      <c r="E226" s="16"/>
      <c r="F226" s="16"/>
      <c r="G226" s="16"/>
      <c r="H226" s="16"/>
      <c r="I226" s="67"/>
      <c r="J226" s="67"/>
      <c r="K226" s="67"/>
      <c r="L226" s="67"/>
      <c r="M226" s="67"/>
      <c r="N226" s="67"/>
      <c r="O226" s="67"/>
      <c r="P226" s="104"/>
      <c r="Q226" s="67"/>
      <c r="R226" s="67"/>
      <c r="S226" s="67"/>
      <c r="T226" s="67"/>
    </row>
    <row r="227" spans="1:20" ht="12.75" customHeight="1" x14ac:dyDescent="0.2">
      <c r="A227" s="70"/>
      <c r="B227" s="14" t="s">
        <v>2</v>
      </c>
      <c r="C227" s="15">
        <f t="shared" si="78"/>
        <v>0</v>
      </c>
      <c r="D227" s="16"/>
      <c r="E227" s="16"/>
      <c r="F227" s="16"/>
      <c r="G227" s="16"/>
      <c r="H227" s="16"/>
      <c r="I227" s="67"/>
      <c r="J227" s="67"/>
      <c r="K227" s="67"/>
      <c r="L227" s="67"/>
      <c r="M227" s="67"/>
      <c r="N227" s="67"/>
      <c r="O227" s="67"/>
      <c r="P227" s="104"/>
      <c r="Q227" s="67"/>
      <c r="R227" s="67"/>
      <c r="S227" s="67"/>
      <c r="T227" s="67"/>
    </row>
    <row r="228" spans="1:20" ht="12.75" customHeight="1" x14ac:dyDescent="0.2">
      <c r="A228" s="71"/>
      <c r="B228" s="14" t="s">
        <v>3</v>
      </c>
      <c r="C228" s="15">
        <f t="shared" si="78"/>
        <v>0</v>
      </c>
      <c r="D228" s="16"/>
      <c r="E228" s="16"/>
      <c r="F228" s="16"/>
      <c r="G228" s="16"/>
      <c r="H228" s="16"/>
      <c r="I228" s="68"/>
      <c r="J228" s="68"/>
      <c r="K228" s="68"/>
      <c r="L228" s="68"/>
      <c r="M228" s="68"/>
      <c r="N228" s="68"/>
      <c r="O228" s="68"/>
      <c r="P228" s="105"/>
      <c r="Q228" s="68"/>
      <c r="R228" s="68"/>
      <c r="S228" s="68"/>
      <c r="T228" s="68"/>
    </row>
    <row r="229" spans="1:20" ht="15" customHeight="1" x14ac:dyDescent="0.2">
      <c r="A229" s="88" t="s">
        <v>112</v>
      </c>
      <c r="B229" s="79" t="s">
        <v>146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</row>
    <row r="230" spans="1:20" x14ac:dyDescent="0.2">
      <c r="A230" s="89"/>
      <c r="B230" s="33" t="s">
        <v>5</v>
      </c>
      <c r="C230" s="34">
        <f>SUM(D230:H230)</f>
        <v>851492.75267000007</v>
      </c>
      <c r="D230" s="34">
        <f t="shared" ref="D230" si="79">SUM(D231:D234)</f>
        <v>245684.83567</v>
      </c>
      <c r="E230" s="34">
        <f t="shared" ref="E230:F230" si="80">SUM(E231:E234)</f>
        <v>386766.67800000001</v>
      </c>
      <c r="F230" s="34">
        <f t="shared" si="80"/>
        <v>219041.239</v>
      </c>
      <c r="G230" s="34">
        <f t="shared" ref="G230:H230" si="81">SUM(G231:G234)</f>
        <v>0</v>
      </c>
      <c r="H230" s="34">
        <f t="shared" si="81"/>
        <v>0</v>
      </c>
      <c r="I230" s="150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2"/>
    </row>
    <row r="231" spans="1:20" ht="12.75" customHeight="1" x14ac:dyDescent="0.2">
      <c r="A231" s="89"/>
      <c r="B231" s="33" t="s">
        <v>0</v>
      </c>
      <c r="C231" s="34">
        <f t="shared" ref="C231:C234" si="82">SUM(D231:H231)</f>
        <v>78508.83567</v>
      </c>
      <c r="D231" s="34">
        <f>D239+D247</f>
        <v>78508.83567</v>
      </c>
      <c r="E231" s="34">
        <f t="shared" ref="E231:H231" si="83">E239+E247</f>
        <v>0</v>
      </c>
      <c r="F231" s="34">
        <f t="shared" si="83"/>
        <v>0</v>
      </c>
      <c r="G231" s="34">
        <f t="shared" si="83"/>
        <v>0</v>
      </c>
      <c r="H231" s="34">
        <f t="shared" si="83"/>
        <v>0</v>
      </c>
      <c r="I231" s="153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5"/>
    </row>
    <row r="232" spans="1:20" ht="12.75" customHeight="1" x14ac:dyDescent="0.2">
      <c r="A232" s="89"/>
      <c r="B232" s="33" t="s">
        <v>1</v>
      </c>
      <c r="C232" s="34">
        <f t="shared" si="82"/>
        <v>772983.91700000013</v>
      </c>
      <c r="D232" s="34">
        <f t="shared" ref="D232:H232" si="84">D240+D248</f>
        <v>167176</v>
      </c>
      <c r="E232" s="34">
        <f t="shared" si="84"/>
        <v>386766.67800000001</v>
      </c>
      <c r="F232" s="34">
        <f t="shared" si="84"/>
        <v>219041.239</v>
      </c>
      <c r="G232" s="34">
        <f t="shared" si="84"/>
        <v>0</v>
      </c>
      <c r="H232" s="34">
        <f t="shared" si="84"/>
        <v>0</v>
      </c>
      <c r="I232" s="153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5"/>
    </row>
    <row r="233" spans="1:20" ht="12.75" customHeight="1" x14ac:dyDescent="0.2">
      <c r="A233" s="89"/>
      <c r="B233" s="33" t="s">
        <v>2</v>
      </c>
      <c r="C233" s="34">
        <f t="shared" si="82"/>
        <v>0</v>
      </c>
      <c r="D233" s="34">
        <f t="shared" ref="D233:H233" si="85">D241+D249</f>
        <v>0</v>
      </c>
      <c r="E233" s="34">
        <f t="shared" si="85"/>
        <v>0</v>
      </c>
      <c r="F233" s="34">
        <f t="shared" si="85"/>
        <v>0</v>
      </c>
      <c r="G233" s="34">
        <f t="shared" si="85"/>
        <v>0</v>
      </c>
      <c r="H233" s="34">
        <f t="shared" si="85"/>
        <v>0</v>
      </c>
      <c r="I233" s="153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5"/>
    </row>
    <row r="234" spans="1:20" ht="12.75" customHeight="1" x14ac:dyDescent="0.2">
      <c r="A234" s="90"/>
      <c r="B234" s="33" t="s">
        <v>3</v>
      </c>
      <c r="C234" s="34">
        <f t="shared" si="82"/>
        <v>0</v>
      </c>
      <c r="D234" s="34">
        <f t="shared" ref="D234:H234" si="86">D242+D250</f>
        <v>0</v>
      </c>
      <c r="E234" s="34">
        <f t="shared" si="86"/>
        <v>0</v>
      </c>
      <c r="F234" s="34">
        <f t="shared" si="86"/>
        <v>0</v>
      </c>
      <c r="G234" s="34">
        <f t="shared" si="86"/>
        <v>0</v>
      </c>
      <c r="H234" s="34">
        <f t="shared" si="86"/>
        <v>0</v>
      </c>
      <c r="I234" s="156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8"/>
    </row>
    <row r="235" spans="1:20" x14ac:dyDescent="0.2">
      <c r="A235" s="69" t="s">
        <v>299</v>
      </c>
      <c r="B235" s="54" t="s">
        <v>700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5"/>
    </row>
    <row r="236" spans="1:20" x14ac:dyDescent="0.2">
      <c r="A236" s="70" t="s">
        <v>102</v>
      </c>
      <c r="B236" s="58" t="s">
        <v>147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</row>
    <row r="237" spans="1:20" ht="50.1" customHeight="1" x14ac:dyDescent="0.2">
      <c r="A237" s="70"/>
      <c r="B237" s="72" t="s">
        <v>148</v>
      </c>
      <c r="C237" s="73"/>
      <c r="D237" s="73"/>
      <c r="E237" s="73"/>
      <c r="F237" s="73"/>
      <c r="G237" s="73"/>
      <c r="H237" s="74"/>
      <c r="I237" s="60" t="s">
        <v>149</v>
      </c>
      <c r="J237" s="60"/>
      <c r="K237" s="60" t="s">
        <v>40</v>
      </c>
      <c r="L237" s="60" t="s">
        <v>121</v>
      </c>
      <c r="M237" s="60" t="s">
        <v>105</v>
      </c>
      <c r="N237" s="60" t="s">
        <v>122</v>
      </c>
      <c r="O237" s="60" t="s">
        <v>105</v>
      </c>
      <c r="P237" s="63" t="s">
        <v>200</v>
      </c>
      <c r="Q237" s="60" t="s">
        <v>30</v>
      </c>
      <c r="R237" s="60" t="s">
        <v>8</v>
      </c>
      <c r="S237" s="60" t="s">
        <v>32</v>
      </c>
      <c r="T237" s="87" t="s">
        <v>425</v>
      </c>
    </row>
    <row r="238" spans="1:20" ht="12.75" customHeight="1" x14ac:dyDescent="0.2">
      <c r="A238" s="70"/>
      <c r="B238" s="43" t="s">
        <v>5</v>
      </c>
      <c r="C238" s="31">
        <f>SUM(D238:H238)</f>
        <v>734958.1947300001</v>
      </c>
      <c r="D238" s="32">
        <f t="shared" ref="D238" si="87">SUM(D239:D242)</f>
        <v>146047.27773</v>
      </c>
      <c r="E238" s="32">
        <f t="shared" ref="E238:H238" si="88">SUM(E239:E242)</f>
        <v>369869.67800000001</v>
      </c>
      <c r="F238" s="32">
        <f t="shared" si="88"/>
        <v>219041.239</v>
      </c>
      <c r="G238" s="32">
        <f t="shared" si="88"/>
        <v>0</v>
      </c>
      <c r="H238" s="32">
        <f t="shared" si="88"/>
        <v>0</v>
      </c>
      <c r="I238" s="61"/>
      <c r="J238" s="61"/>
      <c r="K238" s="61"/>
      <c r="L238" s="61"/>
      <c r="M238" s="61"/>
      <c r="N238" s="61"/>
      <c r="O238" s="61"/>
      <c r="P238" s="64"/>
      <c r="Q238" s="61"/>
      <c r="R238" s="61"/>
      <c r="S238" s="61"/>
      <c r="T238" s="87"/>
    </row>
    <row r="239" spans="1:20" ht="12.75" customHeight="1" x14ac:dyDescent="0.2">
      <c r="A239" s="70"/>
      <c r="B239" s="43" t="s">
        <v>0</v>
      </c>
      <c r="C239" s="31">
        <f t="shared" ref="C239:C242" si="89">SUM(D239:H239)</f>
        <v>0</v>
      </c>
      <c r="D239" s="32"/>
      <c r="E239" s="32"/>
      <c r="F239" s="32"/>
      <c r="G239" s="32"/>
      <c r="H239" s="32"/>
      <c r="I239" s="61"/>
      <c r="J239" s="61"/>
      <c r="K239" s="61"/>
      <c r="L239" s="61"/>
      <c r="M239" s="61"/>
      <c r="N239" s="61"/>
      <c r="O239" s="61"/>
      <c r="P239" s="64"/>
      <c r="Q239" s="61"/>
      <c r="R239" s="61"/>
      <c r="S239" s="61"/>
      <c r="T239" s="87"/>
    </row>
    <row r="240" spans="1:20" ht="12.75" customHeight="1" x14ac:dyDescent="0.2">
      <c r="A240" s="70"/>
      <c r="B240" s="43" t="s">
        <v>1</v>
      </c>
      <c r="C240" s="31">
        <f t="shared" si="89"/>
        <v>734958.1947300001</v>
      </c>
      <c r="D240" s="32">
        <f>216132-14284.72227-55800</f>
        <v>146047.27773</v>
      </c>
      <c r="E240" s="32">
        <f>500000-53233.322-60000-16897</f>
        <v>369869.67800000001</v>
      </c>
      <c r="F240" s="32">
        <v>219041.239</v>
      </c>
      <c r="G240" s="32"/>
      <c r="H240" s="32"/>
      <c r="I240" s="61"/>
      <c r="J240" s="61"/>
      <c r="K240" s="61"/>
      <c r="L240" s="61"/>
      <c r="M240" s="61"/>
      <c r="N240" s="61"/>
      <c r="O240" s="61"/>
      <c r="P240" s="64"/>
      <c r="Q240" s="61"/>
      <c r="R240" s="61"/>
      <c r="S240" s="61"/>
      <c r="T240" s="87"/>
    </row>
    <row r="241" spans="1:20" ht="12.75" customHeight="1" x14ac:dyDescent="0.2">
      <c r="A241" s="70"/>
      <c r="B241" s="43" t="s">
        <v>2</v>
      </c>
      <c r="C241" s="31">
        <f t="shared" si="89"/>
        <v>0</v>
      </c>
      <c r="D241" s="32"/>
      <c r="E241" s="32"/>
      <c r="F241" s="32"/>
      <c r="G241" s="32"/>
      <c r="H241" s="32"/>
      <c r="I241" s="61"/>
      <c r="J241" s="61"/>
      <c r="K241" s="61"/>
      <c r="L241" s="61"/>
      <c r="M241" s="61"/>
      <c r="N241" s="61"/>
      <c r="O241" s="61"/>
      <c r="P241" s="64"/>
      <c r="Q241" s="61"/>
      <c r="R241" s="61"/>
      <c r="S241" s="61"/>
      <c r="T241" s="87"/>
    </row>
    <row r="242" spans="1:20" ht="12.75" customHeight="1" x14ac:dyDescent="0.2">
      <c r="A242" s="71"/>
      <c r="B242" s="43" t="s">
        <v>3</v>
      </c>
      <c r="C242" s="31">
        <f t="shared" si="89"/>
        <v>0</v>
      </c>
      <c r="D242" s="32"/>
      <c r="E242" s="32"/>
      <c r="F242" s="32"/>
      <c r="G242" s="32"/>
      <c r="H242" s="32"/>
      <c r="I242" s="62"/>
      <c r="J242" s="62"/>
      <c r="K242" s="62"/>
      <c r="L242" s="62"/>
      <c r="M242" s="62"/>
      <c r="N242" s="62"/>
      <c r="O242" s="62"/>
      <c r="P242" s="65"/>
      <c r="Q242" s="62"/>
      <c r="R242" s="62"/>
      <c r="S242" s="62"/>
      <c r="T242" s="87"/>
    </row>
    <row r="243" spans="1:20" x14ac:dyDescent="0.2">
      <c r="A243" s="69" t="s">
        <v>300</v>
      </c>
      <c r="B243" s="54" t="s">
        <v>700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5"/>
    </row>
    <row r="244" spans="1:20" x14ac:dyDescent="0.2">
      <c r="A244" s="70" t="s">
        <v>102</v>
      </c>
      <c r="B244" s="58" t="s">
        <v>147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</row>
    <row r="245" spans="1:20" ht="50.1" customHeight="1" x14ac:dyDescent="0.2">
      <c r="A245" s="70"/>
      <c r="B245" s="72" t="s">
        <v>150</v>
      </c>
      <c r="C245" s="73"/>
      <c r="D245" s="73"/>
      <c r="E245" s="73"/>
      <c r="F245" s="73"/>
      <c r="G245" s="73"/>
      <c r="H245" s="74"/>
      <c r="I245" s="60" t="s">
        <v>22</v>
      </c>
      <c r="J245" s="60"/>
      <c r="K245" s="60" t="s">
        <v>40</v>
      </c>
      <c r="L245" s="60"/>
      <c r="M245" s="60" t="s">
        <v>105</v>
      </c>
      <c r="N245" s="60" t="s">
        <v>122</v>
      </c>
      <c r="O245" s="60" t="s">
        <v>105</v>
      </c>
      <c r="P245" s="63" t="s">
        <v>201</v>
      </c>
      <c r="Q245" s="60" t="s">
        <v>30</v>
      </c>
      <c r="R245" s="60" t="s">
        <v>151</v>
      </c>
      <c r="S245" s="60" t="s">
        <v>273</v>
      </c>
      <c r="T245" s="87" t="s">
        <v>426</v>
      </c>
    </row>
    <row r="246" spans="1:20" ht="12.75" customHeight="1" x14ac:dyDescent="0.2">
      <c r="A246" s="70"/>
      <c r="B246" s="43" t="s">
        <v>5</v>
      </c>
      <c r="C246" s="31">
        <f>SUM(D246:H246)</f>
        <v>116534.55794</v>
      </c>
      <c r="D246" s="32">
        <f t="shared" ref="D246" si="90">SUM(D247:D250)</f>
        <v>99637.557939999999</v>
      </c>
      <c r="E246" s="32">
        <f t="shared" ref="E246:H246" si="91">SUM(E247:E250)</f>
        <v>16897</v>
      </c>
      <c r="F246" s="32">
        <f t="shared" si="91"/>
        <v>0</v>
      </c>
      <c r="G246" s="32">
        <f t="shared" si="91"/>
        <v>0</v>
      </c>
      <c r="H246" s="32">
        <f t="shared" si="91"/>
        <v>0</v>
      </c>
      <c r="I246" s="61"/>
      <c r="J246" s="61"/>
      <c r="K246" s="61"/>
      <c r="L246" s="61"/>
      <c r="M246" s="61"/>
      <c r="N246" s="61"/>
      <c r="O246" s="61"/>
      <c r="P246" s="64"/>
      <c r="Q246" s="61"/>
      <c r="R246" s="61"/>
      <c r="S246" s="61"/>
      <c r="T246" s="87"/>
    </row>
    <row r="247" spans="1:20" ht="12.75" customHeight="1" x14ac:dyDescent="0.2">
      <c r="A247" s="70"/>
      <c r="B247" s="43" t="s">
        <v>0</v>
      </c>
      <c r="C247" s="31">
        <f t="shared" ref="C247:C250" si="92">SUM(D247:H247)</f>
        <v>78508.83567</v>
      </c>
      <c r="D247" s="32">
        <f>0+78508.83567</f>
        <v>78508.83567</v>
      </c>
      <c r="E247" s="32"/>
      <c r="F247" s="32"/>
      <c r="G247" s="32"/>
      <c r="H247" s="32"/>
      <c r="I247" s="61"/>
      <c r="J247" s="61"/>
      <c r="K247" s="61"/>
      <c r="L247" s="61"/>
      <c r="M247" s="61"/>
      <c r="N247" s="61"/>
      <c r="O247" s="61"/>
      <c r="P247" s="64"/>
      <c r="Q247" s="61"/>
      <c r="R247" s="61"/>
      <c r="S247" s="61"/>
      <c r="T247" s="87"/>
    </row>
    <row r="248" spans="1:20" ht="12.75" customHeight="1" x14ac:dyDescent="0.2">
      <c r="A248" s="70"/>
      <c r="B248" s="43" t="s">
        <v>1</v>
      </c>
      <c r="C248" s="31">
        <f t="shared" si="92"/>
        <v>38025.722269999998</v>
      </c>
      <c r="D248" s="32">
        <f>83541-59800+14284.72227-16897</f>
        <v>21128.722269999998</v>
      </c>
      <c r="E248" s="32">
        <f>0+16897</f>
        <v>16897</v>
      </c>
      <c r="F248" s="32"/>
      <c r="G248" s="32"/>
      <c r="H248" s="32"/>
      <c r="I248" s="61"/>
      <c r="J248" s="61"/>
      <c r="K248" s="61"/>
      <c r="L248" s="61"/>
      <c r="M248" s="61"/>
      <c r="N248" s="61"/>
      <c r="O248" s="61"/>
      <c r="P248" s="64"/>
      <c r="Q248" s="61"/>
      <c r="R248" s="61"/>
      <c r="S248" s="61"/>
      <c r="T248" s="87"/>
    </row>
    <row r="249" spans="1:20" ht="12.75" customHeight="1" x14ac:dyDescent="0.2">
      <c r="A249" s="70"/>
      <c r="B249" s="43" t="s">
        <v>2</v>
      </c>
      <c r="C249" s="31">
        <f t="shared" si="92"/>
        <v>0</v>
      </c>
      <c r="D249" s="32"/>
      <c r="E249" s="32"/>
      <c r="F249" s="32"/>
      <c r="G249" s="32"/>
      <c r="H249" s="32"/>
      <c r="I249" s="61"/>
      <c r="J249" s="61"/>
      <c r="K249" s="61"/>
      <c r="L249" s="61"/>
      <c r="M249" s="61"/>
      <c r="N249" s="61"/>
      <c r="O249" s="61"/>
      <c r="P249" s="64"/>
      <c r="Q249" s="61"/>
      <c r="R249" s="61"/>
      <c r="S249" s="61"/>
      <c r="T249" s="87"/>
    </row>
    <row r="250" spans="1:20" ht="12.75" customHeight="1" x14ac:dyDescent="0.2">
      <c r="A250" s="71"/>
      <c r="B250" s="43" t="s">
        <v>3</v>
      </c>
      <c r="C250" s="31">
        <f t="shared" si="92"/>
        <v>0</v>
      </c>
      <c r="D250" s="32"/>
      <c r="E250" s="32"/>
      <c r="F250" s="32"/>
      <c r="G250" s="32"/>
      <c r="H250" s="32"/>
      <c r="I250" s="62"/>
      <c r="J250" s="62"/>
      <c r="K250" s="62"/>
      <c r="L250" s="62"/>
      <c r="M250" s="62"/>
      <c r="N250" s="62"/>
      <c r="O250" s="62"/>
      <c r="P250" s="65"/>
      <c r="Q250" s="62"/>
      <c r="R250" s="62"/>
      <c r="S250" s="62"/>
      <c r="T250" s="87"/>
    </row>
    <row r="251" spans="1:20" x14ac:dyDescent="0.2">
      <c r="A251" s="88" t="s">
        <v>113</v>
      </c>
      <c r="B251" s="58" t="s">
        <v>153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:20" x14ac:dyDescent="0.2">
      <c r="A252" s="89"/>
      <c r="B252" s="33" t="s">
        <v>5</v>
      </c>
      <c r="C252" s="34">
        <f>SUM(D252:H252)</f>
        <v>1553406.0746800001</v>
      </c>
      <c r="D252" s="34">
        <f t="shared" ref="D252" si="93">SUM(D253:D256)</f>
        <v>738222.39790999994</v>
      </c>
      <c r="E252" s="34">
        <f t="shared" ref="E252" si="94">SUM(E253:E256)</f>
        <v>204626</v>
      </c>
      <c r="F252" s="34">
        <f>SUM(F253:F256)</f>
        <v>610557.67677000002</v>
      </c>
      <c r="G252" s="34">
        <f t="shared" ref="G252:H252" si="95">SUM(G253:G256)</f>
        <v>0</v>
      </c>
      <c r="H252" s="34">
        <f t="shared" si="95"/>
        <v>0</v>
      </c>
      <c r="I252" s="150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2"/>
    </row>
    <row r="253" spans="1:20" ht="12.75" customHeight="1" x14ac:dyDescent="0.2">
      <c r="A253" s="89"/>
      <c r="B253" s="33" t="s">
        <v>0</v>
      </c>
      <c r="C253" s="34">
        <f t="shared" ref="C253:C256" si="96">SUM(D253:H253)</f>
        <v>1429607.1734699998</v>
      </c>
      <c r="D253" s="34">
        <f>D261+D269+D277+D285+D293+D301+D309</f>
        <v>631233.07346999994</v>
      </c>
      <c r="E253" s="34">
        <f t="shared" ref="E253:H253" si="97">E261+E269+E277+E285+E293+E301+E309</f>
        <v>193922</v>
      </c>
      <c r="F253" s="34">
        <f t="shared" si="97"/>
        <v>604452.1</v>
      </c>
      <c r="G253" s="34">
        <f t="shared" si="97"/>
        <v>0</v>
      </c>
      <c r="H253" s="34">
        <f t="shared" si="97"/>
        <v>0</v>
      </c>
      <c r="I253" s="153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5"/>
    </row>
    <row r="254" spans="1:20" ht="12.75" customHeight="1" x14ac:dyDescent="0.2">
      <c r="A254" s="89"/>
      <c r="B254" s="33" t="s">
        <v>1</v>
      </c>
      <c r="C254" s="34">
        <f t="shared" si="96"/>
        <v>123798.90121000001</v>
      </c>
      <c r="D254" s="34">
        <f>D262+D270+D278+D286+D294+D302+D310</f>
        <v>106989.32444000001</v>
      </c>
      <c r="E254" s="34">
        <f t="shared" ref="E254:H254" si="98">E262+E270+E278+E286+E294+E302+E310</f>
        <v>10704</v>
      </c>
      <c r="F254" s="34">
        <f t="shared" si="98"/>
        <v>6105.5767699999997</v>
      </c>
      <c r="G254" s="34">
        <f t="shared" si="98"/>
        <v>0</v>
      </c>
      <c r="H254" s="34">
        <f t="shared" si="98"/>
        <v>0</v>
      </c>
      <c r="I254" s="153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5"/>
    </row>
    <row r="255" spans="1:20" ht="12.75" customHeight="1" x14ac:dyDescent="0.2">
      <c r="A255" s="89"/>
      <c r="B255" s="33" t="s">
        <v>2</v>
      </c>
      <c r="C255" s="34">
        <f t="shared" si="96"/>
        <v>0</v>
      </c>
      <c r="D255" s="34">
        <f t="shared" ref="D255:H255" si="99">D263+D271+D279+D287+D295+D303+D311</f>
        <v>0</v>
      </c>
      <c r="E255" s="34">
        <f t="shared" si="99"/>
        <v>0</v>
      </c>
      <c r="F255" s="34">
        <f t="shared" si="99"/>
        <v>0</v>
      </c>
      <c r="G255" s="34">
        <f t="shared" si="99"/>
        <v>0</v>
      </c>
      <c r="H255" s="34">
        <f t="shared" si="99"/>
        <v>0</v>
      </c>
      <c r="I255" s="153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5"/>
    </row>
    <row r="256" spans="1:20" ht="12.75" customHeight="1" x14ac:dyDescent="0.2">
      <c r="A256" s="90"/>
      <c r="B256" s="33" t="s">
        <v>3</v>
      </c>
      <c r="C256" s="34">
        <f t="shared" si="96"/>
        <v>0</v>
      </c>
      <c r="D256" s="34">
        <f t="shared" ref="D256:H256" si="100">D264+D272+D280+D288+D296+D304+D312</f>
        <v>0</v>
      </c>
      <c r="E256" s="34">
        <f t="shared" si="100"/>
        <v>0</v>
      </c>
      <c r="F256" s="34">
        <f t="shared" si="100"/>
        <v>0</v>
      </c>
      <c r="G256" s="34">
        <f t="shared" si="100"/>
        <v>0</v>
      </c>
      <c r="H256" s="34">
        <f t="shared" si="100"/>
        <v>0</v>
      </c>
      <c r="I256" s="156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8"/>
    </row>
    <row r="257" spans="1:20" x14ac:dyDescent="0.2">
      <c r="A257" s="69" t="s">
        <v>301</v>
      </c>
      <c r="B257" s="54" t="s">
        <v>700</v>
      </c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5"/>
    </row>
    <row r="258" spans="1:20" x14ac:dyDescent="0.2">
      <c r="A258" s="70" t="s">
        <v>102</v>
      </c>
      <c r="B258" s="58" t="s">
        <v>154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:20" ht="50.1" customHeight="1" x14ac:dyDescent="0.2">
      <c r="A259" s="70"/>
      <c r="B259" s="72" t="s">
        <v>155</v>
      </c>
      <c r="C259" s="73"/>
      <c r="D259" s="73"/>
      <c r="E259" s="73"/>
      <c r="F259" s="73"/>
      <c r="G259" s="73"/>
      <c r="H259" s="74"/>
      <c r="I259" s="60" t="s">
        <v>156</v>
      </c>
      <c r="J259" s="60"/>
      <c r="K259" s="60" t="s">
        <v>40</v>
      </c>
      <c r="L259" s="60" t="s">
        <v>202</v>
      </c>
      <c r="M259" s="60" t="s">
        <v>105</v>
      </c>
      <c r="N259" s="60" t="s">
        <v>157</v>
      </c>
      <c r="O259" s="60" t="s">
        <v>105</v>
      </c>
      <c r="P259" s="63" t="s">
        <v>158</v>
      </c>
      <c r="Q259" s="60" t="s">
        <v>30</v>
      </c>
      <c r="R259" s="60" t="s">
        <v>8</v>
      </c>
      <c r="S259" s="60" t="s">
        <v>32</v>
      </c>
      <c r="T259" s="87" t="s">
        <v>427</v>
      </c>
    </row>
    <row r="260" spans="1:20" ht="12.75" customHeight="1" x14ac:dyDescent="0.2">
      <c r="A260" s="70"/>
      <c r="B260" s="30" t="s">
        <v>5</v>
      </c>
      <c r="C260" s="31">
        <f>SUM(D260:H260)</f>
        <v>138307.959</v>
      </c>
      <c r="D260" s="32">
        <f t="shared" ref="D260" si="101">SUM(D261:D264)</f>
        <v>138307.959</v>
      </c>
      <c r="E260" s="32">
        <f t="shared" ref="E260:G260" si="102">SUM(E261:E264)</f>
        <v>0</v>
      </c>
      <c r="F260" s="32">
        <f t="shared" si="102"/>
        <v>0</v>
      </c>
      <c r="G260" s="32">
        <f t="shared" si="102"/>
        <v>0</v>
      </c>
      <c r="H260" s="32">
        <f t="shared" ref="H260" si="103">SUM(H261:H264)</f>
        <v>0</v>
      </c>
      <c r="I260" s="61"/>
      <c r="J260" s="61"/>
      <c r="K260" s="61"/>
      <c r="L260" s="61"/>
      <c r="M260" s="61"/>
      <c r="N260" s="61"/>
      <c r="O260" s="61"/>
      <c r="P260" s="64"/>
      <c r="Q260" s="61"/>
      <c r="R260" s="61"/>
      <c r="S260" s="61"/>
      <c r="T260" s="87"/>
    </row>
    <row r="261" spans="1:20" ht="12.75" customHeight="1" x14ac:dyDescent="0.2">
      <c r="A261" s="70"/>
      <c r="B261" s="30" t="s">
        <v>0</v>
      </c>
      <c r="C261" s="31">
        <f t="shared" ref="C261:C264" si="104">SUM(D261:H261)</f>
        <v>100000</v>
      </c>
      <c r="D261" s="32">
        <f>0+100000</f>
        <v>100000</v>
      </c>
      <c r="E261" s="32"/>
      <c r="F261" s="32"/>
      <c r="G261" s="32"/>
      <c r="H261" s="32"/>
      <c r="I261" s="61"/>
      <c r="J261" s="61"/>
      <c r="K261" s="61"/>
      <c r="L261" s="61"/>
      <c r="M261" s="61"/>
      <c r="N261" s="61"/>
      <c r="O261" s="61"/>
      <c r="P261" s="64"/>
      <c r="Q261" s="61"/>
      <c r="R261" s="61"/>
      <c r="S261" s="61"/>
      <c r="T261" s="87"/>
    </row>
    <row r="262" spans="1:20" ht="12.75" customHeight="1" x14ac:dyDescent="0.2">
      <c r="A262" s="70"/>
      <c r="B262" s="30" t="s">
        <v>1</v>
      </c>
      <c r="C262" s="31">
        <f t="shared" si="104"/>
        <v>38307.959000000003</v>
      </c>
      <c r="D262" s="32">
        <f>133500+56000-100000-41054.041-10138</f>
        <v>38307.959000000003</v>
      </c>
      <c r="E262" s="32"/>
      <c r="F262" s="32"/>
      <c r="G262" s="32"/>
      <c r="H262" s="32"/>
      <c r="I262" s="61"/>
      <c r="J262" s="61"/>
      <c r="K262" s="61"/>
      <c r="L262" s="61"/>
      <c r="M262" s="61"/>
      <c r="N262" s="61"/>
      <c r="O262" s="61"/>
      <c r="P262" s="64"/>
      <c r="Q262" s="61"/>
      <c r="R262" s="61"/>
      <c r="S262" s="61"/>
      <c r="T262" s="87"/>
    </row>
    <row r="263" spans="1:20" ht="12.75" customHeight="1" x14ac:dyDescent="0.2">
      <c r="A263" s="70"/>
      <c r="B263" s="30" t="s">
        <v>2</v>
      </c>
      <c r="C263" s="31">
        <f t="shared" si="104"/>
        <v>0</v>
      </c>
      <c r="D263" s="32"/>
      <c r="E263" s="32"/>
      <c r="F263" s="32"/>
      <c r="G263" s="32"/>
      <c r="H263" s="32"/>
      <c r="I263" s="61"/>
      <c r="J263" s="61"/>
      <c r="K263" s="61"/>
      <c r="L263" s="61"/>
      <c r="M263" s="61"/>
      <c r="N263" s="61"/>
      <c r="O263" s="61"/>
      <c r="P263" s="64"/>
      <c r="Q263" s="61"/>
      <c r="R263" s="61"/>
      <c r="S263" s="61"/>
      <c r="T263" s="87"/>
    </row>
    <row r="264" spans="1:20" ht="12.75" customHeight="1" x14ac:dyDescent="0.2">
      <c r="A264" s="71"/>
      <c r="B264" s="30" t="s">
        <v>3</v>
      </c>
      <c r="C264" s="31">
        <f t="shared" si="104"/>
        <v>0</v>
      </c>
      <c r="D264" s="32"/>
      <c r="E264" s="32"/>
      <c r="F264" s="32"/>
      <c r="G264" s="32"/>
      <c r="H264" s="32"/>
      <c r="I264" s="62"/>
      <c r="J264" s="62"/>
      <c r="K264" s="62"/>
      <c r="L264" s="62"/>
      <c r="M264" s="62"/>
      <c r="N264" s="62"/>
      <c r="O264" s="62"/>
      <c r="P264" s="65"/>
      <c r="Q264" s="62"/>
      <c r="R264" s="62"/>
      <c r="S264" s="62"/>
      <c r="T264" s="87"/>
    </row>
    <row r="265" spans="1:20" x14ac:dyDescent="0.2">
      <c r="A265" s="69" t="s">
        <v>355</v>
      </c>
      <c r="B265" s="54" t="s">
        <v>700</v>
      </c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5"/>
    </row>
    <row r="266" spans="1:20" x14ac:dyDescent="0.2">
      <c r="A266" s="70" t="s">
        <v>102</v>
      </c>
      <c r="B266" s="58" t="s">
        <v>154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ht="50.1" customHeight="1" x14ac:dyDescent="0.2">
      <c r="A267" s="70"/>
      <c r="B267" s="72" t="s">
        <v>203</v>
      </c>
      <c r="C267" s="73"/>
      <c r="D267" s="73"/>
      <c r="E267" s="73"/>
      <c r="F267" s="73"/>
      <c r="G267" s="73"/>
      <c r="H267" s="74"/>
      <c r="I267" s="60" t="s">
        <v>21</v>
      </c>
      <c r="J267" s="60"/>
      <c r="K267" s="60" t="s">
        <v>40</v>
      </c>
      <c r="L267" s="60" t="s">
        <v>159</v>
      </c>
      <c r="M267" s="60" t="s">
        <v>105</v>
      </c>
      <c r="N267" s="60" t="s">
        <v>157</v>
      </c>
      <c r="O267" s="60" t="s">
        <v>105</v>
      </c>
      <c r="P267" s="63" t="s">
        <v>160</v>
      </c>
      <c r="Q267" s="60" t="s">
        <v>30</v>
      </c>
      <c r="R267" s="60" t="s">
        <v>8</v>
      </c>
      <c r="S267" s="60" t="s">
        <v>31</v>
      </c>
      <c r="T267" s="87" t="s">
        <v>428</v>
      </c>
    </row>
    <row r="268" spans="1:20" ht="12.75" customHeight="1" x14ac:dyDescent="0.2">
      <c r="A268" s="70"/>
      <c r="B268" s="30" t="s">
        <v>5</v>
      </c>
      <c r="C268" s="31">
        <f>SUM(D268:H268)</f>
        <v>559363.86953000003</v>
      </c>
      <c r="D268" s="32">
        <f t="shared" ref="D268" si="105">SUM(D269:D272)</f>
        <v>354737.86953000003</v>
      </c>
      <c r="E268" s="32">
        <f t="shared" ref="E268" si="106">SUM(E269:E272)</f>
        <v>204626</v>
      </c>
      <c r="F268" s="32">
        <f t="shared" ref="F268:G268" si="107">SUM(F269:F272)</f>
        <v>0</v>
      </c>
      <c r="G268" s="32">
        <f t="shared" si="107"/>
        <v>0</v>
      </c>
      <c r="H268" s="32">
        <f t="shared" ref="H268" si="108">SUM(H269:H272)</f>
        <v>0</v>
      </c>
      <c r="I268" s="61"/>
      <c r="J268" s="61"/>
      <c r="K268" s="61"/>
      <c r="L268" s="61"/>
      <c r="M268" s="61"/>
      <c r="N268" s="61"/>
      <c r="O268" s="61"/>
      <c r="P268" s="64"/>
      <c r="Q268" s="61"/>
      <c r="R268" s="61"/>
      <c r="S268" s="61"/>
      <c r="T268" s="87"/>
    </row>
    <row r="269" spans="1:20" ht="12.75" customHeight="1" x14ac:dyDescent="0.2">
      <c r="A269" s="70"/>
      <c r="B269" s="30" t="s">
        <v>0</v>
      </c>
      <c r="C269" s="31">
        <f t="shared" ref="C269:C272" si="109">SUM(D269:H269)</f>
        <v>526422</v>
      </c>
      <c r="D269" s="32">
        <v>332500</v>
      </c>
      <c r="E269" s="32">
        <f>0+193922</f>
        <v>193922</v>
      </c>
      <c r="F269" s="32"/>
      <c r="G269" s="32"/>
      <c r="H269" s="32"/>
      <c r="I269" s="61"/>
      <c r="J269" s="61"/>
      <c r="K269" s="61"/>
      <c r="L269" s="61"/>
      <c r="M269" s="61"/>
      <c r="N269" s="61"/>
      <c r="O269" s="61"/>
      <c r="P269" s="64"/>
      <c r="Q269" s="61"/>
      <c r="R269" s="61"/>
      <c r="S269" s="61"/>
      <c r="T269" s="87"/>
    </row>
    <row r="270" spans="1:20" ht="12.75" customHeight="1" x14ac:dyDescent="0.2">
      <c r="A270" s="70"/>
      <c r="B270" s="30" t="s">
        <v>1</v>
      </c>
      <c r="C270" s="31">
        <f t="shared" si="109"/>
        <v>32941.869529999996</v>
      </c>
      <c r="D270" s="32">
        <f>17500+1500+3237.86953</f>
        <v>22237.86953</v>
      </c>
      <c r="E270" s="32">
        <v>10704</v>
      </c>
      <c r="F270" s="32"/>
      <c r="G270" s="32"/>
      <c r="H270" s="32"/>
      <c r="I270" s="61"/>
      <c r="J270" s="61"/>
      <c r="K270" s="61"/>
      <c r="L270" s="61"/>
      <c r="M270" s="61"/>
      <c r="N270" s="61"/>
      <c r="O270" s="61"/>
      <c r="P270" s="64"/>
      <c r="Q270" s="61"/>
      <c r="R270" s="61"/>
      <c r="S270" s="61"/>
      <c r="T270" s="87"/>
    </row>
    <row r="271" spans="1:20" ht="12.75" customHeight="1" x14ac:dyDescent="0.2">
      <c r="A271" s="70"/>
      <c r="B271" s="30" t="s">
        <v>2</v>
      </c>
      <c r="C271" s="31">
        <f t="shared" si="109"/>
        <v>0</v>
      </c>
      <c r="D271" s="32"/>
      <c r="E271" s="32"/>
      <c r="F271" s="32"/>
      <c r="G271" s="32"/>
      <c r="H271" s="32"/>
      <c r="I271" s="61"/>
      <c r="J271" s="61"/>
      <c r="K271" s="61"/>
      <c r="L271" s="61"/>
      <c r="M271" s="61"/>
      <c r="N271" s="61"/>
      <c r="O271" s="61"/>
      <c r="P271" s="64"/>
      <c r="Q271" s="61"/>
      <c r="R271" s="61"/>
      <c r="S271" s="61"/>
      <c r="T271" s="87"/>
    </row>
    <row r="272" spans="1:20" ht="12.75" customHeight="1" x14ac:dyDescent="0.2">
      <c r="A272" s="71"/>
      <c r="B272" s="30" t="s">
        <v>3</v>
      </c>
      <c r="C272" s="31">
        <f t="shared" si="109"/>
        <v>0</v>
      </c>
      <c r="D272" s="32"/>
      <c r="E272" s="32"/>
      <c r="F272" s="32"/>
      <c r="G272" s="32"/>
      <c r="H272" s="32"/>
      <c r="I272" s="62"/>
      <c r="J272" s="62"/>
      <c r="K272" s="62"/>
      <c r="L272" s="62"/>
      <c r="M272" s="62"/>
      <c r="N272" s="62"/>
      <c r="O272" s="62"/>
      <c r="P272" s="65"/>
      <c r="Q272" s="62"/>
      <c r="R272" s="62"/>
      <c r="S272" s="62"/>
      <c r="T272" s="87"/>
    </row>
    <row r="273" spans="1:20" x14ac:dyDescent="0.2">
      <c r="A273" s="69" t="s">
        <v>356</v>
      </c>
      <c r="B273" s="85" t="s">
        <v>157</v>
      </c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6"/>
    </row>
    <row r="274" spans="1:20" x14ac:dyDescent="0.2">
      <c r="A274" s="70"/>
      <c r="B274" s="79" t="s">
        <v>154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</row>
    <row r="275" spans="1:20" ht="50.1" customHeight="1" x14ac:dyDescent="0.2">
      <c r="A275" s="70"/>
      <c r="B275" s="75" t="s">
        <v>204</v>
      </c>
      <c r="C275" s="76"/>
      <c r="D275" s="76"/>
      <c r="E275" s="76"/>
      <c r="F275" s="76"/>
      <c r="G275" s="76"/>
      <c r="H275" s="77"/>
      <c r="I275" s="60" t="s">
        <v>173</v>
      </c>
      <c r="J275" s="60"/>
      <c r="K275" s="60" t="s">
        <v>416</v>
      </c>
      <c r="L275" s="60" t="s">
        <v>205</v>
      </c>
      <c r="M275" s="60" t="s">
        <v>206</v>
      </c>
      <c r="N275" s="60" t="s">
        <v>157</v>
      </c>
      <c r="O275" s="60" t="s">
        <v>206</v>
      </c>
      <c r="P275" s="63" t="s">
        <v>207</v>
      </c>
      <c r="Q275" s="60" t="s">
        <v>30</v>
      </c>
      <c r="R275" s="60" t="s">
        <v>35</v>
      </c>
      <c r="S275" s="60" t="s">
        <v>31</v>
      </c>
      <c r="T275" s="87" t="s">
        <v>429</v>
      </c>
    </row>
    <row r="276" spans="1:20" ht="12.75" customHeight="1" x14ac:dyDescent="0.2">
      <c r="A276" s="70"/>
      <c r="B276" s="30" t="s">
        <v>5</v>
      </c>
      <c r="C276" s="31">
        <f>SUM(D276:H276)</f>
        <v>240513.81208</v>
      </c>
      <c r="D276" s="31">
        <f t="shared" ref="D276" si="110">SUM(D277:D280)</f>
        <v>240513.81208</v>
      </c>
      <c r="E276" s="32">
        <f t="shared" ref="E276:G276" si="111">SUM(E277:E280)</f>
        <v>0</v>
      </c>
      <c r="F276" s="32">
        <f t="shared" si="111"/>
        <v>0</v>
      </c>
      <c r="G276" s="32">
        <f t="shared" si="111"/>
        <v>0</v>
      </c>
      <c r="H276" s="32">
        <f t="shared" ref="H276" si="112">SUM(H277:H280)</f>
        <v>0</v>
      </c>
      <c r="I276" s="61"/>
      <c r="J276" s="61"/>
      <c r="K276" s="61"/>
      <c r="L276" s="61"/>
      <c r="M276" s="61"/>
      <c r="N276" s="61"/>
      <c r="O276" s="61"/>
      <c r="P276" s="64"/>
      <c r="Q276" s="61"/>
      <c r="R276" s="61"/>
      <c r="S276" s="61"/>
      <c r="T276" s="87"/>
    </row>
    <row r="277" spans="1:20" ht="12.75" customHeight="1" x14ac:dyDescent="0.2">
      <c r="A277" s="70"/>
      <c r="B277" s="30" t="s">
        <v>0</v>
      </c>
      <c r="C277" s="31">
        <f t="shared" ref="C277:C280" si="113">SUM(D277:H277)</f>
        <v>198733.07347</v>
      </c>
      <c r="D277" s="32">
        <f>200000-1266.92653</f>
        <v>198733.07347</v>
      </c>
      <c r="E277" s="32"/>
      <c r="F277" s="32"/>
      <c r="G277" s="32"/>
      <c r="H277" s="32"/>
      <c r="I277" s="61"/>
      <c r="J277" s="61"/>
      <c r="K277" s="61"/>
      <c r="L277" s="61"/>
      <c r="M277" s="61"/>
      <c r="N277" s="61"/>
      <c r="O277" s="61"/>
      <c r="P277" s="64"/>
      <c r="Q277" s="61"/>
      <c r="R277" s="61"/>
      <c r="S277" s="61"/>
      <c r="T277" s="87"/>
    </row>
    <row r="278" spans="1:20" ht="12.75" customHeight="1" x14ac:dyDescent="0.2">
      <c r="A278" s="70"/>
      <c r="B278" s="30" t="s">
        <v>1</v>
      </c>
      <c r="C278" s="31">
        <f t="shared" si="113"/>
        <v>41780.73861</v>
      </c>
      <c r="D278" s="32">
        <f>42033.61208-252.87347</f>
        <v>41780.73861</v>
      </c>
      <c r="E278" s="32"/>
      <c r="F278" s="32"/>
      <c r="G278" s="32"/>
      <c r="H278" s="32"/>
      <c r="I278" s="61"/>
      <c r="J278" s="61"/>
      <c r="K278" s="61"/>
      <c r="L278" s="61"/>
      <c r="M278" s="61"/>
      <c r="N278" s="61"/>
      <c r="O278" s="61"/>
      <c r="P278" s="64"/>
      <c r="Q278" s="61"/>
      <c r="R278" s="61"/>
      <c r="S278" s="61"/>
      <c r="T278" s="87"/>
    </row>
    <row r="279" spans="1:20" ht="12.75" customHeight="1" x14ac:dyDescent="0.2">
      <c r="A279" s="70"/>
      <c r="B279" s="30" t="s">
        <v>2</v>
      </c>
      <c r="C279" s="31">
        <f t="shared" si="113"/>
        <v>0</v>
      </c>
      <c r="D279" s="32"/>
      <c r="E279" s="32"/>
      <c r="F279" s="32"/>
      <c r="G279" s="32"/>
      <c r="H279" s="32"/>
      <c r="I279" s="61"/>
      <c r="J279" s="61"/>
      <c r="K279" s="61"/>
      <c r="L279" s="61"/>
      <c r="M279" s="61"/>
      <c r="N279" s="61"/>
      <c r="O279" s="61"/>
      <c r="P279" s="64"/>
      <c r="Q279" s="61"/>
      <c r="R279" s="61"/>
      <c r="S279" s="61"/>
      <c r="T279" s="87"/>
    </row>
    <row r="280" spans="1:20" ht="12.75" customHeight="1" x14ac:dyDescent="0.2">
      <c r="A280" s="71"/>
      <c r="B280" s="30" t="s">
        <v>3</v>
      </c>
      <c r="C280" s="31">
        <f t="shared" si="113"/>
        <v>0</v>
      </c>
      <c r="D280" s="32"/>
      <c r="E280" s="32"/>
      <c r="F280" s="32"/>
      <c r="G280" s="32"/>
      <c r="H280" s="32"/>
      <c r="I280" s="62"/>
      <c r="J280" s="62"/>
      <c r="K280" s="62"/>
      <c r="L280" s="62"/>
      <c r="M280" s="62"/>
      <c r="N280" s="62"/>
      <c r="O280" s="62"/>
      <c r="P280" s="65"/>
      <c r="Q280" s="62"/>
      <c r="R280" s="62"/>
      <c r="S280" s="62"/>
      <c r="T280" s="87"/>
    </row>
    <row r="281" spans="1:20" x14ac:dyDescent="0.2">
      <c r="A281" s="69" t="s">
        <v>393</v>
      </c>
      <c r="B281" s="54" t="s">
        <v>700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5"/>
    </row>
    <row r="282" spans="1:20" x14ac:dyDescent="0.2">
      <c r="A282" s="70"/>
      <c r="B282" s="58" t="s">
        <v>154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</row>
    <row r="283" spans="1:20" ht="50.1" customHeight="1" x14ac:dyDescent="0.2">
      <c r="A283" s="70"/>
      <c r="B283" s="75" t="s">
        <v>392</v>
      </c>
      <c r="C283" s="76"/>
      <c r="D283" s="76"/>
      <c r="E283" s="76"/>
      <c r="F283" s="76"/>
      <c r="G283" s="76"/>
      <c r="H283" s="77"/>
      <c r="I283" s="60" t="s">
        <v>59</v>
      </c>
      <c r="J283" s="60" t="s">
        <v>21</v>
      </c>
      <c r="K283" s="60" t="s">
        <v>40</v>
      </c>
      <c r="L283" s="60" t="s">
        <v>613</v>
      </c>
      <c r="M283" s="60" t="s">
        <v>105</v>
      </c>
      <c r="N283" s="60" t="s">
        <v>157</v>
      </c>
      <c r="O283" s="60" t="s">
        <v>105</v>
      </c>
      <c r="P283" s="63" t="s">
        <v>614</v>
      </c>
      <c r="Q283" s="60" t="s">
        <v>30</v>
      </c>
      <c r="R283" s="60" t="s">
        <v>8</v>
      </c>
      <c r="S283" s="60" t="s">
        <v>545</v>
      </c>
      <c r="T283" s="87"/>
    </row>
    <row r="284" spans="1:20" ht="12.75" customHeight="1" x14ac:dyDescent="0.2">
      <c r="A284" s="70"/>
      <c r="B284" s="30" t="s">
        <v>5</v>
      </c>
      <c r="C284" s="31">
        <f>SUM(D284:H284)</f>
        <v>352111.11111</v>
      </c>
      <c r="D284" s="31">
        <f t="shared" ref="D284:G284" si="114">SUM(D285:D288)</f>
        <v>0</v>
      </c>
      <c r="E284" s="31">
        <f t="shared" si="114"/>
        <v>0</v>
      </c>
      <c r="F284" s="31">
        <f t="shared" si="114"/>
        <v>352111.11111</v>
      </c>
      <c r="G284" s="31">
        <f t="shared" si="114"/>
        <v>0</v>
      </c>
      <c r="H284" s="32">
        <f t="shared" ref="H284" si="115">SUM(H285:H288)</f>
        <v>0</v>
      </c>
      <c r="I284" s="61"/>
      <c r="J284" s="61"/>
      <c r="K284" s="61"/>
      <c r="L284" s="61"/>
      <c r="M284" s="61"/>
      <c r="N284" s="61"/>
      <c r="O284" s="61"/>
      <c r="P284" s="64"/>
      <c r="Q284" s="61"/>
      <c r="R284" s="61"/>
      <c r="S284" s="61"/>
      <c r="T284" s="87"/>
    </row>
    <row r="285" spans="1:20" ht="12.75" customHeight="1" x14ac:dyDescent="0.2">
      <c r="A285" s="70"/>
      <c r="B285" s="30" t="s">
        <v>0</v>
      </c>
      <c r="C285" s="31">
        <f t="shared" ref="C285:C288" si="116">SUM(D285:H285)</f>
        <v>348590</v>
      </c>
      <c r="D285" s="32">
        <v>0</v>
      </c>
      <c r="E285" s="32">
        <v>0</v>
      </c>
      <c r="F285" s="32">
        <v>348590</v>
      </c>
      <c r="G285" s="32"/>
      <c r="H285" s="32"/>
      <c r="I285" s="61"/>
      <c r="J285" s="61"/>
      <c r="K285" s="61"/>
      <c r="L285" s="61"/>
      <c r="M285" s="61"/>
      <c r="N285" s="61"/>
      <c r="O285" s="61"/>
      <c r="P285" s="64"/>
      <c r="Q285" s="61"/>
      <c r="R285" s="61"/>
      <c r="S285" s="61"/>
      <c r="T285" s="87"/>
    </row>
    <row r="286" spans="1:20" ht="12.75" customHeight="1" x14ac:dyDescent="0.2">
      <c r="A286" s="70"/>
      <c r="B286" s="30" t="s">
        <v>1</v>
      </c>
      <c r="C286" s="31">
        <f t="shared" si="116"/>
        <v>3521.1111099999998</v>
      </c>
      <c r="D286" s="32">
        <v>0</v>
      </c>
      <c r="E286" s="32">
        <v>0</v>
      </c>
      <c r="F286" s="32">
        <f>0+3521.11111</f>
        <v>3521.1111099999998</v>
      </c>
      <c r="G286" s="32"/>
      <c r="H286" s="32"/>
      <c r="I286" s="61"/>
      <c r="J286" s="61"/>
      <c r="K286" s="61"/>
      <c r="L286" s="61"/>
      <c r="M286" s="61"/>
      <c r="N286" s="61"/>
      <c r="O286" s="61"/>
      <c r="P286" s="64"/>
      <c r="Q286" s="61"/>
      <c r="R286" s="61"/>
      <c r="S286" s="61"/>
      <c r="T286" s="87"/>
    </row>
    <row r="287" spans="1:20" ht="12.75" customHeight="1" x14ac:dyDescent="0.2">
      <c r="A287" s="70"/>
      <c r="B287" s="30" t="s">
        <v>2</v>
      </c>
      <c r="C287" s="31">
        <f t="shared" si="116"/>
        <v>0</v>
      </c>
      <c r="D287" s="32"/>
      <c r="E287" s="32"/>
      <c r="F287" s="32"/>
      <c r="G287" s="32"/>
      <c r="H287" s="32"/>
      <c r="I287" s="61"/>
      <c r="J287" s="61"/>
      <c r="K287" s="61"/>
      <c r="L287" s="61"/>
      <c r="M287" s="61"/>
      <c r="N287" s="61"/>
      <c r="O287" s="61"/>
      <c r="P287" s="64"/>
      <c r="Q287" s="61"/>
      <c r="R287" s="61"/>
      <c r="S287" s="61"/>
      <c r="T287" s="87"/>
    </row>
    <row r="288" spans="1:20" ht="12.75" customHeight="1" x14ac:dyDescent="0.2">
      <c r="A288" s="71"/>
      <c r="B288" s="30" t="s">
        <v>3</v>
      </c>
      <c r="C288" s="31">
        <f t="shared" si="116"/>
        <v>0</v>
      </c>
      <c r="D288" s="32"/>
      <c r="E288" s="32"/>
      <c r="F288" s="32"/>
      <c r="G288" s="32"/>
      <c r="H288" s="32"/>
      <c r="I288" s="62"/>
      <c r="J288" s="62"/>
      <c r="K288" s="62"/>
      <c r="L288" s="62"/>
      <c r="M288" s="62"/>
      <c r="N288" s="62"/>
      <c r="O288" s="62"/>
      <c r="P288" s="65"/>
      <c r="Q288" s="62"/>
      <c r="R288" s="62"/>
      <c r="S288" s="62"/>
      <c r="T288" s="87"/>
    </row>
    <row r="289" spans="1:20" x14ac:dyDescent="0.2">
      <c r="A289" s="69" t="s">
        <v>394</v>
      </c>
      <c r="B289" s="54" t="s">
        <v>700</v>
      </c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5"/>
    </row>
    <row r="290" spans="1:20" x14ac:dyDescent="0.2">
      <c r="A290" s="70"/>
      <c r="B290" s="58" t="s">
        <v>154</v>
      </c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</row>
    <row r="291" spans="1:20" ht="50.1" customHeight="1" x14ac:dyDescent="0.2">
      <c r="A291" s="70"/>
      <c r="B291" s="75" t="s">
        <v>395</v>
      </c>
      <c r="C291" s="76"/>
      <c r="D291" s="76"/>
      <c r="E291" s="76"/>
      <c r="F291" s="76"/>
      <c r="G291" s="76"/>
      <c r="H291" s="77"/>
      <c r="I291" s="60" t="s">
        <v>59</v>
      </c>
      <c r="J291" s="60" t="s">
        <v>21</v>
      </c>
      <c r="K291" s="60" t="s">
        <v>40</v>
      </c>
      <c r="L291" s="60" t="s">
        <v>615</v>
      </c>
      <c r="M291" s="60" t="s">
        <v>105</v>
      </c>
      <c r="N291" s="60" t="s">
        <v>157</v>
      </c>
      <c r="O291" s="60" t="s">
        <v>105</v>
      </c>
      <c r="P291" s="63" t="s">
        <v>616</v>
      </c>
      <c r="Q291" s="60" t="s">
        <v>30</v>
      </c>
      <c r="R291" s="60" t="s">
        <v>8</v>
      </c>
      <c r="S291" s="60" t="s">
        <v>25</v>
      </c>
      <c r="T291" s="87"/>
    </row>
    <row r="292" spans="1:20" ht="12.75" customHeight="1" x14ac:dyDescent="0.2">
      <c r="A292" s="70"/>
      <c r="B292" s="30" t="s">
        <v>5</v>
      </c>
      <c r="C292" s="31">
        <f>SUM(D292:H292)</f>
        <v>258446.56565999999</v>
      </c>
      <c r="D292" s="31">
        <f t="shared" ref="D292:H292" si="117">SUM(D293:D296)</f>
        <v>0</v>
      </c>
      <c r="E292" s="31">
        <f t="shared" si="117"/>
        <v>0</v>
      </c>
      <c r="F292" s="31">
        <f t="shared" si="117"/>
        <v>258446.56565999999</v>
      </c>
      <c r="G292" s="31">
        <f t="shared" si="117"/>
        <v>0</v>
      </c>
      <c r="H292" s="32">
        <f t="shared" si="117"/>
        <v>0</v>
      </c>
      <c r="I292" s="61"/>
      <c r="J292" s="61"/>
      <c r="K292" s="61"/>
      <c r="L292" s="61"/>
      <c r="M292" s="61"/>
      <c r="N292" s="61"/>
      <c r="O292" s="61"/>
      <c r="P292" s="64"/>
      <c r="Q292" s="61"/>
      <c r="R292" s="61"/>
      <c r="S292" s="61"/>
      <c r="T292" s="87"/>
    </row>
    <row r="293" spans="1:20" ht="12.75" customHeight="1" x14ac:dyDescent="0.2">
      <c r="A293" s="70"/>
      <c r="B293" s="30" t="s">
        <v>0</v>
      </c>
      <c r="C293" s="31">
        <f t="shared" ref="C293:C296" si="118">SUM(D293:H293)</f>
        <v>255862.1</v>
      </c>
      <c r="D293" s="32">
        <v>0</v>
      </c>
      <c r="E293" s="32">
        <v>0</v>
      </c>
      <c r="F293" s="32">
        <v>255862.1</v>
      </c>
      <c r="G293" s="32"/>
      <c r="H293" s="32"/>
      <c r="I293" s="61"/>
      <c r="J293" s="61"/>
      <c r="K293" s="61"/>
      <c r="L293" s="61"/>
      <c r="M293" s="61"/>
      <c r="N293" s="61"/>
      <c r="O293" s="61"/>
      <c r="P293" s="64"/>
      <c r="Q293" s="61"/>
      <c r="R293" s="61"/>
      <c r="S293" s="61"/>
      <c r="T293" s="87"/>
    </row>
    <row r="294" spans="1:20" ht="12.75" customHeight="1" x14ac:dyDescent="0.2">
      <c r="A294" s="70"/>
      <c r="B294" s="30" t="s">
        <v>1</v>
      </c>
      <c r="C294" s="31">
        <f t="shared" si="118"/>
        <v>2584.4656599999998</v>
      </c>
      <c r="D294" s="32">
        <v>0</v>
      </c>
      <c r="E294" s="32">
        <v>0</v>
      </c>
      <c r="F294" s="32">
        <f>0+2584.46566</f>
        <v>2584.4656599999998</v>
      </c>
      <c r="G294" s="32"/>
      <c r="H294" s="32"/>
      <c r="I294" s="61"/>
      <c r="J294" s="61"/>
      <c r="K294" s="61"/>
      <c r="L294" s="61"/>
      <c r="M294" s="61"/>
      <c r="N294" s="61"/>
      <c r="O294" s="61"/>
      <c r="P294" s="64"/>
      <c r="Q294" s="61"/>
      <c r="R294" s="61"/>
      <c r="S294" s="61"/>
      <c r="T294" s="87"/>
    </row>
    <row r="295" spans="1:20" ht="12.75" customHeight="1" x14ac:dyDescent="0.2">
      <c r="A295" s="70"/>
      <c r="B295" s="30" t="s">
        <v>2</v>
      </c>
      <c r="C295" s="31">
        <f t="shared" si="118"/>
        <v>0</v>
      </c>
      <c r="D295" s="32"/>
      <c r="E295" s="32"/>
      <c r="F295" s="32"/>
      <c r="G295" s="32"/>
      <c r="H295" s="32"/>
      <c r="I295" s="61"/>
      <c r="J295" s="61"/>
      <c r="K295" s="61"/>
      <c r="L295" s="61"/>
      <c r="M295" s="61"/>
      <c r="N295" s="61"/>
      <c r="O295" s="61"/>
      <c r="P295" s="64"/>
      <c r="Q295" s="61"/>
      <c r="R295" s="61"/>
      <c r="S295" s="61"/>
      <c r="T295" s="87"/>
    </row>
    <row r="296" spans="1:20" ht="12.75" customHeight="1" x14ac:dyDescent="0.2">
      <c r="A296" s="71"/>
      <c r="B296" s="30" t="s">
        <v>3</v>
      </c>
      <c r="C296" s="31">
        <f t="shared" si="118"/>
        <v>0</v>
      </c>
      <c r="D296" s="32"/>
      <c r="E296" s="32"/>
      <c r="F296" s="32"/>
      <c r="G296" s="32"/>
      <c r="H296" s="32"/>
      <c r="I296" s="62"/>
      <c r="J296" s="62"/>
      <c r="K296" s="62"/>
      <c r="L296" s="62"/>
      <c r="M296" s="62"/>
      <c r="N296" s="62"/>
      <c r="O296" s="62"/>
      <c r="P296" s="65"/>
      <c r="Q296" s="62"/>
      <c r="R296" s="62"/>
      <c r="S296" s="62"/>
      <c r="T296" s="87"/>
    </row>
    <row r="297" spans="1:20" ht="12.75" customHeight="1" x14ac:dyDescent="0.2">
      <c r="A297" s="69" t="s">
        <v>491</v>
      </c>
      <c r="B297" s="54" t="s">
        <v>700</v>
      </c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5"/>
    </row>
    <row r="298" spans="1:20" ht="12.75" customHeight="1" x14ac:dyDescent="0.2">
      <c r="A298" s="70"/>
      <c r="B298" s="58" t="s">
        <v>154</v>
      </c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</row>
    <row r="299" spans="1:20" ht="50.1" customHeight="1" x14ac:dyDescent="0.2">
      <c r="A299" s="70"/>
      <c r="B299" s="75" t="s">
        <v>492</v>
      </c>
      <c r="C299" s="76"/>
      <c r="D299" s="76"/>
      <c r="E299" s="76"/>
      <c r="F299" s="76"/>
      <c r="G299" s="76"/>
      <c r="H299" s="77"/>
      <c r="I299" s="60" t="s">
        <v>543</v>
      </c>
      <c r="J299" s="60"/>
      <c r="K299" s="162" t="s">
        <v>40</v>
      </c>
      <c r="L299" s="60" t="s">
        <v>544</v>
      </c>
      <c r="M299" s="60" t="s">
        <v>105</v>
      </c>
      <c r="N299" s="60" t="s">
        <v>157</v>
      </c>
      <c r="O299" s="60" t="s">
        <v>105</v>
      </c>
      <c r="P299" s="63" t="s">
        <v>565</v>
      </c>
      <c r="Q299" s="60" t="s">
        <v>30</v>
      </c>
      <c r="R299" s="60" t="s">
        <v>8</v>
      </c>
      <c r="S299" s="60" t="s">
        <v>545</v>
      </c>
      <c r="T299" s="60" t="s">
        <v>546</v>
      </c>
    </row>
    <row r="300" spans="1:20" ht="12.75" customHeight="1" x14ac:dyDescent="0.2">
      <c r="A300" s="70"/>
      <c r="B300" s="30" t="s">
        <v>5</v>
      </c>
      <c r="C300" s="31">
        <f>SUM(D300:H300)</f>
        <v>2093.1619000000069</v>
      </c>
      <c r="D300" s="31">
        <f t="shared" ref="D300:H300" si="119">SUM(D301:D304)</f>
        <v>2093.1619000000069</v>
      </c>
      <c r="E300" s="31">
        <f t="shared" si="119"/>
        <v>0</v>
      </c>
      <c r="F300" s="31">
        <f t="shared" si="119"/>
        <v>0</v>
      </c>
      <c r="G300" s="31">
        <f t="shared" si="119"/>
        <v>0</v>
      </c>
      <c r="H300" s="32">
        <f t="shared" si="119"/>
        <v>0</v>
      </c>
      <c r="I300" s="61"/>
      <c r="J300" s="61"/>
      <c r="K300" s="163"/>
      <c r="L300" s="61"/>
      <c r="M300" s="61"/>
      <c r="N300" s="61"/>
      <c r="O300" s="61"/>
      <c r="P300" s="64"/>
      <c r="Q300" s="61"/>
      <c r="R300" s="61"/>
      <c r="S300" s="61"/>
      <c r="T300" s="61"/>
    </row>
    <row r="301" spans="1:20" ht="12.75" customHeight="1" x14ac:dyDescent="0.2">
      <c r="A301" s="70"/>
      <c r="B301" s="30" t="s">
        <v>0</v>
      </c>
      <c r="C301" s="31">
        <f t="shared" ref="C301:C304" si="120">SUM(D301:H301)</f>
        <v>0</v>
      </c>
      <c r="D301" s="32"/>
      <c r="E301" s="32"/>
      <c r="F301" s="32"/>
      <c r="G301" s="32"/>
      <c r="H301" s="32"/>
      <c r="I301" s="61"/>
      <c r="J301" s="61"/>
      <c r="K301" s="163"/>
      <c r="L301" s="61"/>
      <c r="M301" s="61"/>
      <c r="N301" s="61"/>
      <c r="O301" s="61"/>
      <c r="P301" s="64"/>
      <c r="Q301" s="61"/>
      <c r="R301" s="61"/>
      <c r="S301" s="61"/>
      <c r="T301" s="61"/>
    </row>
    <row r="302" spans="1:20" ht="12.75" customHeight="1" x14ac:dyDescent="0.2">
      <c r="A302" s="70"/>
      <c r="B302" s="30" t="s">
        <v>1</v>
      </c>
      <c r="C302" s="31">
        <f t="shared" si="120"/>
        <v>2093.1619000000069</v>
      </c>
      <c r="D302" s="32">
        <f>0+92149.57-90000-56.4081</f>
        <v>2093.1619000000069</v>
      </c>
      <c r="E302" s="32"/>
      <c r="F302" s="32"/>
      <c r="G302" s="32"/>
      <c r="H302" s="32"/>
      <c r="I302" s="61"/>
      <c r="J302" s="61"/>
      <c r="K302" s="163"/>
      <c r="L302" s="61"/>
      <c r="M302" s="61"/>
      <c r="N302" s="61"/>
      <c r="O302" s="61"/>
      <c r="P302" s="64"/>
      <c r="Q302" s="61"/>
      <c r="R302" s="61"/>
      <c r="S302" s="61"/>
      <c r="T302" s="61"/>
    </row>
    <row r="303" spans="1:20" ht="12.75" customHeight="1" x14ac:dyDescent="0.2">
      <c r="A303" s="70"/>
      <c r="B303" s="30" t="s">
        <v>2</v>
      </c>
      <c r="C303" s="31">
        <f t="shared" si="120"/>
        <v>0</v>
      </c>
      <c r="D303" s="32"/>
      <c r="E303" s="32"/>
      <c r="F303" s="32"/>
      <c r="G303" s="32"/>
      <c r="H303" s="32"/>
      <c r="I303" s="61"/>
      <c r="J303" s="61"/>
      <c r="K303" s="163"/>
      <c r="L303" s="61"/>
      <c r="M303" s="61"/>
      <c r="N303" s="61"/>
      <c r="O303" s="61"/>
      <c r="P303" s="64"/>
      <c r="Q303" s="61"/>
      <c r="R303" s="61"/>
      <c r="S303" s="61"/>
      <c r="T303" s="61"/>
    </row>
    <row r="304" spans="1:20" ht="12.75" customHeight="1" x14ac:dyDescent="0.2">
      <c r="A304" s="71"/>
      <c r="B304" s="30" t="s">
        <v>3</v>
      </c>
      <c r="C304" s="31">
        <f t="shared" si="120"/>
        <v>0</v>
      </c>
      <c r="D304" s="32"/>
      <c r="E304" s="32"/>
      <c r="F304" s="32"/>
      <c r="G304" s="32"/>
      <c r="H304" s="32"/>
      <c r="I304" s="62"/>
      <c r="J304" s="62"/>
      <c r="K304" s="164"/>
      <c r="L304" s="62"/>
      <c r="M304" s="62"/>
      <c r="N304" s="62"/>
      <c r="O304" s="62"/>
      <c r="P304" s="65"/>
      <c r="Q304" s="62"/>
      <c r="R304" s="62"/>
      <c r="S304" s="62"/>
      <c r="T304" s="62"/>
    </row>
    <row r="305" spans="1:20" ht="12.75" customHeight="1" x14ac:dyDescent="0.2">
      <c r="A305" s="69" t="s">
        <v>551</v>
      </c>
      <c r="B305" s="85" t="s">
        <v>157</v>
      </c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6"/>
    </row>
    <row r="306" spans="1:20" ht="12.75" customHeight="1" x14ac:dyDescent="0.2">
      <c r="A306" s="70"/>
      <c r="B306" s="79" t="s">
        <v>154</v>
      </c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</row>
    <row r="307" spans="1:20" ht="50.1" customHeight="1" x14ac:dyDescent="0.2">
      <c r="A307" s="70"/>
      <c r="B307" s="84" t="s">
        <v>552</v>
      </c>
      <c r="C307" s="85"/>
      <c r="D307" s="85"/>
      <c r="E307" s="85"/>
      <c r="F307" s="85"/>
      <c r="G307" s="85"/>
      <c r="H307" s="86"/>
      <c r="I307" s="66">
        <v>2020</v>
      </c>
      <c r="J307" s="66">
        <v>2020</v>
      </c>
      <c r="K307" s="134" t="s">
        <v>457</v>
      </c>
      <c r="L307" s="66" t="s">
        <v>553</v>
      </c>
      <c r="M307" s="66" t="s">
        <v>554</v>
      </c>
      <c r="N307" s="66" t="s">
        <v>157</v>
      </c>
      <c r="O307" s="66" t="s">
        <v>554</v>
      </c>
      <c r="P307" s="66" t="s">
        <v>555</v>
      </c>
      <c r="Q307" s="66" t="s">
        <v>30</v>
      </c>
      <c r="R307" s="66" t="s">
        <v>8</v>
      </c>
      <c r="S307" s="66" t="s">
        <v>25</v>
      </c>
      <c r="T307" s="66" t="s">
        <v>556</v>
      </c>
    </row>
    <row r="308" spans="1:20" ht="12.75" customHeight="1" x14ac:dyDescent="0.2">
      <c r="A308" s="70"/>
      <c r="B308" s="14" t="s">
        <v>5</v>
      </c>
      <c r="C308" s="15">
        <f>SUM(D308:H308)</f>
        <v>2569.5954000000002</v>
      </c>
      <c r="D308" s="16">
        <f>SUM(D309:D312)</f>
        <v>2569.5954000000002</v>
      </c>
      <c r="E308" s="16">
        <f t="shared" ref="E308:H308" si="121">SUM(E309:E312)</f>
        <v>0</v>
      </c>
      <c r="F308" s="16">
        <f t="shared" si="121"/>
        <v>0</v>
      </c>
      <c r="G308" s="16">
        <f t="shared" si="121"/>
        <v>0</v>
      </c>
      <c r="H308" s="16">
        <f t="shared" si="121"/>
        <v>0</v>
      </c>
      <c r="I308" s="67"/>
      <c r="J308" s="67"/>
      <c r="K308" s="135"/>
      <c r="L308" s="67"/>
      <c r="M308" s="67"/>
      <c r="N308" s="67"/>
      <c r="O308" s="67"/>
      <c r="P308" s="67"/>
      <c r="Q308" s="67"/>
      <c r="R308" s="67"/>
      <c r="S308" s="67"/>
      <c r="T308" s="67"/>
    </row>
    <row r="309" spans="1:20" ht="12.75" customHeight="1" x14ac:dyDescent="0.2">
      <c r="A309" s="70"/>
      <c r="B309" s="14" t="s">
        <v>0</v>
      </c>
      <c r="C309" s="15">
        <f t="shared" ref="C309:C312" si="122">SUM(D309:H309)</f>
        <v>0</v>
      </c>
      <c r="D309" s="16"/>
      <c r="E309" s="16"/>
      <c r="F309" s="16"/>
      <c r="G309" s="16"/>
      <c r="H309" s="16"/>
      <c r="I309" s="67"/>
      <c r="J309" s="67"/>
      <c r="K309" s="135"/>
      <c r="L309" s="67"/>
      <c r="M309" s="67"/>
      <c r="N309" s="67"/>
      <c r="O309" s="67"/>
      <c r="P309" s="67"/>
      <c r="Q309" s="67"/>
      <c r="R309" s="67"/>
      <c r="S309" s="67"/>
      <c r="T309" s="67"/>
    </row>
    <row r="310" spans="1:20" ht="12.75" customHeight="1" x14ac:dyDescent="0.2">
      <c r="A310" s="70"/>
      <c r="B310" s="14" t="s">
        <v>1</v>
      </c>
      <c r="C310" s="15">
        <f t="shared" si="122"/>
        <v>2569.5954000000002</v>
      </c>
      <c r="D310" s="16">
        <f>0+2569.5954</f>
        <v>2569.5954000000002</v>
      </c>
      <c r="E310" s="16"/>
      <c r="F310" s="16"/>
      <c r="G310" s="16"/>
      <c r="H310" s="16"/>
      <c r="I310" s="67"/>
      <c r="J310" s="67"/>
      <c r="K310" s="135"/>
      <c r="L310" s="67"/>
      <c r="M310" s="67"/>
      <c r="N310" s="67"/>
      <c r="O310" s="67"/>
      <c r="P310" s="67"/>
      <c r="Q310" s="67"/>
      <c r="R310" s="67"/>
      <c r="S310" s="67"/>
      <c r="T310" s="67"/>
    </row>
    <row r="311" spans="1:20" ht="12.75" customHeight="1" x14ac:dyDescent="0.2">
      <c r="A311" s="70"/>
      <c r="B311" s="14" t="s">
        <v>2</v>
      </c>
      <c r="C311" s="15">
        <f t="shared" si="122"/>
        <v>0</v>
      </c>
      <c r="D311" s="16"/>
      <c r="E311" s="16"/>
      <c r="F311" s="16"/>
      <c r="G311" s="16"/>
      <c r="H311" s="16"/>
      <c r="I311" s="67"/>
      <c r="J311" s="67"/>
      <c r="K311" s="135"/>
      <c r="L311" s="67"/>
      <c r="M311" s="67"/>
      <c r="N311" s="67"/>
      <c r="O311" s="67"/>
      <c r="P311" s="67"/>
      <c r="Q311" s="67"/>
      <c r="R311" s="67"/>
      <c r="S311" s="67"/>
      <c r="T311" s="67"/>
    </row>
    <row r="312" spans="1:20" ht="12.75" customHeight="1" x14ac:dyDescent="0.2">
      <c r="A312" s="71"/>
      <c r="B312" s="14" t="s">
        <v>3</v>
      </c>
      <c r="C312" s="15">
        <f t="shared" si="122"/>
        <v>0</v>
      </c>
      <c r="D312" s="16"/>
      <c r="E312" s="16"/>
      <c r="F312" s="16"/>
      <c r="G312" s="16"/>
      <c r="H312" s="16"/>
      <c r="I312" s="68"/>
      <c r="J312" s="68"/>
      <c r="K312" s="136"/>
      <c r="L312" s="68"/>
      <c r="M312" s="68"/>
      <c r="N312" s="68"/>
      <c r="O312" s="68"/>
      <c r="P312" s="68"/>
      <c r="Q312" s="68"/>
      <c r="R312" s="68"/>
      <c r="S312" s="68"/>
      <c r="T312" s="68"/>
    </row>
    <row r="313" spans="1:20" x14ac:dyDescent="0.2">
      <c r="A313" s="88" t="s">
        <v>117</v>
      </c>
      <c r="B313" s="79" t="s">
        <v>161</v>
      </c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</row>
    <row r="314" spans="1:20" x14ac:dyDescent="0.2">
      <c r="A314" s="89"/>
      <c r="B314" s="12" t="s">
        <v>5</v>
      </c>
      <c r="C314" s="13">
        <f>SUM(D314:H314)</f>
        <v>3759.5790000000002</v>
      </c>
      <c r="D314" s="13">
        <f t="shared" ref="D314" si="123">SUM(D315:D318)</f>
        <v>44.219000000000001</v>
      </c>
      <c r="E314" s="13">
        <f t="shared" ref="E314:F314" si="124">SUM(E315:E318)</f>
        <v>3715.36</v>
      </c>
      <c r="F314" s="13">
        <f t="shared" si="124"/>
        <v>0</v>
      </c>
      <c r="G314" s="13">
        <f t="shared" ref="G314:H314" si="125">SUM(G315:G318)</f>
        <v>0</v>
      </c>
      <c r="H314" s="13">
        <f t="shared" si="125"/>
        <v>0</v>
      </c>
      <c r="I314" s="91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3"/>
    </row>
    <row r="315" spans="1:20" ht="12.75" customHeight="1" x14ac:dyDescent="0.2">
      <c r="A315" s="89"/>
      <c r="B315" s="12" t="s">
        <v>0</v>
      </c>
      <c r="C315" s="13">
        <f t="shared" ref="C315:C318" si="126">SUM(D315:H315)</f>
        <v>0</v>
      </c>
      <c r="D315" s="13">
        <f>D323+D331</f>
        <v>0</v>
      </c>
      <c r="E315" s="13">
        <f t="shared" ref="E315:H315" si="127">E323+E331</f>
        <v>0</v>
      </c>
      <c r="F315" s="13">
        <f t="shared" si="127"/>
        <v>0</v>
      </c>
      <c r="G315" s="13">
        <f t="shared" si="127"/>
        <v>0</v>
      </c>
      <c r="H315" s="13">
        <f t="shared" si="127"/>
        <v>0</v>
      </c>
      <c r="I315" s="94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6"/>
    </row>
    <row r="316" spans="1:20" ht="12.75" customHeight="1" x14ac:dyDescent="0.2">
      <c r="A316" s="89"/>
      <c r="B316" s="12" t="s">
        <v>1</v>
      </c>
      <c r="C316" s="13">
        <f t="shared" si="126"/>
        <v>3759.5790000000002</v>
      </c>
      <c r="D316" s="13">
        <f t="shared" ref="D316:H318" si="128">D324+D332</f>
        <v>44.219000000000001</v>
      </c>
      <c r="E316" s="13">
        <f t="shared" si="128"/>
        <v>3715.36</v>
      </c>
      <c r="F316" s="13">
        <f t="shared" si="128"/>
        <v>0</v>
      </c>
      <c r="G316" s="13">
        <f t="shared" si="128"/>
        <v>0</v>
      </c>
      <c r="H316" s="13">
        <f t="shared" si="128"/>
        <v>0</v>
      </c>
      <c r="I316" s="94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6"/>
    </row>
    <row r="317" spans="1:20" ht="12.75" customHeight="1" x14ac:dyDescent="0.2">
      <c r="A317" s="89"/>
      <c r="B317" s="12" t="s">
        <v>2</v>
      </c>
      <c r="C317" s="13">
        <f t="shared" si="126"/>
        <v>0</v>
      </c>
      <c r="D317" s="13">
        <f t="shared" si="128"/>
        <v>0</v>
      </c>
      <c r="E317" s="13">
        <f t="shared" si="128"/>
        <v>0</v>
      </c>
      <c r="F317" s="13">
        <f t="shared" si="128"/>
        <v>0</v>
      </c>
      <c r="G317" s="13">
        <f t="shared" si="128"/>
        <v>0</v>
      </c>
      <c r="H317" s="13">
        <f t="shared" si="128"/>
        <v>0</v>
      </c>
      <c r="I317" s="94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6"/>
    </row>
    <row r="318" spans="1:20" ht="12.75" customHeight="1" x14ac:dyDescent="0.2">
      <c r="A318" s="90"/>
      <c r="B318" s="12" t="s">
        <v>3</v>
      </c>
      <c r="C318" s="13">
        <f t="shared" si="126"/>
        <v>0</v>
      </c>
      <c r="D318" s="13">
        <f t="shared" si="128"/>
        <v>0</v>
      </c>
      <c r="E318" s="13">
        <f t="shared" si="128"/>
        <v>0</v>
      </c>
      <c r="F318" s="13">
        <f t="shared" si="128"/>
        <v>0</v>
      </c>
      <c r="G318" s="13">
        <f t="shared" si="128"/>
        <v>0</v>
      </c>
      <c r="H318" s="13">
        <f t="shared" si="128"/>
        <v>0</v>
      </c>
      <c r="I318" s="97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9"/>
    </row>
    <row r="319" spans="1:20" x14ac:dyDescent="0.2">
      <c r="A319" s="69" t="s">
        <v>302</v>
      </c>
      <c r="B319" s="85" t="s">
        <v>33</v>
      </c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6"/>
    </row>
    <row r="320" spans="1:20" x14ac:dyDescent="0.2">
      <c r="A320" s="70" t="s">
        <v>102</v>
      </c>
      <c r="B320" s="79" t="s">
        <v>162</v>
      </c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</row>
    <row r="321" spans="1:20" ht="50.1" customHeight="1" x14ac:dyDescent="0.2">
      <c r="A321" s="70"/>
      <c r="B321" s="100" t="s">
        <v>580</v>
      </c>
      <c r="C321" s="101"/>
      <c r="D321" s="101"/>
      <c r="E321" s="101"/>
      <c r="F321" s="101"/>
      <c r="G321" s="101"/>
      <c r="H321" s="102"/>
      <c r="I321" s="66" t="s">
        <v>36</v>
      </c>
      <c r="J321" s="66"/>
      <c r="K321" s="134" t="s">
        <v>457</v>
      </c>
      <c r="L321" s="66"/>
      <c r="M321" s="66" t="s">
        <v>37</v>
      </c>
      <c r="N321" s="66" t="s">
        <v>33</v>
      </c>
      <c r="O321" s="66" t="s">
        <v>37</v>
      </c>
      <c r="P321" s="103" t="s">
        <v>566</v>
      </c>
      <c r="Q321" s="66" t="s">
        <v>30</v>
      </c>
      <c r="R321" s="66" t="s">
        <v>38</v>
      </c>
      <c r="S321" s="66" t="s">
        <v>31</v>
      </c>
      <c r="T321" s="78" t="s">
        <v>274</v>
      </c>
    </row>
    <row r="322" spans="1:20" ht="12.75" customHeight="1" x14ac:dyDescent="0.2">
      <c r="A322" s="70"/>
      <c r="B322" s="14" t="s">
        <v>5</v>
      </c>
      <c r="C322" s="15">
        <f>SUM(D322:H322)</f>
        <v>44.219000000000001</v>
      </c>
      <c r="D322" s="16">
        <f t="shared" ref="D322" si="129">SUM(D323:D326)</f>
        <v>44.219000000000001</v>
      </c>
      <c r="E322" s="16">
        <f t="shared" ref="E322:G322" si="130">SUM(E323:E326)</f>
        <v>0</v>
      </c>
      <c r="F322" s="16">
        <f t="shared" si="130"/>
        <v>0</v>
      </c>
      <c r="G322" s="16">
        <f t="shared" si="130"/>
        <v>0</v>
      </c>
      <c r="H322" s="16">
        <f t="shared" ref="H322" si="131">SUM(H323:H326)</f>
        <v>0</v>
      </c>
      <c r="I322" s="67"/>
      <c r="J322" s="67"/>
      <c r="K322" s="135"/>
      <c r="L322" s="67"/>
      <c r="M322" s="67"/>
      <c r="N322" s="67"/>
      <c r="O322" s="67"/>
      <c r="P322" s="104"/>
      <c r="Q322" s="67"/>
      <c r="R322" s="67"/>
      <c r="S322" s="67"/>
      <c r="T322" s="78"/>
    </row>
    <row r="323" spans="1:20" ht="12.75" customHeight="1" x14ac:dyDescent="0.2">
      <c r="A323" s="70"/>
      <c r="B323" s="14" t="s">
        <v>0</v>
      </c>
      <c r="C323" s="15">
        <f t="shared" ref="C323:C326" si="132">SUM(D323:H323)</f>
        <v>0</v>
      </c>
      <c r="D323" s="16"/>
      <c r="E323" s="16"/>
      <c r="F323" s="16"/>
      <c r="G323" s="16"/>
      <c r="H323" s="16"/>
      <c r="I323" s="67"/>
      <c r="J323" s="67"/>
      <c r="K323" s="135"/>
      <c r="L323" s="67"/>
      <c r="M323" s="67"/>
      <c r="N323" s="67"/>
      <c r="O323" s="67"/>
      <c r="P323" s="104"/>
      <c r="Q323" s="67"/>
      <c r="R323" s="67"/>
      <c r="S323" s="67"/>
      <c r="T323" s="78"/>
    </row>
    <row r="324" spans="1:20" ht="12.75" customHeight="1" x14ac:dyDescent="0.2">
      <c r="A324" s="70"/>
      <c r="B324" s="14" t="s">
        <v>1</v>
      </c>
      <c r="C324" s="15">
        <f t="shared" si="132"/>
        <v>44.219000000000001</v>
      </c>
      <c r="D324" s="32">
        <f>4896.85-4836.85-15.781</f>
        <v>44.219000000000001</v>
      </c>
      <c r="E324" s="16"/>
      <c r="F324" s="16"/>
      <c r="G324" s="16"/>
      <c r="H324" s="16"/>
      <c r="I324" s="67"/>
      <c r="J324" s="67"/>
      <c r="K324" s="135"/>
      <c r="L324" s="67"/>
      <c r="M324" s="67"/>
      <c r="N324" s="67"/>
      <c r="O324" s="67"/>
      <c r="P324" s="104"/>
      <c r="Q324" s="67"/>
      <c r="R324" s="67"/>
      <c r="S324" s="67"/>
      <c r="T324" s="78"/>
    </row>
    <row r="325" spans="1:20" ht="12.75" customHeight="1" x14ac:dyDescent="0.2">
      <c r="A325" s="70"/>
      <c r="B325" s="14" t="s">
        <v>2</v>
      </c>
      <c r="C325" s="15">
        <f t="shared" si="132"/>
        <v>0</v>
      </c>
      <c r="D325" s="16"/>
      <c r="E325" s="16"/>
      <c r="F325" s="16"/>
      <c r="G325" s="16"/>
      <c r="H325" s="16"/>
      <c r="I325" s="67"/>
      <c r="J325" s="67"/>
      <c r="K325" s="135"/>
      <c r="L325" s="67"/>
      <c r="M325" s="67"/>
      <c r="N325" s="67"/>
      <c r="O325" s="67"/>
      <c r="P325" s="104"/>
      <c r="Q325" s="67"/>
      <c r="R325" s="67"/>
      <c r="S325" s="67"/>
      <c r="T325" s="78"/>
    </row>
    <row r="326" spans="1:20" ht="12.75" customHeight="1" x14ac:dyDescent="0.2">
      <c r="A326" s="71"/>
      <c r="B326" s="14" t="s">
        <v>3</v>
      </c>
      <c r="C326" s="15">
        <f t="shared" si="132"/>
        <v>0</v>
      </c>
      <c r="D326" s="16"/>
      <c r="E326" s="16"/>
      <c r="F326" s="16"/>
      <c r="G326" s="16"/>
      <c r="H326" s="16"/>
      <c r="I326" s="68"/>
      <c r="J326" s="68"/>
      <c r="K326" s="136"/>
      <c r="L326" s="68"/>
      <c r="M326" s="68"/>
      <c r="N326" s="68"/>
      <c r="O326" s="68"/>
      <c r="P326" s="105"/>
      <c r="Q326" s="68"/>
      <c r="R326" s="68"/>
      <c r="S326" s="68"/>
      <c r="T326" s="78"/>
    </row>
    <row r="327" spans="1:20" x14ac:dyDescent="0.2">
      <c r="A327" s="69" t="s">
        <v>303</v>
      </c>
      <c r="B327" s="85" t="s">
        <v>33</v>
      </c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6"/>
    </row>
    <row r="328" spans="1:20" x14ac:dyDescent="0.2">
      <c r="A328" s="70" t="s">
        <v>102</v>
      </c>
      <c r="B328" s="79" t="s">
        <v>162</v>
      </c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</row>
    <row r="329" spans="1:20" ht="50.1" customHeight="1" x14ac:dyDescent="0.2">
      <c r="A329" s="70"/>
      <c r="B329" s="100" t="s">
        <v>417</v>
      </c>
      <c r="C329" s="101"/>
      <c r="D329" s="101"/>
      <c r="E329" s="101"/>
      <c r="F329" s="101"/>
      <c r="G329" s="101"/>
      <c r="H329" s="102"/>
      <c r="I329" s="66" t="s">
        <v>21</v>
      </c>
      <c r="J329" s="66" t="s">
        <v>22</v>
      </c>
      <c r="K329" s="66" t="s">
        <v>40</v>
      </c>
      <c r="L329" s="66"/>
      <c r="M329" s="66" t="s">
        <v>33</v>
      </c>
      <c r="N329" s="66" t="s">
        <v>33</v>
      </c>
      <c r="O329" s="66" t="s">
        <v>33</v>
      </c>
      <c r="P329" s="103" t="s">
        <v>567</v>
      </c>
      <c r="Q329" s="66" t="s">
        <v>30</v>
      </c>
      <c r="R329" s="66" t="s">
        <v>41</v>
      </c>
      <c r="S329" s="66" t="s">
        <v>31</v>
      </c>
      <c r="T329" s="78" t="s">
        <v>336</v>
      </c>
    </row>
    <row r="330" spans="1:20" ht="12.75" customHeight="1" x14ac:dyDescent="0.2">
      <c r="A330" s="70"/>
      <c r="B330" s="14" t="s">
        <v>5</v>
      </c>
      <c r="C330" s="15">
        <f>SUM(D330:H330)</f>
        <v>3715.36</v>
      </c>
      <c r="D330" s="16">
        <f t="shared" ref="D330" si="133">SUM(D331:D334)</f>
        <v>0</v>
      </c>
      <c r="E330" s="16">
        <f t="shared" ref="E330" si="134">SUM(E331:E334)</f>
        <v>3715.36</v>
      </c>
      <c r="F330" s="16">
        <f t="shared" ref="F330:G330" si="135">SUM(F331:F334)</f>
        <v>0</v>
      </c>
      <c r="G330" s="16">
        <f t="shared" si="135"/>
        <v>0</v>
      </c>
      <c r="H330" s="16">
        <f t="shared" ref="H330" si="136">SUM(H331:H334)</f>
        <v>0</v>
      </c>
      <c r="I330" s="67"/>
      <c r="J330" s="67"/>
      <c r="K330" s="67"/>
      <c r="L330" s="67"/>
      <c r="M330" s="67"/>
      <c r="N330" s="67"/>
      <c r="O330" s="67"/>
      <c r="P330" s="104"/>
      <c r="Q330" s="67"/>
      <c r="R330" s="67"/>
      <c r="S330" s="67"/>
      <c r="T330" s="78"/>
    </row>
    <row r="331" spans="1:20" ht="12.75" customHeight="1" x14ac:dyDescent="0.2">
      <c r="A331" s="70"/>
      <c r="B331" s="14" t="s">
        <v>0</v>
      </c>
      <c r="C331" s="15">
        <f t="shared" ref="C331:C334" si="137">SUM(D331:H331)</f>
        <v>0</v>
      </c>
      <c r="D331" s="16"/>
      <c r="E331" s="16"/>
      <c r="F331" s="16"/>
      <c r="G331" s="16"/>
      <c r="H331" s="16"/>
      <c r="I331" s="67"/>
      <c r="J331" s="67"/>
      <c r="K331" s="67"/>
      <c r="L331" s="67"/>
      <c r="M331" s="67"/>
      <c r="N331" s="67"/>
      <c r="O331" s="67"/>
      <c r="P331" s="104"/>
      <c r="Q331" s="67"/>
      <c r="R331" s="67"/>
      <c r="S331" s="67"/>
      <c r="T331" s="78"/>
    </row>
    <row r="332" spans="1:20" ht="12.75" customHeight="1" x14ac:dyDescent="0.2">
      <c r="A332" s="70"/>
      <c r="B332" s="14" t="s">
        <v>1</v>
      </c>
      <c r="C332" s="15">
        <f t="shared" si="137"/>
        <v>3715.36</v>
      </c>
      <c r="D332" s="16">
        <f>350-350</f>
        <v>0</v>
      </c>
      <c r="E332" s="16">
        <v>3715.36</v>
      </c>
      <c r="F332" s="16"/>
      <c r="G332" s="16"/>
      <c r="H332" s="16"/>
      <c r="I332" s="67"/>
      <c r="J332" s="67"/>
      <c r="K332" s="67"/>
      <c r="L332" s="67"/>
      <c r="M332" s="67"/>
      <c r="N332" s="67"/>
      <c r="O332" s="67"/>
      <c r="P332" s="104"/>
      <c r="Q332" s="67"/>
      <c r="R332" s="67"/>
      <c r="S332" s="67"/>
      <c r="T332" s="78"/>
    </row>
    <row r="333" spans="1:20" ht="12.75" customHeight="1" x14ac:dyDescent="0.2">
      <c r="A333" s="70"/>
      <c r="B333" s="14" t="s">
        <v>2</v>
      </c>
      <c r="C333" s="15">
        <f t="shared" si="137"/>
        <v>0</v>
      </c>
      <c r="D333" s="16"/>
      <c r="E333" s="16"/>
      <c r="F333" s="16"/>
      <c r="G333" s="16"/>
      <c r="H333" s="16"/>
      <c r="I333" s="67"/>
      <c r="J333" s="67"/>
      <c r="K333" s="67"/>
      <c r="L333" s="67"/>
      <c r="M333" s="67"/>
      <c r="N333" s="67"/>
      <c r="O333" s="67"/>
      <c r="P333" s="104"/>
      <c r="Q333" s="67"/>
      <c r="R333" s="67"/>
      <c r="S333" s="67"/>
      <c r="T333" s="78"/>
    </row>
    <row r="334" spans="1:20" ht="12.75" customHeight="1" x14ac:dyDescent="0.2">
      <c r="A334" s="70"/>
      <c r="B334" s="17" t="s">
        <v>3</v>
      </c>
      <c r="C334" s="15">
        <f t="shared" si="137"/>
        <v>0</v>
      </c>
      <c r="D334" s="18"/>
      <c r="E334" s="18"/>
      <c r="F334" s="18"/>
      <c r="G334" s="18"/>
      <c r="H334" s="18"/>
      <c r="I334" s="68"/>
      <c r="J334" s="68"/>
      <c r="K334" s="68"/>
      <c r="L334" s="68"/>
      <c r="M334" s="68"/>
      <c r="N334" s="68"/>
      <c r="O334" s="68"/>
      <c r="P334" s="105"/>
      <c r="Q334" s="68"/>
      <c r="R334" s="68"/>
      <c r="S334" s="68"/>
      <c r="T334" s="66"/>
    </row>
    <row r="335" spans="1:20" ht="13.5" customHeight="1" x14ac:dyDescent="0.2">
      <c r="A335" s="51" t="s">
        <v>118</v>
      </c>
      <c r="B335" s="54" t="s">
        <v>163</v>
      </c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5"/>
    </row>
    <row r="336" spans="1:20" ht="15" customHeight="1" x14ac:dyDescent="0.2">
      <c r="A336" s="52"/>
      <c r="B336" s="37" t="s">
        <v>5</v>
      </c>
      <c r="C336" s="38">
        <f>SUM(D336:H336)</f>
        <v>5415917.4550099112</v>
      </c>
      <c r="D336" s="38">
        <f t="shared" ref="D336:F336" si="138">SUM(D337:D341)</f>
        <v>1691449.3364699997</v>
      </c>
      <c r="E336" s="38">
        <f t="shared" si="138"/>
        <v>1438804.9566399106</v>
      </c>
      <c r="F336" s="38">
        <f t="shared" si="138"/>
        <v>1204918.9258000001</v>
      </c>
      <c r="G336" s="38">
        <f t="shared" ref="G336:H336" si="139">SUM(G337:G341)</f>
        <v>708342.26209999993</v>
      </c>
      <c r="H336" s="38">
        <f t="shared" si="139"/>
        <v>372401.97400000005</v>
      </c>
      <c r="I336" s="171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3"/>
    </row>
    <row r="337" spans="1:20" ht="12.75" customHeight="1" x14ac:dyDescent="0.2">
      <c r="A337" s="52"/>
      <c r="B337" s="39" t="s">
        <v>0</v>
      </c>
      <c r="C337" s="38">
        <f>SUM(D337:H337)</f>
        <v>1374660.5</v>
      </c>
      <c r="D337" s="32">
        <f>D346+D354+D362+D370+D378+D386+D394+D426+D418+D434+D443+D451+D459+D402+D410+D467+D475+D483+D491+D499+D507+D515</f>
        <v>668084.30000000005</v>
      </c>
      <c r="E337" s="32">
        <f t="shared" ref="E337:H337" si="140">E346+E354+E362+E370+E378+E386+E394+E426+E418+E434+E443+E451+E459+E402+E410+E467+E475+E483+E491+E499+E507+E515</f>
        <v>85297.4</v>
      </c>
      <c r="F337" s="32">
        <f t="shared" si="140"/>
        <v>621278.80000000005</v>
      </c>
      <c r="G337" s="32">
        <f t="shared" si="140"/>
        <v>0</v>
      </c>
      <c r="H337" s="32">
        <f t="shared" si="140"/>
        <v>0</v>
      </c>
      <c r="I337" s="174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6"/>
    </row>
    <row r="338" spans="1:20" ht="12.75" customHeight="1" x14ac:dyDescent="0.2">
      <c r="A338" s="52"/>
      <c r="B338" s="30" t="s">
        <v>1</v>
      </c>
      <c r="C338" s="31">
        <f t="shared" ref="C338:C341" si="141">SUM(D338:H338)</f>
        <v>3378697.2028389997</v>
      </c>
      <c r="D338" s="32">
        <f>D347+D355+D363+D371+D379+D387+D395+D427+D419+D435+D444+D452+D460+D403+D411+D468+D476+D484+D492+D500+D508+D516</f>
        <v>629899.52617999993</v>
      </c>
      <c r="E338" s="32">
        <f t="shared" ref="D338:H340" si="142">E347+E355+E363+E371+E379+E387+E395+E427+E419+E435+E444+E452+E460+E403+E411+E468+E476+E484+E492+E500+E508+E516</f>
        <v>1087279.830509</v>
      </c>
      <c r="F338" s="32">
        <f t="shared" si="142"/>
        <v>580773.61005000002</v>
      </c>
      <c r="G338" s="32">
        <f t="shared" si="142"/>
        <v>708342.26209999993</v>
      </c>
      <c r="H338" s="32">
        <f t="shared" si="142"/>
        <v>372401.97400000005</v>
      </c>
      <c r="I338" s="174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6"/>
    </row>
    <row r="339" spans="1:20" ht="12.75" customHeight="1" x14ac:dyDescent="0.2">
      <c r="A339" s="52"/>
      <c r="B339" s="30" t="s">
        <v>2</v>
      </c>
      <c r="C339" s="31">
        <f t="shared" si="141"/>
        <v>10450.161290910613</v>
      </c>
      <c r="D339" s="32">
        <f t="shared" si="142"/>
        <v>3365.1612500000001</v>
      </c>
      <c r="E339" s="32">
        <f t="shared" si="142"/>
        <v>4218.4842909106137</v>
      </c>
      <c r="F339" s="32">
        <f t="shared" si="142"/>
        <v>2866.51575</v>
      </c>
      <c r="G339" s="32">
        <f t="shared" si="142"/>
        <v>0</v>
      </c>
      <c r="H339" s="32">
        <f t="shared" si="142"/>
        <v>0</v>
      </c>
      <c r="I339" s="174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6"/>
    </row>
    <row r="340" spans="1:20" ht="12.75" customHeight="1" x14ac:dyDescent="0.2">
      <c r="A340" s="52"/>
      <c r="B340" s="30" t="s">
        <v>3</v>
      </c>
      <c r="C340" s="31">
        <f t="shared" si="141"/>
        <v>0</v>
      </c>
      <c r="D340" s="32">
        <f t="shared" si="142"/>
        <v>0</v>
      </c>
      <c r="E340" s="32">
        <f t="shared" si="142"/>
        <v>0</v>
      </c>
      <c r="F340" s="32">
        <f t="shared" si="142"/>
        <v>0</v>
      </c>
      <c r="G340" s="32">
        <f t="shared" si="142"/>
        <v>0</v>
      </c>
      <c r="H340" s="32">
        <f t="shared" si="142"/>
        <v>0</v>
      </c>
      <c r="I340" s="174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6"/>
    </row>
    <row r="341" spans="1:20" ht="69.95" customHeight="1" x14ac:dyDescent="0.2">
      <c r="A341" s="53"/>
      <c r="B341" s="30" t="s">
        <v>402</v>
      </c>
      <c r="C341" s="31">
        <f t="shared" si="141"/>
        <v>652109.59088000003</v>
      </c>
      <c r="D341" s="32">
        <f>D438</f>
        <v>390100.34904</v>
      </c>
      <c r="E341" s="32">
        <f t="shared" ref="E341:H341" si="143">E438</f>
        <v>262009.24184</v>
      </c>
      <c r="F341" s="32">
        <f t="shared" si="143"/>
        <v>0</v>
      </c>
      <c r="G341" s="32">
        <f t="shared" si="143"/>
        <v>0</v>
      </c>
      <c r="H341" s="32">
        <f t="shared" si="143"/>
        <v>0</v>
      </c>
      <c r="I341" s="177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9"/>
    </row>
    <row r="342" spans="1:20" ht="12.75" customHeight="1" x14ac:dyDescent="0.2">
      <c r="A342" s="51" t="s">
        <v>304</v>
      </c>
      <c r="B342" s="54" t="s">
        <v>700</v>
      </c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5"/>
    </row>
    <row r="343" spans="1:20" ht="12.75" customHeight="1" x14ac:dyDescent="0.2">
      <c r="A343" s="52" t="s">
        <v>102</v>
      </c>
      <c r="B343" s="58" t="s">
        <v>165</v>
      </c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</row>
    <row r="344" spans="1:20" ht="50.1" customHeight="1" x14ac:dyDescent="0.2">
      <c r="A344" s="52"/>
      <c r="B344" s="72" t="s">
        <v>190</v>
      </c>
      <c r="C344" s="73"/>
      <c r="D344" s="73"/>
      <c r="E344" s="73"/>
      <c r="F344" s="73"/>
      <c r="G344" s="73"/>
      <c r="H344" s="74"/>
      <c r="I344" s="60" t="s">
        <v>167</v>
      </c>
      <c r="J344" s="60"/>
      <c r="K344" s="60" t="s">
        <v>40</v>
      </c>
      <c r="L344" s="60" t="s">
        <v>168</v>
      </c>
      <c r="M344" s="60" t="s">
        <v>105</v>
      </c>
      <c r="N344" s="60" t="s">
        <v>700</v>
      </c>
      <c r="O344" s="60" t="s">
        <v>105</v>
      </c>
      <c r="P344" s="63" t="s">
        <v>169</v>
      </c>
      <c r="Q344" s="60" t="s">
        <v>30</v>
      </c>
      <c r="R344" s="60" t="s">
        <v>8</v>
      </c>
      <c r="S344" s="60" t="s">
        <v>32</v>
      </c>
      <c r="T344" s="87" t="s">
        <v>430</v>
      </c>
    </row>
    <row r="345" spans="1:20" ht="12.75" customHeight="1" x14ac:dyDescent="0.2">
      <c r="A345" s="52"/>
      <c r="B345" s="43" t="s">
        <v>5</v>
      </c>
      <c r="C345" s="31">
        <f>SUM(D345:H345)</f>
        <v>285800</v>
      </c>
      <c r="D345" s="32">
        <f t="shared" ref="D345" si="144">SUM(D346:D349)</f>
        <v>285800</v>
      </c>
      <c r="E345" s="32">
        <f t="shared" ref="E345:G345" si="145">SUM(E346:E349)</f>
        <v>0</v>
      </c>
      <c r="F345" s="32">
        <f t="shared" si="145"/>
        <v>0</v>
      </c>
      <c r="G345" s="32">
        <f t="shared" si="145"/>
        <v>0</v>
      </c>
      <c r="H345" s="32">
        <f t="shared" ref="H345" si="146">SUM(H346:H349)</f>
        <v>0</v>
      </c>
      <c r="I345" s="61"/>
      <c r="J345" s="61"/>
      <c r="K345" s="61"/>
      <c r="L345" s="61"/>
      <c r="M345" s="61"/>
      <c r="N345" s="61"/>
      <c r="O345" s="61"/>
      <c r="P345" s="64"/>
      <c r="Q345" s="61"/>
      <c r="R345" s="61"/>
      <c r="S345" s="61"/>
      <c r="T345" s="87"/>
    </row>
    <row r="346" spans="1:20" ht="12.75" customHeight="1" x14ac:dyDescent="0.2">
      <c r="A346" s="52"/>
      <c r="B346" s="43" t="s">
        <v>0</v>
      </c>
      <c r="C346" s="31">
        <f t="shared" ref="C346:C349" si="147">SUM(D346:H346)</f>
        <v>241000</v>
      </c>
      <c r="D346" s="32">
        <f>150000+91000</f>
        <v>241000</v>
      </c>
      <c r="E346" s="32"/>
      <c r="F346" s="32"/>
      <c r="G346" s="32"/>
      <c r="H346" s="32"/>
      <c r="I346" s="61"/>
      <c r="J346" s="61"/>
      <c r="K346" s="61"/>
      <c r="L346" s="61"/>
      <c r="M346" s="61"/>
      <c r="N346" s="61"/>
      <c r="O346" s="61"/>
      <c r="P346" s="64"/>
      <c r="Q346" s="61"/>
      <c r="R346" s="61"/>
      <c r="S346" s="61"/>
      <c r="T346" s="87"/>
    </row>
    <row r="347" spans="1:20" ht="12.75" customHeight="1" x14ac:dyDescent="0.2">
      <c r="A347" s="52"/>
      <c r="B347" s="43" t="s">
        <v>1</v>
      </c>
      <c r="C347" s="31">
        <f t="shared" si="147"/>
        <v>44800</v>
      </c>
      <c r="D347" s="32">
        <f>40000+4800</f>
        <v>44800</v>
      </c>
      <c r="E347" s="32"/>
      <c r="F347" s="32"/>
      <c r="G347" s="32"/>
      <c r="H347" s="32"/>
      <c r="I347" s="61"/>
      <c r="J347" s="61"/>
      <c r="K347" s="61"/>
      <c r="L347" s="61"/>
      <c r="M347" s="61"/>
      <c r="N347" s="61"/>
      <c r="O347" s="61"/>
      <c r="P347" s="64"/>
      <c r="Q347" s="61"/>
      <c r="R347" s="61"/>
      <c r="S347" s="61"/>
      <c r="T347" s="87"/>
    </row>
    <row r="348" spans="1:20" ht="12.75" customHeight="1" x14ac:dyDescent="0.2">
      <c r="A348" s="52"/>
      <c r="B348" s="43" t="s">
        <v>2</v>
      </c>
      <c r="C348" s="31">
        <f t="shared" si="147"/>
        <v>0</v>
      </c>
      <c r="D348" s="32"/>
      <c r="E348" s="32"/>
      <c r="F348" s="32"/>
      <c r="G348" s="32"/>
      <c r="H348" s="32"/>
      <c r="I348" s="61"/>
      <c r="J348" s="61"/>
      <c r="K348" s="61"/>
      <c r="L348" s="61"/>
      <c r="M348" s="61"/>
      <c r="N348" s="61"/>
      <c r="O348" s="61"/>
      <c r="P348" s="64"/>
      <c r="Q348" s="61"/>
      <c r="R348" s="61"/>
      <c r="S348" s="61"/>
      <c r="T348" s="87"/>
    </row>
    <row r="349" spans="1:20" ht="12.75" customHeight="1" x14ac:dyDescent="0.2">
      <c r="A349" s="53"/>
      <c r="B349" s="43" t="s">
        <v>3</v>
      </c>
      <c r="C349" s="31">
        <f t="shared" si="147"/>
        <v>0</v>
      </c>
      <c r="D349" s="32"/>
      <c r="E349" s="32"/>
      <c r="F349" s="32"/>
      <c r="G349" s="32"/>
      <c r="H349" s="32"/>
      <c r="I349" s="62"/>
      <c r="J349" s="62"/>
      <c r="K349" s="62"/>
      <c r="L349" s="62"/>
      <c r="M349" s="62"/>
      <c r="N349" s="62"/>
      <c r="O349" s="62"/>
      <c r="P349" s="65"/>
      <c r="Q349" s="62"/>
      <c r="R349" s="62"/>
      <c r="S349" s="62"/>
      <c r="T349" s="87"/>
    </row>
    <row r="350" spans="1:20" x14ac:dyDescent="0.2">
      <c r="A350" s="51" t="s">
        <v>305</v>
      </c>
      <c r="B350" s="54" t="s">
        <v>700</v>
      </c>
      <c r="C350" s="54" t="s">
        <v>42</v>
      </c>
      <c r="D350" s="54"/>
      <c r="E350" s="54"/>
      <c r="F350" s="54"/>
      <c r="G350" s="54" t="s">
        <v>42</v>
      </c>
      <c r="H350" s="54"/>
      <c r="I350" s="54" t="s">
        <v>42</v>
      </c>
      <c r="J350" s="54" t="s">
        <v>42</v>
      </c>
      <c r="K350" s="54" t="s">
        <v>42</v>
      </c>
      <c r="L350" s="54" t="s">
        <v>42</v>
      </c>
      <c r="M350" s="54" t="s">
        <v>42</v>
      </c>
      <c r="N350" s="54" t="s">
        <v>42</v>
      </c>
      <c r="O350" s="54" t="s">
        <v>42</v>
      </c>
      <c r="P350" s="54" t="s">
        <v>42</v>
      </c>
      <c r="Q350" s="54" t="s">
        <v>42</v>
      </c>
      <c r="R350" s="54" t="s">
        <v>42</v>
      </c>
      <c r="S350" s="54" t="s">
        <v>42</v>
      </c>
      <c r="T350" s="55" t="s">
        <v>42</v>
      </c>
    </row>
    <row r="351" spans="1:20" x14ac:dyDescent="0.2">
      <c r="A351" s="52" t="s">
        <v>102</v>
      </c>
      <c r="B351" s="58" t="s">
        <v>165</v>
      </c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1:20" ht="50.1" customHeight="1" x14ac:dyDescent="0.2">
      <c r="A352" s="52"/>
      <c r="B352" s="72" t="s">
        <v>191</v>
      </c>
      <c r="C352" s="73"/>
      <c r="D352" s="73"/>
      <c r="E352" s="73"/>
      <c r="F352" s="73"/>
      <c r="G352" s="73"/>
      <c r="H352" s="74"/>
      <c r="I352" s="60" t="s">
        <v>446</v>
      </c>
      <c r="J352" s="60"/>
      <c r="K352" s="60" t="s">
        <v>40</v>
      </c>
      <c r="L352" s="60" t="s">
        <v>168</v>
      </c>
      <c r="M352" s="60" t="s">
        <v>105</v>
      </c>
      <c r="N352" s="60" t="s">
        <v>700</v>
      </c>
      <c r="O352" s="60" t="s">
        <v>105</v>
      </c>
      <c r="P352" s="63" t="s">
        <v>170</v>
      </c>
      <c r="Q352" s="60" t="s">
        <v>30</v>
      </c>
      <c r="R352" s="60" t="s">
        <v>8</v>
      </c>
      <c r="S352" s="60" t="s">
        <v>32</v>
      </c>
      <c r="T352" s="87" t="s">
        <v>431</v>
      </c>
    </row>
    <row r="353" spans="1:20" ht="12.75" customHeight="1" x14ac:dyDescent="0.2">
      <c r="A353" s="52"/>
      <c r="B353" s="43" t="s">
        <v>5</v>
      </c>
      <c r="C353" s="31">
        <f>SUM(D353:H353)</f>
        <v>283700</v>
      </c>
      <c r="D353" s="32">
        <f t="shared" ref="D353" si="148">SUM(D354:D357)</f>
        <v>283700</v>
      </c>
      <c r="E353" s="32">
        <f t="shared" ref="E353:G353" si="149">SUM(E354:E357)</f>
        <v>0</v>
      </c>
      <c r="F353" s="32">
        <f t="shared" si="149"/>
        <v>0</v>
      </c>
      <c r="G353" s="32">
        <f t="shared" si="149"/>
        <v>0</v>
      </c>
      <c r="H353" s="32">
        <f t="shared" ref="H353" si="150">SUM(H354:H357)</f>
        <v>0</v>
      </c>
      <c r="I353" s="61"/>
      <c r="J353" s="61"/>
      <c r="K353" s="61"/>
      <c r="L353" s="61"/>
      <c r="M353" s="61"/>
      <c r="N353" s="61"/>
      <c r="O353" s="61"/>
      <c r="P353" s="64"/>
      <c r="Q353" s="61"/>
      <c r="R353" s="61"/>
      <c r="S353" s="61"/>
      <c r="T353" s="87"/>
    </row>
    <row r="354" spans="1:20" ht="12.75" customHeight="1" x14ac:dyDescent="0.2">
      <c r="A354" s="52"/>
      <c r="B354" s="43" t="s">
        <v>0</v>
      </c>
      <c r="C354" s="31">
        <f t="shared" ref="C354:C357" si="151">SUM(D354:H354)</f>
        <v>239000</v>
      </c>
      <c r="D354" s="32">
        <f>150000+89000</f>
        <v>239000</v>
      </c>
      <c r="E354" s="32"/>
      <c r="F354" s="32"/>
      <c r="G354" s="32"/>
      <c r="H354" s="32"/>
      <c r="I354" s="61"/>
      <c r="J354" s="61"/>
      <c r="K354" s="61"/>
      <c r="L354" s="61"/>
      <c r="M354" s="61"/>
      <c r="N354" s="61"/>
      <c r="O354" s="61"/>
      <c r="P354" s="64"/>
      <c r="Q354" s="61"/>
      <c r="R354" s="61"/>
      <c r="S354" s="61"/>
      <c r="T354" s="87"/>
    </row>
    <row r="355" spans="1:20" ht="12.75" customHeight="1" x14ac:dyDescent="0.2">
      <c r="A355" s="52"/>
      <c r="B355" s="43" t="s">
        <v>1</v>
      </c>
      <c r="C355" s="31">
        <f t="shared" si="151"/>
        <v>44700</v>
      </c>
      <c r="D355" s="32">
        <f>40000+4700</f>
        <v>44700</v>
      </c>
      <c r="E355" s="32"/>
      <c r="F355" s="32"/>
      <c r="G355" s="32"/>
      <c r="H355" s="32"/>
      <c r="I355" s="61"/>
      <c r="J355" s="61"/>
      <c r="K355" s="61"/>
      <c r="L355" s="61"/>
      <c r="M355" s="61"/>
      <c r="N355" s="61"/>
      <c r="O355" s="61"/>
      <c r="P355" s="64"/>
      <c r="Q355" s="61"/>
      <c r="R355" s="61"/>
      <c r="S355" s="61"/>
      <c r="T355" s="87"/>
    </row>
    <row r="356" spans="1:20" ht="12.75" customHeight="1" x14ac:dyDescent="0.2">
      <c r="A356" s="52"/>
      <c r="B356" s="43" t="s">
        <v>2</v>
      </c>
      <c r="C356" s="31">
        <f t="shared" si="151"/>
        <v>0</v>
      </c>
      <c r="D356" s="32"/>
      <c r="E356" s="32"/>
      <c r="F356" s="32"/>
      <c r="G356" s="32"/>
      <c r="H356" s="32"/>
      <c r="I356" s="61"/>
      <c r="J356" s="61"/>
      <c r="K356" s="61"/>
      <c r="L356" s="61"/>
      <c r="M356" s="61"/>
      <c r="N356" s="61"/>
      <c r="O356" s="61"/>
      <c r="P356" s="64"/>
      <c r="Q356" s="61"/>
      <c r="R356" s="61"/>
      <c r="S356" s="61"/>
      <c r="T356" s="87"/>
    </row>
    <row r="357" spans="1:20" ht="12.75" customHeight="1" x14ac:dyDescent="0.2">
      <c r="A357" s="53"/>
      <c r="B357" s="43" t="s">
        <v>3</v>
      </c>
      <c r="C357" s="31">
        <f t="shared" si="151"/>
        <v>0</v>
      </c>
      <c r="D357" s="32"/>
      <c r="E357" s="32"/>
      <c r="F357" s="32"/>
      <c r="G357" s="32"/>
      <c r="H357" s="32"/>
      <c r="I357" s="62"/>
      <c r="J357" s="62"/>
      <c r="K357" s="62"/>
      <c r="L357" s="62"/>
      <c r="M357" s="62"/>
      <c r="N357" s="62"/>
      <c r="O357" s="62"/>
      <c r="P357" s="65"/>
      <c r="Q357" s="62"/>
      <c r="R357" s="62"/>
      <c r="S357" s="62"/>
      <c r="T357" s="87"/>
    </row>
    <row r="358" spans="1:20" x14ac:dyDescent="0.2">
      <c r="A358" s="69" t="s">
        <v>357</v>
      </c>
      <c r="B358" s="85" t="s">
        <v>66</v>
      </c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6"/>
    </row>
    <row r="359" spans="1:20" x14ac:dyDescent="0.2">
      <c r="A359" s="70" t="s">
        <v>102</v>
      </c>
      <c r="B359" s="79" t="s">
        <v>171</v>
      </c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</row>
    <row r="360" spans="1:20" ht="50.1" customHeight="1" x14ac:dyDescent="0.2">
      <c r="A360" s="70"/>
      <c r="B360" s="100" t="s">
        <v>172</v>
      </c>
      <c r="C360" s="101"/>
      <c r="D360" s="101"/>
      <c r="E360" s="101"/>
      <c r="F360" s="101"/>
      <c r="G360" s="101"/>
      <c r="H360" s="102"/>
      <c r="I360" s="66" t="s">
        <v>22</v>
      </c>
      <c r="J360" s="66"/>
      <c r="K360" s="66" t="s">
        <v>99</v>
      </c>
      <c r="L360" s="66"/>
      <c r="M360" s="66" t="s">
        <v>66</v>
      </c>
      <c r="N360" s="66" t="s">
        <v>66</v>
      </c>
      <c r="O360" s="66" t="s">
        <v>66</v>
      </c>
      <c r="P360" s="103"/>
      <c r="Q360" s="66"/>
      <c r="R360" s="66"/>
      <c r="S360" s="66" t="s">
        <v>131</v>
      </c>
      <c r="T360" s="78"/>
    </row>
    <row r="361" spans="1:20" ht="12.75" customHeight="1" x14ac:dyDescent="0.2">
      <c r="A361" s="70"/>
      <c r="B361" s="14" t="s">
        <v>5</v>
      </c>
      <c r="C361" s="15">
        <f>SUM(D361:H361)</f>
        <v>717929.43117</v>
      </c>
      <c r="D361" s="16">
        <f t="shared" ref="D361" si="152">SUM(D362:D365)</f>
        <v>9373.77117</v>
      </c>
      <c r="E361" s="16">
        <f t="shared" ref="E361:G361" si="153">SUM(E362:E365)</f>
        <v>0</v>
      </c>
      <c r="F361" s="16">
        <f t="shared" si="153"/>
        <v>0</v>
      </c>
      <c r="G361" s="16">
        <f t="shared" si="153"/>
        <v>354277.83</v>
      </c>
      <c r="H361" s="16">
        <f t="shared" ref="H361" si="154">SUM(H362:H365)</f>
        <v>354277.83</v>
      </c>
      <c r="I361" s="67"/>
      <c r="J361" s="67"/>
      <c r="K361" s="67"/>
      <c r="L361" s="67"/>
      <c r="M361" s="67"/>
      <c r="N361" s="67"/>
      <c r="O361" s="67"/>
      <c r="P361" s="104"/>
      <c r="Q361" s="67"/>
      <c r="R361" s="67"/>
      <c r="S361" s="67"/>
      <c r="T361" s="78"/>
    </row>
    <row r="362" spans="1:20" ht="12.75" customHeight="1" x14ac:dyDescent="0.2">
      <c r="A362" s="70"/>
      <c r="B362" s="14" t="s">
        <v>0</v>
      </c>
      <c r="C362" s="15">
        <f t="shared" ref="C362:C365" si="155">SUM(D362:H362)</f>
        <v>0</v>
      </c>
      <c r="D362" s="16"/>
      <c r="E362" s="16"/>
      <c r="F362" s="16"/>
      <c r="G362" s="16"/>
      <c r="H362" s="16"/>
      <c r="I362" s="67"/>
      <c r="J362" s="67"/>
      <c r="K362" s="67"/>
      <c r="L362" s="67"/>
      <c r="M362" s="67"/>
      <c r="N362" s="67"/>
      <c r="O362" s="67"/>
      <c r="P362" s="104"/>
      <c r="Q362" s="67"/>
      <c r="R362" s="67"/>
      <c r="S362" s="67"/>
      <c r="T362" s="78"/>
    </row>
    <row r="363" spans="1:20" ht="12.75" customHeight="1" x14ac:dyDescent="0.2">
      <c r="A363" s="70"/>
      <c r="B363" s="14" t="s">
        <v>1</v>
      </c>
      <c r="C363" s="15">
        <f t="shared" si="155"/>
        <v>717929.43117</v>
      </c>
      <c r="D363" s="16">
        <f>53719.9614-44346.19023</f>
        <v>9373.77117</v>
      </c>
      <c r="E363" s="16">
        <v>0</v>
      </c>
      <c r="F363" s="16">
        <v>0</v>
      </c>
      <c r="G363" s="16">
        <v>354277.83</v>
      </c>
      <c r="H363" s="16">
        <v>354277.83</v>
      </c>
      <c r="I363" s="67"/>
      <c r="J363" s="67"/>
      <c r="K363" s="67"/>
      <c r="L363" s="67"/>
      <c r="M363" s="67"/>
      <c r="N363" s="67"/>
      <c r="O363" s="67"/>
      <c r="P363" s="104"/>
      <c r="Q363" s="67"/>
      <c r="R363" s="67"/>
      <c r="S363" s="67"/>
      <c r="T363" s="78"/>
    </row>
    <row r="364" spans="1:20" ht="12.75" customHeight="1" x14ac:dyDescent="0.2">
      <c r="A364" s="70"/>
      <c r="B364" s="14" t="s">
        <v>2</v>
      </c>
      <c r="C364" s="15">
        <f t="shared" si="155"/>
        <v>0</v>
      </c>
      <c r="D364" s="16"/>
      <c r="E364" s="16"/>
      <c r="F364" s="16"/>
      <c r="G364" s="16"/>
      <c r="H364" s="16"/>
      <c r="I364" s="67"/>
      <c r="J364" s="67"/>
      <c r="K364" s="67"/>
      <c r="L364" s="67"/>
      <c r="M364" s="67"/>
      <c r="N364" s="67"/>
      <c r="O364" s="67"/>
      <c r="P364" s="104"/>
      <c r="Q364" s="67"/>
      <c r="R364" s="67"/>
      <c r="S364" s="67"/>
      <c r="T364" s="78"/>
    </row>
    <row r="365" spans="1:20" ht="12.75" customHeight="1" x14ac:dyDescent="0.2">
      <c r="A365" s="71"/>
      <c r="B365" s="14" t="s">
        <v>3</v>
      </c>
      <c r="C365" s="15">
        <f t="shared" si="155"/>
        <v>0</v>
      </c>
      <c r="D365" s="16"/>
      <c r="E365" s="16"/>
      <c r="F365" s="16"/>
      <c r="G365" s="16"/>
      <c r="H365" s="16"/>
      <c r="I365" s="68"/>
      <c r="J365" s="68"/>
      <c r="K365" s="68"/>
      <c r="L365" s="68"/>
      <c r="M365" s="68"/>
      <c r="N365" s="68"/>
      <c r="O365" s="68"/>
      <c r="P365" s="105"/>
      <c r="Q365" s="68"/>
      <c r="R365" s="68"/>
      <c r="S365" s="68"/>
      <c r="T365" s="78"/>
    </row>
    <row r="366" spans="1:20" x14ac:dyDescent="0.2">
      <c r="A366" s="69" t="s">
        <v>358</v>
      </c>
      <c r="B366" s="85" t="s">
        <v>66</v>
      </c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6"/>
    </row>
    <row r="367" spans="1:20" x14ac:dyDescent="0.2">
      <c r="A367" s="70" t="s">
        <v>102</v>
      </c>
      <c r="B367" s="79" t="s">
        <v>171</v>
      </c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</row>
    <row r="368" spans="1:20" ht="50.1" customHeight="1" x14ac:dyDescent="0.2">
      <c r="A368" s="70"/>
      <c r="B368" s="100" t="s">
        <v>208</v>
      </c>
      <c r="C368" s="101"/>
      <c r="D368" s="101"/>
      <c r="E368" s="101"/>
      <c r="F368" s="101"/>
      <c r="G368" s="101"/>
      <c r="H368" s="102"/>
      <c r="I368" s="66" t="s">
        <v>13</v>
      </c>
      <c r="J368" s="66"/>
      <c r="K368" s="66" t="s">
        <v>99</v>
      </c>
      <c r="L368" s="66"/>
      <c r="M368" s="66" t="s">
        <v>66</v>
      </c>
      <c r="N368" s="66" t="s">
        <v>66</v>
      </c>
      <c r="O368" s="66" t="s">
        <v>66</v>
      </c>
      <c r="P368" s="103"/>
      <c r="Q368" s="66"/>
      <c r="R368" s="66"/>
      <c r="S368" s="66" t="s">
        <v>131</v>
      </c>
      <c r="T368" s="78"/>
    </row>
    <row r="369" spans="1:20" ht="12.75" customHeight="1" x14ac:dyDescent="0.2">
      <c r="A369" s="70"/>
      <c r="B369" s="14" t="s">
        <v>5</v>
      </c>
      <c r="C369" s="15">
        <f>SUM(D369:H369)</f>
        <v>93353.103999999992</v>
      </c>
      <c r="D369" s="16">
        <f t="shared" ref="D369" si="156">SUM(D370:D373)</f>
        <v>53112.229999999996</v>
      </c>
      <c r="E369" s="16">
        <f t="shared" ref="E369:G369" si="157">SUM(E370:E373)</f>
        <v>0</v>
      </c>
      <c r="F369" s="16">
        <f t="shared" si="157"/>
        <v>0</v>
      </c>
      <c r="G369" s="16">
        <f t="shared" si="157"/>
        <v>22116.73</v>
      </c>
      <c r="H369" s="16">
        <f t="shared" ref="H369" si="158">SUM(H370:H373)</f>
        <v>18124.144</v>
      </c>
      <c r="I369" s="67"/>
      <c r="J369" s="67"/>
      <c r="K369" s="67"/>
      <c r="L369" s="67"/>
      <c r="M369" s="67"/>
      <c r="N369" s="67"/>
      <c r="O369" s="67"/>
      <c r="P369" s="104"/>
      <c r="Q369" s="67"/>
      <c r="R369" s="67"/>
      <c r="S369" s="67"/>
      <c r="T369" s="78"/>
    </row>
    <row r="370" spans="1:20" ht="12.75" customHeight="1" x14ac:dyDescent="0.2">
      <c r="A370" s="70"/>
      <c r="B370" s="14" t="s">
        <v>0</v>
      </c>
      <c r="C370" s="15">
        <f t="shared" ref="C370:C373" si="159">SUM(D370:H370)</f>
        <v>0</v>
      </c>
      <c r="D370" s="16"/>
      <c r="E370" s="16"/>
      <c r="F370" s="16"/>
      <c r="G370" s="16"/>
      <c r="H370" s="16"/>
      <c r="I370" s="67"/>
      <c r="J370" s="67"/>
      <c r="K370" s="67"/>
      <c r="L370" s="67"/>
      <c r="M370" s="67"/>
      <c r="N370" s="67"/>
      <c r="O370" s="67"/>
      <c r="P370" s="104"/>
      <c r="Q370" s="67"/>
      <c r="R370" s="67"/>
      <c r="S370" s="67"/>
      <c r="T370" s="78"/>
    </row>
    <row r="371" spans="1:20" ht="12.75" customHeight="1" x14ac:dyDescent="0.2">
      <c r="A371" s="70"/>
      <c r="B371" s="14" t="s">
        <v>1</v>
      </c>
      <c r="C371" s="15">
        <f t="shared" si="159"/>
        <v>93353.103999999992</v>
      </c>
      <c r="D371" s="16">
        <f>78112.23-25000</f>
        <v>53112.229999999996</v>
      </c>
      <c r="E371" s="16">
        <v>0</v>
      </c>
      <c r="F371" s="16">
        <v>0</v>
      </c>
      <c r="G371" s="16">
        <v>22116.73</v>
      </c>
      <c r="H371" s="16">
        <v>18124.144</v>
      </c>
      <c r="I371" s="67"/>
      <c r="J371" s="67"/>
      <c r="K371" s="67"/>
      <c r="L371" s="67"/>
      <c r="M371" s="67"/>
      <c r="N371" s="67"/>
      <c r="O371" s="67"/>
      <c r="P371" s="104"/>
      <c r="Q371" s="67"/>
      <c r="R371" s="67"/>
      <c r="S371" s="67"/>
      <c r="T371" s="78"/>
    </row>
    <row r="372" spans="1:20" ht="12.75" customHeight="1" x14ac:dyDescent="0.2">
      <c r="A372" s="70"/>
      <c r="B372" s="14" t="s">
        <v>2</v>
      </c>
      <c r="C372" s="15">
        <f t="shared" si="159"/>
        <v>0</v>
      </c>
      <c r="D372" s="16"/>
      <c r="E372" s="16"/>
      <c r="F372" s="16"/>
      <c r="G372" s="16"/>
      <c r="H372" s="16"/>
      <c r="I372" s="67"/>
      <c r="J372" s="67"/>
      <c r="K372" s="67"/>
      <c r="L372" s="67"/>
      <c r="M372" s="67"/>
      <c r="N372" s="67"/>
      <c r="O372" s="67"/>
      <c r="P372" s="104"/>
      <c r="Q372" s="67"/>
      <c r="R372" s="67"/>
      <c r="S372" s="67"/>
      <c r="T372" s="78"/>
    </row>
    <row r="373" spans="1:20" ht="12.75" customHeight="1" x14ac:dyDescent="0.2">
      <c r="A373" s="71"/>
      <c r="B373" s="14" t="s">
        <v>3</v>
      </c>
      <c r="C373" s="15">
        <f t="shared" si="159"/>
        <v>0</v>
      </c>
      <c r="D373" s="16"/>
      <c r="E373" s="16"/>
      <c r="F373" s="16"/>
      <c r="G373" s="16"/>
      <c r="H373" s="16"/>
      <c r="I373" s="68"/>
      <c r="J373" s="68"/>
      <c r="K373" s="68"/>
      <c r="L373" s="68"/>
      <c r="M373" s="68"/>
      <c r="N373" s="68"/>
      <c r="O373" s="68"/>
      <c r="P373" s="105"/>
      <c r="Q373" s="68"/>
      <c r="R373" s="68"/>
      <c r="S373" s="68"/>
      <c r="T373" s="78"/>
    </row>
    <row r="374" spans="1:20" x14ac:dyDescent="0.2">
      <c r="A374" s="51" t="s">
        <v>359</v>
      </c>
      <c r="B374" s="149" t="s">
        <v>700</v>
      </c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</row>
    <row r="375" spans="1:20" x14ac:dyDescent="0.2">
      <c r="A375" s="52" t="s">
        <v>102</v>
      </c>
      <c r="B375" s="58" t="s">
        <v>165</v>
      </c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</row>
    <row r="376" spans="1:20" ht="50.1" customHeight="1" x14ac:dyDescent="0.2">
      <c r="A376" s="52"/>
      <c r="B376" s="59" t="s">
        <v>209</v>
      </c>
      <c r="C376" s="54"/>
      <c r="D376" s="54"/>
      <c r="E376" s="54"/>
      <c r="F376" s="54"/>
      <c r="G376" s="54"/>
      <c r="H376" s="55"/>
      <c r="I376" s="60" t="s">
        <v>24</v>
      </c>
      <c r="J376" s="60"/>
      <c r="K376" s="60" t="s">
        <v>40</v>
      </c>
      <c r="L376" s="60"/>
      <c r="M376" s="60" t="s">
        <v>105</v>
      </c>
      <c r="N376" s="60" t="s">
        <v>700</v>
      </c>
      <c r="O376" s="60" t="s">
        <v>105</v>
      </c>
      <c r="P376" s="63"/>
      <c r="Q376" s="60" t="s">
        <v>30</v>
      </c>
      <c r="R376" s="60" t="s">
        <v>39</v>
      </c>
      <c r="S376" s="60" t="s">
        <v>32</v>
      </c>
      <c r="T376" s="87" t="s">
        <v>432</v>
      </c>
    </row>
    <row r="377" spans="1:20" ht="12.75" customHeight="1" x14ac:dyDescent="0.2">
      <c r="A377" s="52"/>
      <c r="B377" s="30" t="s">
        <v>5</v>
      </c>
      <c r="C377" s="31">
        <f>SUM(D377:H377)</f>
        <v>1540040.4706999999</v>
      </c>
      <c r="D377" s="32">
        <f t="shared" ref="D377" si="160">SUM(D378:D381)</f>
        <v>108263.1416</v>
      </c>
      <c r="E377" s="32">
        <f t="shared" ref="E377" si="161">SUM(E378:E381)</f>
        <v>382051.36</v>
      </c>
      <c r="F377" s="32">
        <f t="shared" ref="F377" si="162">SUM(F378:F381)</f>
        <v>717778.26699999999</v>
      </c>
      <c r="G377" s="32">
        <f t="shared" ref="G377" si="163">SUM(G378:G381)</f>
        <v>331947.70209999999</v>
      </c>
      <c r="H377" s="32">
        <f t="shared" ref="H377" si="164">SUM(H378:H381)</f>
        <v>0</v>
      </c>
      <c r="I377" s="61"/>
      <c r="J377" s="61"/>
      <c r="K377" s="61"/>
      <c r="L377" s="61"/>
      <c r="M377" s="61"/>
      <c r="N377" s="61"/>
      <c r="O377" s="61"/>
      <c r="P377" s="64"/>
      <c r="Q377" s="61"/>
      <c r="R377" s="61"/>
      <c r="S377" s="61"/>
      <c r="T377" s="87"/>
    </row>
    <row r="378" spans="1:20" ht="12.75" customHeight="1" x14ac:dyDescent="0.2">
      <c r="A378" s="52"/>
      <c r="B378" s="30" t="s">
        <v>0</v>
      </c>
      <c r="C378" s="31">
        <f t="shared" ref="C378:C381" si="165">SUM(D378:H378)</f>
        <v>606087.11600000004</v>
      </c>
      <c r="D378" s="32">
        <v>100000</v>
      </c>
      <c r="E378" s="32">
        <v>85297.4</v>
      </c>
      <c r="F378" s="32">
        <v>420789.71600000001</v>
      </c>
      <c r="G378" s="32"/>
      <c r="H378" s="32"/>
      <c r="I378" s="61"/>
      <c r="J378" s="61"/>
      <c r="K378" s="61"/>
      <c r="L378" s="61"/>
      <c r="M378" s="61"/>
      <c r="N378" s="61"/>
      <c r="O378" s="61"/>
      <c r="P378" s="64"/>
      <c r="Q378" s="61"/>
      <c r="R378" s="61"/>
      <c r="S378" s="61"/>
      <c r="T378" s="87"/>
    </row>
    <row r="379" spans="1:20" ht="12.75" customHeight="1" x14ac:dyDescent="0.2">
      <c r="A379" s="52"/>
      <c r="B379" s="30" t="s">
        <v>1</v>
      </c>
      <c r="C379" s="31">
        <f t="shared" si="165"/>
        <v>933953.35470000003</v>
      </c>
      <c r="D379" s="32">
        <f>38263.1416-30000</f>
        <v>8263.1416000000027</v>
      </c>
      <c r="E379" s="32">
        <v>296753.96000000002</v>
      </c>
      <c r="F379" s="32">
        <v>296988.55099999998</v>
      </c>
      <c r="G379" s="32">
        <v>331947.70209999999</v>
      </c>
      <c r="H379" s="32"/>
      <c r="I379" s="61"/>
      <c r="J379" s="61"/>
      <c r="K379" s="61"/>
      <c r="L379" s="61"/>
      <c r="M379" s="61"/>
      <c r="N379" s="61"/>
      <c r="O379" s="61"/>
      <c r="P379" s="64"/>
      <c r="Q379" s="61"/>
      <c r="R379" s="61"/>
      <c r="S379" s="61"/>
      <c r="T379" s="87"/>
    </row>
    <row r="380" spans="1:20" ht="12.75" customHeight="1" x14ac:dyDescent="0.2">
      <c r="A380" s="52"/>
      <c r="B380" s="30" t="s">
        <v>2</v>
      </c>
      <c r="C380" s="31">
        <f t="shared" si="165"/>
        <v>0</v>
      </c>
      <c r="D380" s="32"/>
      <c r="E380" s="32"/>
      <c r="F380" s="32"/>
      <c r="G380" s="32"/>
      <c r="H380" s="32"/>
      <c r="I380" s="61"/>
      <c r="J380" s="61"/>
      <c r="K380" s="61"/>
      <c r="L380" s="61"/>
      <c r="M380" s="61"/>
      <c r="N380" s="61"/>
      <c r="O380" s="61"/>
      <c r="P380" s="64"/>
      <c r="Q380" s="61"/>
      <c r="R380" s="61"/>
      <c r="S380" s="61"/>
      <c r="T380" s="87"/>
    </row>
    <row r="381" spans="1:20" ht="12.75" customHeight="1" x14ac:dyDescent="0.2">
      <c r="A381" s="53"/>
      <c r="B381" s="30" t="s">
        <v>3</v>
      </c>
      <c r="C381" s="31">
        <f t="shared" si="165"/>
        <v>0</v>
      </c>
      <c r="D381" s="32"/>
      <c r="E381" s="32"/>
      <c r="F381" s="32"/>
      <c r="G381" s="32"/>
      <c r="H381" s="32"/>
      <c r="I381" s="62"/>
      <c r="J381" s="62"/>
      <c r="K381" s="62"/>
      <c r="L381" s="62"/>
      <c r="M381" s="62"/>
      <c r="N381" s="62"/>
      <c r="O381" s="62"/>
      <c r="P381" s="65"/>
      <c r="Q381" s="62"/>
      <c r="R381" s="62"/>
      <c r="S381" s="62"/>
      <c r="T381" s="87"/>
    </row>
    <row r="382" spans="1:20" x14ac:dyDescent="0.2">
      <c r="A382" s="51" t="s">
        <v>360</v>
      </c>
      <c r="B382" s="149" t="s">
        <v>700</v>
      </c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</row>
    <row r="383" spans="1:20" x14ac:dyDescent="0.2">
      <c r="A383" s="52" t="s">
        <v>102</v>
      </c>
      <c r="B383" s="58" t="s">
        <v>166</v>
      </c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</row>
    <row r="384" spans="1:20" ht="50.1" customHeight="1" x14ac:dyDescent="0.2">
      <c r="A384" s="52"/>
      <c r="B384" s="59" t="s">
        <v>210</v>
      </c>
      <c r="C384" s="54"/>
      <c r="D384" s="54"/>
      <c r="E384" s="54"/>
      <c r="F384" s="54"/>
      <c r="G384" s="54"/>
      <c r="H384" s="55"/>
      <c r="I384" s="60" t="s">
        <v>22</v>
      </c>
      <c r="J384" s="60"/>
      <c r="K384" s="60" t="s">
        <v>40</v>
      </c>
      <c r="L384" s="60"/>
      <c r="M384" s="60" t="s">
        <v>105</v>
      </c>
      <c r="N384" s="60" t="s">
        <v>700</v>
      </c>
      <c r="O384" s="60" t="s">
        <v>105</v>
      </c>
      <c r="P384" s="63" t="s">
        <v>211</v>
      </c>
      <c r="Q384" s="60"/>
      <c r="R384" s="60" t="s">
        <v>35</v>
      </c>
      <c r="S384" s="60" t="s">
        <v>31</v>
      </c>
      <c r="T384" s="87" t="s">
        <v>433</v>
      </c>
    </row>
    <row r="385" spans="1:20" ht="12.75" customHeight="1" x14ac:dyDescent="0.2">
      <c r="A385" s="52"/>
      <c r="B385" s="30" t="s">
        <v>5</v>
      </c>
      <c r="C385" s="31">
        <f>SUM(D385:H385)</f>
        <v>191092.19647000002</v>
      </c>
      <c r="D385" s="31">
        <f t="shared" ref="D385" si="166">SUM(D386:D389)</f>
        <v>191092.19647000002</v>
      </c>
      <c r="E385" s="32">
        <f t="shared" ref="E385:G385" si="167">SUM(E386:E389)</f>
        <v>0</v>
      </c>
      <c r="F385" s="32">
        <f t="shared" si="167"/>
        <v>0</v>
      </c>
      <c r="G385" s="32">
        <f t="shared" si="167"/>
        <v>0</v>
      </c>
      <c r="H385" s="32">
        <f t="shared" ref="H385" si="168">SUM(H386:H389)</f>
        <v>0</v>
      </c>
      <c r="I385" s="61"/>
      <c r="J385" s="61"/>
      <c r="K385" s="61"/>
      <c r="L385" s="61"/>
      <c r="M385" s="61"/>
      <c r="N385" s="61"/>
      <c r="O385" s="61"/>
      <c r="P385" s="64"/>
      <c r="Q385" s="61"/>
      <c r="R385" s="61"/>
      <c r="S385" s="61"/>
      <c r="T385" s="87"/>
    </row>
    <row r="386" spans="1:20" ht="12.75" customHeight="1" x14ac:dyDescent="0.2">
      <c r="A386" s="52"/>
      <c r="B386" s="30" t="s">
        <v>0</v>
      </c>
      <c r="C386" s="31">
        <f t="shared" ref="C386:C389" si="169">SUM(D386:H386)</f>
        <v>88084.3</v>
      </c>
      <c r="D386" s="32">
        <v>88084.3</v>
      </c>
      <c r="E386" s="32"/>
      <c r="F386" s="32"/>
      <c r="G386" s="32"/>
      <c r="H386" s="32"/>
      <c r="I386" s="61"/>
      <c r="J386" s="61"/>
      <c r="K386" s="61"/>
      <c r="L386" s="61"/>
      <c r="M386" s="61"/>
      <c r="N386" s="61"/>
      <c r="O386" s="61"/>
      <c r="P386" s="64"/>
      <c r="Q386" s="61"/>
      <c r="R386" s="61"/>
      <c r="S386" s="61"/>
      <c r="T386" s="87"/>
    </row>
    <row r="387" spans="1:20" ht="12.75" customHeight="1" x14ac:dyDescent="0.2">
      <c r="A387" s="52"/>
      <c r="B387" s="30" t="s">
        <v>1</v>
      </c>
      <c r="C387" s="31">
        <f t="shared" si="169"/>
        <v>103007.89647000001</v>
      </c>
      <c r="D387" s="32">
        <f>38120.83+38000+26887.06647</f>
        <v>103007.89647000001</v>
      </c>
      <c r="E387" s="32"/>
      <c r="F387" s="32"/>
      <c r="G387" s="32"/>
      <c r="H387" s="32"/>
      <c r="I387" s="61"/>
      <c r="J387" s="61"/>
      <c r="K387" s="61"/>
      <c r="L387" s="61"/>
      <c r="M387" s="61"/>
      <c r="N387" s="61"/>
      <c r="O387" s="61"/>
      <c r="P387" s="64"/>
      <c r="Q387" s="61"/>
      <c r="R387" s="61"/>
      <c r="S387" s="61"/>
      <c r="T387" s="87"/>
    </row>
    <row r="388" spans="1:20" ht="12.75" customHeight="1" x14ac:dyDescent="0.2">
      <c r="A388" s="52"/>
      <c r="B388" s="30" t="s">
        <v>2</v>
      </c>
      <c r="C388" s="31">
        <f t="shared" si="169"/>
        <v>0</v>
      </c>
      <c r="D388" s="32"/>
      <c r="E388" s="32"/>
      <c r="F388" s="32"/>
      <c r="G388" s="32"/>
      <c r="H388" s="32"/>
      <c r="I388" s="61"/>
      <c r="J388" s="61"/>
      <c r="K388" s="61"/>
      <c r="L388" s="61"/>
      <c r="M388" s="61"/>
      <c r="N388" s="61"/>
      <c r="O388" s="61"/>
      <c r="P388" s="64"/>
      <c r="Q388" s="61"/>
      <c r="R388" s="61"/>
      <c r="S388" s="61"/>
      <c r="T388" s="87"/>
    </row>
    <row r="389" spans="1:20" ht="12.75" customHeight="1" x14ac:dyDescent="0.2">
      <c r="A389" s="53"/>
      <c r="B389" s="30" t="s">
        <v>3</v>
      </c>
      <c r="C389" s="31">
        <f t="shared" si="169"/>
        <v>0</v>
      </c>
      <c r="D389" s="32"/>
      <c r="E389" s="32"/>
      <c r="F389" s="32"/>
      <c r="G389" s="32"/>
      <c r="H389" s="32"/>
      <c r="I389" s="62"/>
      <c r="J389" s="62"/>
      <c r="K389" s="62"/>
      <c r="L389" s="62"/>
      <c r="M389" s="62"/>
      <c r="N389" s="62"/>
      <c r="O389" s="62"/>
      <c r="P389" s="65"/>
      <c r="Q389" s="62"/>
      <c r="R389" s="62"/>
      <c r="S389" s="62"/>
      <c r="T389" s="87"/>
    </row>
    <row r="390" spans="1:20" x14ac:dyDescent="0.2">
      <c r="A390" s="51" t="s">
        <v>361</v>
      </c>
      <c r="B390" s="54" t="s">
        <v>700</v>
      </c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5"/>
    </row>
    <row r="391" spans="1:20" ht="28.5" customHeight="1" x14ac:dyDescent="0.2">
      <c r="A391" s="52" t="s">
        <v>102</v>
      </c>
      <c r="B391" s="58" t="s">
        <v>212</v>
      </c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</row>
    <row r="392" spans="1:20" ht="50.1" customHeight="1" x14ac:dyDescent="0.2">
      <c r="A392" s="52"/>
      <c r="B392" s="72" t="s">
        <v>338</v>
      </c>
      <c r="C392" s="73"/>
      <c r="D392" s="73"/>
      <c r="E392" s="73"/>
      <c r="F392" s="73"/>
      <c r="G392" s="73"/>
      <c r="H392" s="74"/>
      <c r="I392" s="60" t="s">
        <v>24</v>
      </c>
      <c r="J392" s="60"/>
      <c r="K392" s="60" t="s">
        <v>40</v>
      </c>
      <c r="L392" s="60"/>
      <c r="M392" s="60" t="s">
        <v>105</v>
      </c>
      <c r="N392" s="60" t="s">
        <v>700</v>
      </c>
      <c r="O392" s="60" t="s">
        <v>105</v>
      </c>
      <c r="P392" s="63"/>
      <c r="Q392" s="60" t="s">
        <v>30</v>
      </c>
      <c r="R392" s="60" t="s">
        <v>8</v>
      </c>
      <c r="S392" s="60" t="s">
        <v>32</v>
      </c>
      <c r="T392" s="87"/>
    </row>
    <row r="393" spans="1:20" ht="12.75" customHeight="1" x14ac:dyDescent="0.2">
      <c r="A393" s="52"/>
      <c r="B393" s="30" t="s">
        <v>5</v>
      </c>
      <c r="C393" s="31">
        <f>SUM(D393:H393)</f>
        <v>323828.98862999998</v>
      </c>
      <c r="D393" s="32">
        <f t="shared" ref="D393" si="170">SUM(D394:D397)</f>
        <v>62397.178629999995</v>
      </c>
      <c r="E393" s="32">
        <f t="shared" ref="E393:F393" si="171">SUM(E394:E397)</f>
        <v>261431.81</v>
      </c>
      <c r="F393" s="32">
        <f t="shared" si="171"/>
        <v>0</v>
      </c>
      <c r="G393" s="32">
        <f t="shared" ref="G393" si="172">SUM(G394:G397)</f>
        <v>0</v>
      </c>
      <c r="H393" s="32">
        <f t="shared" ref="H393" si="173">SUM(H394:H397)</f>
        <v>0</v>
      </c>
      <c r="I393" s="61"/>
      <c r="J393" s="61"/>
      <c r="K393" s="61"/>
      <c r="L393" s="61"/>
      <c r="M393" s="61"/>
      <c r="N393" s="61"/>
      <c r="O393" s="61"/>
      <c r="P393" s="64"/>
      <c r="Q393" s="61"/>
      <c r="R393" s="61"/>
      <c r="S393" s="61"/>
      <c r="T393" s="87"/>
    </row>
    <row r="394" spans="1:20" ht="12.75" customHeight="1" x14ac:dyDescent="0.2">
      <c r="A394" s="52"/>
      <c r="B394" s="30" t="s">
        <v>0</v>
      </c>
      <c r="C394" s="31">
        <f t="shared" ref="C394:C397" si="174">SUM(D394:H394)</f>
        <v>0</v>
      </c>
      <c r="D394" s="32"/>
      <c r="E394" s="32"/>
      <c r="F394" s="32"/>
      <c r="G394" s="32"/>
      <c r="H394" s="32"/>
      <c r="I394" s="61"/>
      <c r="J394" s="61"/>
      <c r="K394" s="61"/>
      <c r="L394" s="61"/>
      <c r="M394" s="61"/>
      <c r="N394" s="61"/>
      <c r="O394" s="61"/>
      <c r="P394" s="64"/>
      <c r="Q394" s="61"/>
      <c r="R394" s="61"/>
      <c r="S394" s="61"/>
      <c r="T394" s="87"/>
    </row>
    <row r="395" spans="1:20" ht="12.75" customHeight="1" x14ac:dyDescent="0.2">
      <c r="A395" s="52"/>
      <c r="B395" s="30" t="s">
        <v>1</v>
      </c>
      <c r="C395" s="31">
        <f t="shared" si="174"/>
        <v>323828.98862999998</v>
      </c>
      <c r="D395" s="32">
        <f>29276.9884-6274+41346.19023+25000-10000-14300-2652</f>
        <v>62397.178629999995</v>
      </c>
      <c r="E395" s="32">
        <f>437431.81-18000-149000-9000</f>
        <v>261431.81</v>
      </c>
      <c r="F395" s="32"/>
      <c r="G395" s="32"/>
      <c r="H395" s="32"/>
      <c r="I395" s="61"/>
      <c r="J395" s="61"/>
      <c r="K395" s="61"/>
      <c r="L395" s="61"/>
      <c r="M395" s="61"/>
      <c r="N395" s="61"/>
      <c r="O395" s="61"/>
      <c r="P395" s="64"/>
      <c r="Q395" s="61"/>
      <c r="R395" s="61"/>
      <c r="S395" s="61"/>
      <c r="T395" s="87"/>
    </row>
    <row r="396" spans="1:20" ht="12.75" customHeight="1" x14ac:dyDescent="0.2">
      <c r="A396" s="52"/>
      <c r="B396" s="30" t="s">
        <v>2</v>
      </c>
      <c r="C396" s="31">
        <f t="shared" si="174"/>
        <v>0</v>
      </c>
      <c r="D396" s="32"/>
      <c r="E396" s="32"/>
      <c r="F396" s="32"/>
      <c r="G396" s="32"/>
      <c r="H396" s="32"/>
      <c r="I396" s="61"/>
      <c r="J396" s="61"/>
      <c r="K396" s="61"/>
      <c r="L396" s="61"/>
      <c r="M396" s="61"/>
      <c r="N396" s="61"/>
      <c r="O396" s="61"/>
      <c r="P396" s="64"/>
      <c r="Q396" s="61"/>
      <c r="R396" s="61"/>
      <c r="S396" s="61"/>
      <c r="T396" s="87"/>
    </row>
    <row r="397" spans="1:20" ht="12.75" customHeight="1" x14ac:dyDescent="0.2">
      <c r="A397" s="53"/>
      <c r="B397" s="30" t="s">
        <v>3</v>
      </c>
      <c r="C397" s="31">
        <f t="shared" si="174"/>
        <v>0</v>
      </c>
      <c r="D397" s="32"/>
      <c r="E397" s="32"/>
      <c r="F397" s="32"/>
      <c r="G397" s="32"/>
      <c r="H397" s="32"/>
      <c r="I397" s="62"/>
      <c r="J397" s="62"/>
      <c r="K397" s="62"/>
      <c r="L397" s="62"/>
      <c r="M397" s="62"/>
      <c r="N397" s="62"/>
      <c r="O397" s="62"/>
      <c r="P397" s="65"/>
      <c r="Q397" s="62"/>
      <c r="R397" s="62"/>
      <c r="S397" s="62"/>
      <c r="T397" s="87"/>
    </row>
    <row r="398" spans="1:20" ht="12.75" customHeight="1" x14ac:dyDescent="0.2">
      <c r="A398" s="51" t="s">
        <v>362</v>
      </c>
      <c r="B398" s="54" t="s">
        <v>700</v>
      </c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5"/>
    </row>
    <row r="399" spans="1:20" ht="16.5" customHeight="1" x14ac:dyDescent="0.2">
      <c r="A399" s="52" t="s">
        <v>102</v>
      </c>
      <c r="B399" s="58" t="s">
        <v>509</v>
      </c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</row>
    <row r="400" spans="1:20" ht="50.1" customHeight="1" x14ac:dyDescent="0.2">
      <c r="A400" s="52"/>
      <c r="B400" s="72" t="s">
        <v>507</v>
      </c>
      <c r="C400" s="73"/>
      <c r="D400" s="73"/>
      <c r="E400" s="73"/>
      <c r="F400" s="73"/>
      <c r="G400" s="73"/>
      <c r="H400" s="74"/>
      <c r="I400" s="60" t="s">
        <v>13</v>
      </c>
      <c r="J400" s="60"/>
      <c r="K400" s="60" t="s">
        <v>40</v>
      </c>
      <c r="L400" s="60" t="s">
        <v>510</v>
      </c>
      <c r="M400" s="60" t="s">
        <v>105</v>
      </c>
      <c r="N400" s="60" t="s">
        <v>700</v>
      </c>
      <c r="O400" s="60" t="s">
        <v>105</v>
      </c>
      <c r="P400" s="63">
        <v>378625.83</v>
      </c>
      <c r="Q400" s="60" t="s">
        <v>30</v>
      </c>
      <c r="R400" s="60" t="s">
        <v>8</v>
      </c>
      <c r="S400" s="60" t="s">
        <v>32</v>
      </c>
      <c r="T400" s="60" t="s">
        <v>511</v>
      </c>
    </row>
    <row r="401" spans="1:20" ht="12.75" customHeight="1" x14ac:dyDescent="0.2">
      <c r="A401" s="52"/>
      <c r="B401" s="30" t="s">
        <v>5</v>
      </c>
      <c r="C401" s="31">
        <f>SUM(D401:H401)</f>
        <v>462.90899999999999</v>
      </c>
      <c r="D401" s="32">
        <f t="shared" ref="D401:H401" si="175">SUM(D402:D405)</f>
        <v>462.90899999999999</v>
      </c>
      <c r="E401" s="32">
        <f t="shared" si="175"/>
        <v>0</v>
      </c>
      <c r="F401" s="32">
        <f t="shared" si="175"/>
        <v>0</v>
      </c>
      <c r="G401" s="32">
        <f t="shared" si="175"/>
        <v>0</v>
      </c>
      <c r="H401" s="32">
        <f t="shared" si="175"/>
        <v>0</v>
      </c>
      <c r="I401" s="61"/>
      <c r="J401" s="61"/>
      <c r="K401" s="61"/>
      <c r="L401" s="61"/>
      <c r="M401" s="61"/>
      <c r="N401" s="61"/>
      <c r="O401" s="61"/>
      <c r="P401" s="64"/>
      <c r="Q401" s="61"/>
      <c r="R401" s="61"/>
      <c r="S401" s="61"/>
      <c r="T401" s="61"/>
    </row>
    <row r="402" spans="1:20" ht="12.75" customHeight="1" x14ac:dyDescent="0.2">
      <c r="A402" s="52"/>
      <c r="B402" s="30" t="s">
        <v>0</v>
      </c>
      <c r="C402" s="31">
        <f t="shared" ref="C402:C405" si="176">SUM(D402:H402)</f>
        <v>0</v>
      </c>
      <c r="D402" s="32"/>
      <c r="E402" s="32"/>
      <c r="F402" s="32"/>
      <c r="G402" s="32"/>
      <c r="H402" s="32"/>
      <c r="I402" s="61"/>
      <c r="J402" s="61"/>
      <c r="K402" s="61"/>
      <c r="L402" s="61"/>
      <c r="M402" s="61"/>
      <c r="N402" s="61"/>
      <c r="O402" s="61"/>
      <c r="P402" s="64"/>
      <c r="Q402" s="61"/>
      <c r="R402" s="61"/>
      <c r="S402" s="61"/>
      <c r="T402" s="61"/>
    </row>
    <row r="403" spans="1:20" ht="12.75" customHeight="1" x14ac:dyDescent="0.2">
      <c r="A403" s="52"/>
      <c r="B403" s="30" t="s">
        <v>1</v>
      </c>
      <c r="C403" s="31">
        <f t="shared" si="176"/>
        <v>462.90899999999999</v>
      </c>
      <c r="D403" s="32">
        <f>0+462.909</f>
        <v>462.90899999999999</v>
      </c>
      <c r="E403" s="32"/>
      <c r="F403" s="32"/>
      <c r="G403" s="32"/>
      <c r="H403" s="32"/>
      <c r="I403" s="61"/>
      <c r="J403" s="61"/>
      <c r="K403" s="61"/>
      <c r="L403" s="61"/>
      <c r="M403" s="61"/>
      <c r="N403" s="61"/>
      <c r="O403" s="61"/>
      <c r="P403" s="64"/>
      <c r="Q403" s="61"/>
      <c r="R403" s="61"/>
      <c r="S403" s="61"/>
      <c r="T403" s="61"/>
    </row>
    <row r="404" spans="1:20" ht="12.75" customHeight="1" x14ac:dyDescent="0.2">
      <c r="A404" s="52"/>
      <c r="B404" s="30" t="s">
        <v>2</v>
      </c>
      <c r="C404" s="31">
        <f t="shared" si="176"/>
        <v>0</v>
      </c>
      <c r="D404" s="32"/>
      <c r="E404" s="32"/>
      <c r="F404" s="32"/>
      <c r="G404" s="32"/>
      <c r="H404" s="32"/>
      <c r="I404" s="61"/>
      <c r="J404" s="61"/>
      <c r="K404" s="61"/>
      <c r="L404" s="61"/>
      <c r="M404" s="61"/>
      <c r="N404" s="61"/>
      <c r="O404" s="61"/>
      <c r="P404" s="64"/>
      <c r="Q404" s="61"/>
      <c r="R404" s="61"/>
      <c r="S404" s="61"/>
      <c r="T404" s="61"/>
    </row>
    <row r="405" spans="1:20" ht="12.75" customHeight="1" x14ac:dyDescent="0.2">
      <c r="A405" s="53"/>
      <c r="B405" s="30" t="s">
        <v>3</v>
      </c>
      <c r="C405" s="31">
        <f t="shared" si="176"/>
        <v>0</v>
      </c>
      <c r="D405" s="32"/>
      <c r="E405" s="32"/>
      <c r="F405" s="32"/>
      <c r="G405" s="32"/>
      <c r="H405" s="32"/>
      <c r="I405" s="62"/>
      <c r="J405" s="62"/>
      <c r="K405" s="62"/>
      <c r="L405" s="62"/>
      <c r="M405" s="62"/>
      <c r="N405" s="62"/>
      <c r="O405" s="62"/>
      <c r="P405" s="65"/>
      <c r="Q405" s="62"/>
      <c r="R405" s="62"/>
      <c r="S405" s="62"/>
      <c r="T405" s="62"/>
    </row>
    <row r="406" spans="1:20" ht="12.75" customHeight="1" x14ac:dyDescent="0.2">
      <c r="A406" s="51" t="s">
        <v>363</v>
      </c>
      <c r="B406" s="54" t="s">
        <v>700</v>
      </c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5"/>
    </row>
    <row r="407" spans="1:20" ht="16.5" customHeight="1" x14ac:dyDescent="0.2">
      <c r="A407" s="52" t="s">
        <v>102</v>
      </c>
      <c r="B407" s="58" t="s">
        <v>509</v>
      </c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50.1" customHeight="1" x14ac:dyDescent="0.2">
      <c r="A408" s="52"/>
      <c r="B408" s="72" t="s">
        <v>508</v>
      </c>
      <c r="C408" s="73"/>
      <c r="D408" s="73"/>
      <c r="E408" s="73"/>
      <c r="F408" s="73"/>
      <c r="G408" s="73"/>
      <c r="H408" s="74"/>
      <c r="I408" s="60" t="s">
        <v>13</v>
      </c>
      <c r="J408" s="60"/>
      <c r="K408" s="60" t="s">
        <v>40</v>
      </c>
      <c r="L408" s="60" t="s">
        <v>510</v>
      </c>
      <c r="M408" s="60" t="s">
        <v>105</v>
      </c>
      <c r="N408" s="60" t="s">
        <v>700</v>
      </c>
      <c r="O408" s="60" t="s">
        <v>105</v>
      </c>
      <c r="P408" s="60">
        <v>192942.36</v>
      </c>
      <c r="Q408" s="60" t="s">
        <v>30</v>
      </c>
      <c r="R408" s="60" t="s">
        <v>8</v>
      </c>
      <c r="S408" s="60" t="s">
        <v>32</v>
      </c>
      <c r="T408" s="60" t="s">
        <v>512</v>
      </c>
    </row>
    <row r="409" spans="1:20" ht="12.75" customHeight="1" x14ac:dyDescent="0.2">
      <c r="A409" s="52"/>
      <c r="B409" s="30" t="s">
        <v>5</v>
      </c>
      <c r="C409" s="31">
        <f>SUM(D409:H409)</f>
        <v>458.00299999999999</v>
      </c>
      <c r="D409" s="32">
        <f t="shared" ref="D409:H409" si="177">SUM(D410:D413)</f>
        <v>458.00299999999999</v>
      </c>
      <c r="E409" s="32">
        <f t="shared" si="177"/>
        <v>0</v>
      </c>
      <c r="F409" s="32">
        <f t="shared" si="177"/>
        <v>0</v>
      </c>
      <c r="G409" s="32">
        <f t="shared" si="177"/>
        <v>0</v>
      </c>
      <c r="H409" s="32">
        <f t="shared" si="177"/>
        <v>0</v>
      </c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</row>
    <row r="410" spans="1:20" ht="12.75" customHeight="1" x14ac:dyDescent="0.2">
      <c r="A410" s="52"/>
      <c r="B410" s="30" t="s">
        <v>0</v>
      </c>
      <c r="C410" s="31">
        <f t="shared" ref="C410:C413" si="178">SUM(D410:H410)</f>
        <v>0</v>
      </c>
      <c r="D410" s="32"/>
      <c r="E410" s="32"/>
      <c r="F410" s="32"/>
      <c r="G410" s="32"/>
      <c r="H410" s="32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</row>
    <row r="411" spans="1:20" ht="12.75" customHeight="1" x14ac:dyDescent="0.2">
      <c r="A411" s="52"/>
      <c r="B411" s="30" t="s">
        <v>1</v>
      </c>
      <c r="C411" s="31">
        <f t="shared" si="178"/>
        <v>458.00299999999999</v>
      </c>
      <c r="D411" s="32">
        <f>0+458.003</f>
        <v>458.00299999999999</v>
      </c>
      <c r="E411" s="32"/>
      <c r="F411" s="32"/>
      <c r="G411" s="32"/>
      <c r="H411" s="32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</row>
    <row r="412" spans="1:20" ht="12.75" customHeight="1" x14ac:dyDescent="0.2">
      <c r="A412" s="52"/>
      <c r="B412" s="30" t="s">
        <v>2</v>
      </c>
      <c r="C412" s="31">
        <f t="shared" si="178"/>
        <v>0</v>
      </c>
      <c r="D412" s="32"/>
      <c r="E412" s="32"/>
      <c r="F412" s="32"/>
      <c r="G412" s="32"/>
      <c r="H412" s="32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</row>
    <row r="413" spans="1:20" ht="12.75" customHeight="1" x14ac:dyDescent="0.2">
      <c r="A413" s="53"/>
      <c r="B413" s="30" t="s">
        <v>3</v>
      </c>
      <c r="C413" s="31">
        <f t="shared" si="178"/>
        <v>0</v>
      </c>
      <c r="D413" s="32"/>
      <c r="E413" s="32"/>
      <c r="F413" s="32"/>
      <c r="G413" s="32"/>
      <c r="H413" s="3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</row>
    <row r="414" spans="1:20" x14ac:dyDescent="0.2">
      <c r="A414" s="51" t="s">
        <v>364</v>
      </c>
      <c r="B414" s="54" t="s">
        <v>700</v>
      </c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5"/>
    </row>
    <row r="415" spans="1:20" ht="27.75" customHeight="1" x14ac:dyDescent="0.2">
      <c r="A415" s="52" t="s">
        <v>102</v>
      </c>
      <c r="B415" s="58" t="s">
        <v>165</v>
      </c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</row>
    <row r="416" spans="1:20" ht="50.1" customHeight="1" x14ac:dyDescent="0.2">
      <c r="A416" s="52"/>
      <c r="B416" s="72" t="s">
        <v>390</v>
      </c>
      <c r="C416" s="73"/>
      <c r="D416" s="73"/>
      <c r="E416" s="73"/>
      <c r="F416" s="73"/>
      <c r="G416" s="73"/>
      <c r="H416" s="74"/>
      <c r="I416" s="60" t="s">
        <v>24</v>
      </c>
      <c r="J416" s="60"/>
      <c r="K416" s="60" t="s">
        <v>40</v>
      </c>
      <c r="L416" s="60"/>
      <c r="M416" s="60" t="s">
        <v>105</v>
      </c>
      <c r="N416" s="60" t="s">
        <v>700</v>
      </c>
      <c r="O416" s="60" t="s">
        <v>105</v>
      </c>
      <c r="P416" s="63"/>
      <c r="Q416" s="60" t="s">
        <v>30</v>
      </c>
      <c r="R416" s="60" t="s">
        <v>8</v>
      </c>
      <c r="S416" s="60" t="s">
        <v>32</v>
      </c>
      <c r="T416" s="87"/>
    </row>
    <row r="417" spans="1:20" ht="12.75" customHeight="1" x14ac:dyDescent="0.2">
      <c r="A417" s="52"/>
      <c r="B417" s="30" t="s">
        <v>5</v>
      </c>
      <c r="C417" s="31">
        <f>SUM(D417:H417)</f>
        <v>200489.084</v>
      </c>
      <c r="D417" s="32">
        <f t="shared" ref="D417:H417" si="179">SUM(D418:D421)</f>
        <v>0</v>
      </c>
      <c r="E417" s="32">
        <f t="shared" si="179"/>
        <v>0</v>
      </c>
      <c r="F417" s="32">
        <f t="shared" si="179"/>
        <v>200489.084</v>
      </c>
      <c r="G417" s="32">
        <f t="shared" si="179"/>
        <v>0</v>
      </c>
      <c r="H417" s="32">
        <f t="shared" si="179"/>
        <v>0</v>
      </c>
      <c r="I417" s="61"/>
      <c r="J417" s="61"/>
      <c r="K417" s="61"/>
      <c r="L417" s="61"/>
      <c r="M417" s="61"/>
      <c r="N417" s="61"/>
      <c r="O417" s="61"/>
      <c r="P417" s="64"/>
      <c r="Q417" s="61"/>
      <c r="R417" s="61"/>
      <c r="S417" s="61"/>
      <c r="T417" s="87"/>
    </row>
    <row r="418" spans="1:20" ht="12.75" customHeight="1" x14ac:dyDescent="0.2">
      <c r="A418" s="52"/>
      <c r="B418" s="30" t="s">
        <v>0</v>
      </c>
      <c r="C418" s="31">
        <f t="shared" ref="C418:C421" si="180">SUM(D418:H418)</f>
        <v>200489.084</v>
      </c>
      <c r="D418" s="32">
        <v>0</v>
      </c>
      <c r="E418" s="32">
        <v>0</v>
      </c>
      <c r="F418" s="32">
        <v>200489.084</v>
      </c>
      <c r="G418" s="32">
        <v>0</v>
      </c>
      <c r="H418" s="32">
        <v>0</v>
      </c>
      <c r="I418" s="61"/>
      <c r="J418" s="61"/>
      <c r="K418" s="61"/>
      <c r="L418" s="61"/>
      <c r="M418" s="61"/>
      <c r="N418" s="61"/>
      <c r="O418" s="61"/>
      <c r="P418" s="64"/>
      <c r="Q418" s="61"/>
      <c r="R418" s="61"/>
      <c r="S418" s="61"/>
      <c r="T418" s="87"/>
    </row>
    <row r="419" spans="1:20" ht="12.75" customHeight="1" x14ac:dyDescent="0.2">
      <c r="A419" s="52"/>
      <c r="B419" s="30" t="s">
        <v>1</v>
      </c>
      <c r="C419" s="31">
        <f t="shared" si="180"/>
        <v>0</v>
      </c>
      <c r="D419" s="32"/>
      <c r="E419" s="32"/>
      <c r="F419" s="32"/>
      <c r="G419" s="32"/>
      <c r="H419" s="32"/>
      <c r="I419" s="61"/>
      <c r="J419" s="61"/>
      <c r="K419" s="61"/>
      <c r="L419" s="61"/>
      <c r="M419" s="61"/>
      <c r="N419" s="61"/>
      <c r="O419" s="61"/>
      <c r="P419" s="64"/>
      <c r="Q419" s="61"/>
      <c r="R419" s="61"/>
      <c r="S419" s="61"/>
      <c r="T419" s="87"/>
    </row>
    <row r="420" spans="1:20" ht="12.75" customHeight="1" x14ac:dyDescent="0.2">
      <c r="A420" s="52"/>
      <c r="B420" s="30" t="s">
        <v>2</v>
      </c>
      <c r="C420" s="31">
        <f t="shared" si="180"/>
        <v>0</v>
      </c>
      <c r="D420" s="32"/>
      <c r="E420" s="32"/>
      <c r="F420" s="32"/>
      <c r="G420" s="32"/>
      <c r="H420" s="32"/>
      <c r="I420" s="61"/>
      <c r="J420" s="61"/>
      <c r="K420" s="61"/>
      <c r="L420" s="61"/>
      <c r="M420" s="61"/>
      <c r="N420" s="61"/>
      <c r="O420" s="61"/>
      <c r="P420" s="64"/>
      <c r="Q420" s="61"/>
      <c r="R420" s="61"/>
      <c r="S420" s="61"/>
      <c r="T420" s="87"/>
    </row>
    <row r="421" spans="1:20" ht="12.75" customHeight="1" x14ac:dyDescent="0.2">
      <c r="A421" s="53"/>
      <c r="B421" s="30" t="s">
        <v>3</v>
      </c>
      <c r="C421" s="31">
        <f t="shared" si="180"/>
        <v>0</v>
      </c>
      <c r="D421" s="32"/>
      <c r="E421" s="32"/>
      <c r="F421" s="32"/>
      <c r="G421" s="32"/>
      <c r="H421" s="32"/>
      <c r="I421" s="62"/>
      <c r="J421" s="62"/>
      <c r="K421" s="62"/>
      <c r="L421" s="62"/>
      <c r="M421" s="62"/>
      <c r="N421" s="62"/>
      <c r="O421" s="62"/>
      <c r="P421" s="65"/>
      <c r="Q421" s="62"/>
      <c r="R421" s="62"/>
      <c r="S421" s="62"/>
      <c r="T421" s="87"/>
    </row>
    <row r="422" spans="1:20" x14ac:dyDescent="0.2">
      <c r="A422" s="51" t="s">
        <v>391</v>
      </c>
      <c r="B422" s="54" t="s">
        <v>700</v>
      </c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5"/>
    </row>
    <row r="423" spans="1:20" x14ac:dyDescent="0.2">
      <c r="A423" s="52" t="s">
        <v>102</v>
      </c>
      <c r="B423" s="58" t="s">
        <v>164</v>
      </c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</row>
    <row r="424" spans="1:20" ht="50.1" customHeight="1" x14ac:dyDescent="0.2">
      <c r="A424" s="52"/>
      <c r="B424" s="72" t="s">
        <v>115</v>
      </c>
      <c r="C424" s="73"/>
      <c r="D424" s="73"/>
      <c r="E424" s="73"/>
      <c r="F424" s="73"/>
      <c r="G424" s="73"/>
      <c r="H424" s="74"/>
      <c r="I424" s="60" t="s">
        <v>213</v>
      </c>
      <c r="J424" s="60"/>
      <c r="K424" s="60" t="s">
        <v>11</v>
      </c>
      <c r="L424" s="60"/>
      <c r="M424" s="60" t="s">
        <v>100</v>
      </c>
      <c r="N424" s="60"/>
      <c r="O424" s="60" t="s">
        <v>114</v>
      </c>
      <c r="P424" s="63"/>
      <c r="Q424" s="60" t="s">
        <v>7</v>
      </c>
      <c r="R424" s="60" t="s">
        <v>100</v>
      </c>
      <c r="S424" s="60" t="s">
        <v>32</v>
      </c>
      <c r="T424" s="87"/>
    </row>
    <row r="425" spans="1:20" ht="12.75" customHeight="1" x14ac:dyDescent="0.2">
      <c r="A425" s="52"/>
      <c r="B425" s="43" t="s">
        <v>5</v>
      </c>
      <c r="C425" s="31">
        <f>SUM(D425:H425)</f>
        <v>88814.187429999976</v>
      </c>
      <c r="D425" s="32">
        <f t="shared" ref="D425" si="181">SUM(D426:D429)</f>
        <v>88814.187429999976</v>
      </c>
      <c r="E425" s="32">
        <f t="shared" ref="E425:G425" si="182">SUM(E426:E429)</f>
        <v>0</v>
      </c>
      <c r="F425" s="32">
        <f t="shared" si="182"/>
        <v>0</v>
      </c>
      <c r="G425" s="32">
        <f t="shared" si="182"/>
        <v>0</v>
      </c>
      <c r="H425" s="32">
        <f t="shared" ref="H425" si="183">SUM(H426:H429)</f>
        <v>0</v>
      </c>
      <c r="I425" s="61"/>
      <c r="J425" s="61"/>
      <c r="K425" s="61"/>
      <c r="L425" s="61"/>
      <c r="M425" s="61"/>
      <c r="N425" s="61"/>
      <c r="O425" s="61"/>
      <c r="P425" s="64"/>
      <c r="Q425" s="61"/>
      <c r="R425" s="61"/>
      <c r="S425" s="61"/>
      <c r="T425" s="87"/>
    </row>
    <row r="426" spans="1:20" ht="12.75" customHeight="1" x14ac:dyDescent="0.2">
      <c r="A426" s="52"/>
      <c r="B426" s="43" t="s">
        <v>0</v>
      </c>
      <c r="C426" s="31">
        <f t="shared" ref="C426:C429" si="184">SUM(D426:H426)</f>
        <v>0</v>
      </c>
      <c r="D426" s="32"/>
      <c r="E426" s="32"/>
      <c r="F426" s="32"/>
      <c r="G426" s="32"/>
      <c r="H426" s="32"/>
      <c r="I426" s="61"/>
      <c r="J426" s="61"/>
      <c r="K426" s="61"/>
      <c r="L426" s="61"/>
      <c r="M426" s="61"/>
      <c r="N426" s="61"/>
      <c r="O426" s="61"/>
      <c r="P426" s="64"/>
      <c r="Q426" s="61"/>
      <c r="R426" s="61"/>
      <c r="S426" s="61"/>
      <c r="T426" s="87"/>
    </row>
    <row r="427" spans="1:20" ht="12.75" customHeight="1" x14ac:dyDescent="0.2">
      <c r="A427" s="52"/>
      <c r="B427" s="43" t="s">
        <v>1</v>
      </c>
      <c r="C427" s="31">
        <f t="shared" si="184"/>
        <v>87926.045549999981</v>
      </c>
      <c r="D427" s="32">
        <f>87926.04555+19199.99994-19199.99994</f>
        <v>87926.045549999981</v>
      </c>
      <c r="E427" s="32"/>
      <c r="F427" s="32"/>
      <c r="G427" s="32"/>
      <c r="H427" s="32"/>
      <c r="I427" s="61"/>
      <c r="J427" s="61"/>
      <c r="K427" s="61"/>
      <c r="L427" s="61"/>
      <c r="M427" s="61"/>
      <c r="N427" s="61"/>
      <c r="O427" s="61"/>
      <c r="P427" s="64"/>
      <c r="Q427" s="61"/>
      <c r="R427" s="61"/>
      <c r="S427" s="61"/>
      <c r="T427" s="87"/>
    </row>
    <row r="428" spans="1:20" ht="12.75" customHeight="1" x14ac:dyDescent="0.2">
      <c r="A428" s="52"/>
      <c r="B428" s="43" t="s">
        <v>2</v>
      </c>
      <c r="C428" s="31">
        <f t="shared" si="184"/>
        <v>888.1418799999999</v>
      </c>
      <c r="D428" s="32">
        <f>2537.54821-1649.40633+193.93939-193.93939</f>
        <v>888.1418799999999</v>
      </c>
      <c r="E428" s="32"/>
      <c r="F428" s="32"/>
      <c r="G428" s="32"/>
      <c r="H428" s="32"/>
      <c r="I428" s="61"/>
      <c r="J428" s="61"/>
      <c r="K428" s="61"/>
      <c r="L428" s="61"/>
      <c r="M428" s="61"/>
      <c r="N428" s="61"/>
      <c r="O428" s="61"/>
      <c r="P428" s="64"/>
      <c r="Q428" s="61"/>
      <c r="R428" s="61"/>
      <c r="S428" s="61"/>
      <c r="T428" s="87"/>
    </row>
    <row r="429" spans="1:20" ht="12.75" customHeight="1" x14ac:dyDescent="0.2">
      <c r="A429" s="53"/>
      <c r="B429" s="43" t="s">
        <v>3</v>
      </c>
      <c r="C429" s="31">
        <f t="shared" si="184"/>
        <v>0</v>
      </c>
      <c r="D429" s="32"/>
      <c r="E429" s="32"/>
      <c r="F429" s="32"/>
      <c r="G429" s="32"/>
      <c r="H429" s="32"/>
      <c r="I429" s="62"/>
      <c r="J429" s="62"/>
      <c r="K429" s="62"/>
      <c r="L429" s="62"/>
      <c r="M429" s="62"/>
      <c r="N429" s="62"/>
      <c r="O429" s="62"/>
      <c r="P429" s="65"/>
      <c r="Q429" s="62"/>
      <c r="R429" s="62"/>
      <c r="S429" s="62"/>
      <c r="T429" s="87"/>
    </row>
    <row r="430" spans="1:20" x14ac:dyDescent="0.2">
      <c r="A430" s="51" t="s">
        <v>449</v>
      </c>
      <c r="B430" s="56" t="s">
        <v>700</v>
      </c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7"/>
    </row>
    <row r="431" spans="1:20" ht="12.75" customHeight="1" x14ac:dyDescent="0.2">
      <c r="A431" s="52"/>
      <c r="B431" s="58" t="s">
        <v>214</v>
      </c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</row>
    <row r="432" spans="1:20" ht="50.1" customHeight="1" x14ac:dyDescent="0.2">
      <c r="A432" s="52"/>
      <c r="B432" s="72" t="s">
        <v>215</v>
      </c>
      <c r="C432" s="73"/>
      <c r="D432" s="73"/>
      <c r="E432" s="73"/>
      <c r="F432" s="73"/>
      <c r="G432" s="73"/>
      <c r="H432" s="74"/>
      <c r="I432" s="60"/>
      <c r="J432" s="60"/>
      <c r="K432" s="60" t="s">
        <v>47</v>
      </c>
      <c r="L432" s="60"/>
      <c r="M432" s="60" t="s">
        <v>100</v>
      </c>
      <c r="N432" s="60"/>
      <c r="O432" s="60" t="s">
        <v>114</v>
      </c>
      <c r="P432" s="63"/>
      <c r="Q432" s="60" t="s">
        <v>7</v>
      </c>
      <c r="R432" s="60" t="s">
        <v>100</v>
      </c>
      <c r="S432" s="60" t="s">
        <v>31</v>
      </c>
      <c r="T432" s="87"/>
    </row>
    <row r="433" spans="1:20" ht="12.75" customHeight="1" x14ac:dyDescent="0.2">
      <c r="A433" s="52"/>
      <c r="B433" s="43" t="s">
        <v>5</v>
      </c>
      <c r="C433" s="31">
        <f>SUM(D433:H433)</f>
        <v>1471602.1433890001</v>
      </c>
      <c r="D433" s="31">
        <f>SUM(D434:D438)</f>
        <v>593461.05007999996</v>
      </c>
      <c r="E433" s="31">
        <f>SUM(E434:E438)</f>
        <v>591489.51850899996</v>
      </c>
      <c r="F433" s="31">
        <f>SUM(F434:F438)</f>
        <v>286651.5748</v>
      </c>
      <c r="G433" s="31">
        <f>SUM(G434:G438)</f>
        <v>0</v>
      </c>
      <c r="H433" s="32">
        <f>SUM(H434:H438)</f>
        <v>0</v>
      </c>
      <c r="I433" s="61"/>
      <c r="J433" s="61"/>
      <c r="K433" s="61"/>
      <c r="L433" s="61"/>
      <c r="M433" s="61"/>
      <c r="N433" s="61"/>
      <c r="O433" s="61"/>
      <c r="P433" s="64"/>
      <c r="Q433" s="61"/>
      <c r="R433" s="61"/>
      <c r="S433" s="61"/>
      <c r="T433" s="87"/>
    </row>
    <row r="434" spans="1:20" ht="12.75" customHeight="1" x14ac:dyDescent="0.2">
      <c r="A434" s="52"/>
      <c r="B434" s="43" t="s">
        <v>0</v>
      </c>
      <c r="C434" s="31">
        <f t="shared" ref="C434:C438" si="185">SUM(D434:H434)</f>
        <v>0</v>
      </c>
      <c r="D434" s="32"/>
      <c r="E434" s="32"/>
      <c r="F434" s="32"/>
      <c r="G434" s="32"/>
      <c r="H434" s="32"/>
      <c r="I434" s="61"/>
      <c r="J434" s="61"/>
      <c r="K434" s="61"/>
      <c r="L434" s="61"/>
      <c r="M434" s="61"/>
      <c r="N434" s="61"/>
      <c r="O434" s="61"/>
      <c r="P434" s="64"/>
      <c r="Q434" s="61"/>
      <c r="R434" s="61"/>
      <c r="S434" s="61"/>
      <c r="T434" s="87"/>
    </row>
    <row r="435" spans="1:20" ht="12.75" customHeight="1" x14ac:dyDescent="0.2">
      <c r="A435" s="52"/>
      <c r="B435" s="43" t="s">
        <v>1</v>
      </c>
      <c r="C435" s="31">
        <f t="shared" si="185"/>
        <v>810854.21461899998</v>
      </c>
      <c r="D435" s="32">
        <f>264944.3526-51545.06182-12515.60911</f>
        <v>200883.68166999999</v>
      </c>
      <c r="E435" s="32">
        <v>326185.47389899998</v>
      </c>
      <c r="F435" s="32">
        <v>283785.05904999998</v>
      </c>
      <c r="G435" s="32"/>
      <c r="H435" s="32"/>
      <c r="I435" s="61"/>
      <c r="J435" s="61"/>
      <c r="K435" s="61"/>
      <c r="L435" s="61"/>
      <c r="M435" s="61"/>
      <c r="N435" s="61"/>
      <c r="O435" s="61"/>
      <c r="P435" s="64"/>
      <c r="Q435" s="61"/>
      <c r="R435" s="61"/>
      <c r="S435" s="61"/>
      <c r="T435" s="87"/>
    </row>
    <row r="436" spans="1:20" ht="12.75" customHeight="1" x14ac:dyDescent="0.2">
      <c r="A436" s="52"/>
      <c r="B436" s="43" t="s">
        <v>2</v>
      </c>
      <c r="C436" s="31">
        <f t="shared" si="185"/>
        <v>8638.3378900000007</v>
      </c>
      <c r="D436" s="32">
        <f>2656.97415-179.95478</f>
        <v>2477.01937</v>
      </c>
      <c r="E436" s="32">
        <v>3294.8027699999998</v>
      </c>
      <c r="F436" s="32">
        <v>2866.51575</v>
      </c>
      <c r="G436" s="32"/>
      <c r="H436" s="32"/>
      <c r="I436" s="61"/>
      <c r="J436" s="61"/>
      <c r="K436" s="61"/>
      <c r="L436" s="61"/>
      <c r="M436" s="61"/>
      <c r="N436" s="61"/>
      <c r="O436" s="61"/>
      <c r="P436" s="64"/>
      <c r="Q436" s="61"/>
      <c r="R436" s="61"/>
      <c r="S436" s="61"/>
      <c r="T436" s="87"/>
    </row>
    <row r="437" spans="1:20" ht="12.75" customHeight="1" x14ac:dyDescent="0.2">
      <c r="A437" s="52"/>
      <c r="B437" s="43" t="s">
        <v>337</v>
      </c>
      <c r="C437" s="31"/>
      <c r="D437" s="32"/>
      <c r="E437" s="32"/>
      <c r="F437" s="32"/>
      <c r="G437" s="32"/>
      <c r="H437" s="32"/>
      <c r="I437" s="61"/>
      <c r="J437" s="61"/>
      <c r="K437" s="61"/>
      <c r="L437" s="61"/>
      <c r="M437" s="61"/>
      <c r="N437" s="61"/>
      <c r="O437" s="61"/>
      <c r="P437" s="64"/>
      <c r="Q437" s="61"/>
      <c r="R437" s="61"/>
      <c r="S437" s="61"/>
      <c r="T437" s="87"/>
    </row>
    <row r="438" spans="1:20" ht="60" customHeight="1" x14ac:dyDescent="0.2">
      <c r="A438" s="53"/>
      <c r="B438" s="43" t="s">
        <v>402</v>
      </c>
      <c r="C438" s="31">
        <f t="shared" si="185"/>
        <v>652109.59088000003</v>
      </c>
      <c r="D438" s="32">
        <f>262009.24183+75575.24664+52515.86057</f>
        <v>390100.34904</v>
      </c>
      <c r="E438" s="32">
        <v>262009.24184</v>
      </c>
      <c r="F438" s="32"/>
      <c r="G438" s="32"/>
      <c r="H438" s="32"/>
      <c r="I438" s="62"/>
      <c r="J438" s="62"/>
      <c r="K438" s="62"/>
      <c r="L438" s="62"/>
      <c r="M438" s="62"/>
      <c r="N438" s="62"/>
      <c r="O438" s="62"/>
      <c r="P438" s="65"/>
      <c r="Q438" s="62"/>
      <c r="R438" s="62"/>
      <c r="S438" s="62"/>
      <c r="T438" s="87"/>
    </row>
    <row r="439" spans="1:20" x14ac:dyDescent="0.2">
      <c r="A439" s="51" t="s">
        <v>493</v>
      </c>
      <c r="B439" s="56" t="s">
        <v>700</v>
      </c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7"/>
    </row>
    <row r="440" spans="1:20" ht="12.75" customHeight="1" x14ac:dyDescent="0.2">
      <c r="A440" s="52" t="s">
        <v>102</v>
      </c>
      <c r="B440" s="58" t="s">
        <v>216</v>
      </c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</row>
    <row r="441" spans="1:20" ht="50.1" customHeight="1" x14ac:dyDescent="0.2">
      <c r="A441" s="52"/>
      <c r="B441" s="72" t="s">
        <v>236</v>
      </c>
      <c r="C441" s="73"/>
      <c r="D441" s="73"/>
      <c r="E441" s="73"/>
      <c r="F441" s="73"/>
      <c r="G441" s="73"/>
      <c r="H441" s="74"/>
      <c r="I441" s="60" t="s">
        <v>21</v>
      </c>
      <c r="J441" s="60"/>
      <c r="K441" s="60" t="s">
        <v>11</v>
      </c>
      <c r="L441" s="60"/>
      <c r="M441" s="60" t="s">
        <v>8</v>
      </c>
      <c r="N441" s="60" t="s">
        <v>23</v>
      </c>
      <c r="O441" s="60" t="s">
        <v>23</v>
      </c>
      <c r="P441" s="63" t="s">
        <v>237</v>
      </c>
      <c r="Q441" s="60" t="s">
        <v>7</v>
      </c>
      <c r="R441" s="60" t="s">
        <v>8</v>
      </c>
      <c r="S441" s="60" t="s">
        <v>31</v>
      </c>
      <c r="T441" s="87" t="s">
        <v>434</v>
      </c>
    </row>
    <row r="442" spans="1:20" ht="12.75" customHeight="1" x14ac:dyDescent="0.2">
      <c r="A442" s="52"/>
      <c r="B442" s="30" t="s">
        <v>5</v>
      </c>
      <c r="C442" s="31">
        <f>SUM(D442:H442)</f>
        <v>45832.268130910612</v>
      </c>
      <c r="D442" s="31">
        <f t="shared" ref="D442" si="186">SUM(D443:D446)</f>
        <v>1.4859224961583095E-12</v>
      </c>
      <c r="E442" s="31">
        <f t="shared" ref="E442" si="187">SUM(E443:E446)</f>
        <v>45832.268130910612</v>
      </c>
      <c r="F442" s="31">
        <f t="shared" ref="F442:G442" si="188">SUM(F443:F446)</f>
        <v>0</v>
      </c>
      <c r="G442" s="31">
        <f t="shared" si="188"/>
        <v>0</v>
      </c>
      <c r="H442" s="31">
        <f t="shared" ref="H442" si="189">SUM(H443:H446)</f>
        <v>0</v>
      </c>
      <c r="I442" s="61"/>
      <c r="J442" s="61"/>
      <c r="K442" s="61"/>
      <c r="L442" s="61"/>
      <c r="M442" s="61"/>
      <c r="N442" s="61"/>
      <c r="O442" s="61"/>
      <c r="P442" s="64"/>
      <c r="Q442" s="61"/>
      <c r="R442" s="61"/>
      <c r="S442" s="61"/>
      <c r="T442" s="87"/>
    </row>
    <row r="443" spans="1:20" ht="12.75" customHeight="1" x14ac:dyDescent="0.2">
      <c r="A443" s="52"/>
      <c r="B443" s="30" t="s">
        <v>0</v>
      </c>
      <c r="C443" s="31">
        <f t="shared" ref="C443:C446" si="190">SUM(D443:H443)</f>
        <v>0</v>
      </c>
      <c r="D443" s="32"/>
      <c r="E443" s="32"/>
      <c r="F443" s="32"/>
      <c r="G443" s="32"/>
      <c r="H443" s="32"/>
      <c r="I443" s="61"/>
      <c r="J443" s="61"/>
      <c r="K443" s="61"/>
      <c r="L443" s="61"/>
      <c r="M443" s="61"/>
      <c r="N443" s="61"/>
      <c r="O443" s="61"/>
      <c r="P443" s="64"/>
      <c r="Q443" s="61"/>
      <c r="R443" s="61"/>
      <c r="S443" s="61"/>
      <c r="T443" s="87"/>
    </row>
    <row r="444" spans="1:20" ht="12.75" customHeight="1" x14ac:dyDescent="0.2">
      <c r="A444" s="52"/>
      <c r="B444" s="30" t="s">
        <v>1</v>
      </c>
      <c r="C444" s="31">
        <f t="shared" si="190"/>
        <v>44908.586609999998</v>
      </c>
      <c r="D444" s="32">
        <f>45091.41339-44000-600-491.41339</f>
        <v>1.5347723092418164E-12</v>
      </c>
      <c r="E444" s="32">
        <v>44908.586609999998</v>
      </c>
      <c r="F444" s="32"/>
      <c r="G444" s="32"/>
      <c r="H444" s="32"/>
      <c r="I444" s="61"/>
      <c r="J444" s="61"/>
      <c r="K444" s="61"/>
      <c r="L444" s="61"/>
      <c r="M444" s="61"/>
      <c r="N444" s="61"/>
      <c r="O444" s="61"/>
      <c r="P444" s="64"/>
      <c r="Q444" s="61"/>
      <c r="R444" s="61"/>
      <c r="S444" s="61"/>
      <c r="T444" s="87"/>
    </row>
    <row r="445" spans="1:20" ht="12.75" customHeight="1" x14ac:dyDescent="0.2">
      <c r="A445" s="52"/>
      <c r="B445" s="30" t="s">
        <v>2</v>
      </c>
      <c r="C445" s="31">
        <f t="shared" si="190"/>
        <v>923.68152091061427</v>
      </c>
      <c r="D445" s="32">
        <f>927.44191-916.41753-6.06061-4.96377</f>
        <v>-4.8849813083506888E-14</v>
      </c>
      <c r="E445" s="32">
        <v>923.68152091061427</v>
      </c>
      <c r="F445" s="32"/>
      <c r="G445" s="32"/>
      <c r="H445" s="32"/>
      <c r="I445" s="61"/>
      <c r="J445" s="61"/>
      <c r="K445" s="61"/>
      <c r="L445" s="61"/>
      <c r="M445" s="61"/>
      <c r="N445" s="61"/>
      <c r="O445" s="61"/>
      <c r="P445" s="64"/>
      <c r="Q445" s="61"/>
      <c r="R445" s="61"/>
      <c r="S445" s="61"/>
      <c r="T445" s="87"/>
    </row>
    <row r="446" spans="1:20" ht="12.75" customHeight="1" x14ac:dyDescent="0.2">
      <c r="A446" s="53"/>
      <c r="B446" s="30" t="s">
        <v>3</v>
      </c>
      <c r="C446" s="31">
        <f t="shared" si="190"/>
        <v>0</v>
      </c>
      <c r="D446" s="32"/>
      <c r="E446" s="32"/>
      <c r="F446" s="32"/>
      <c r="G446" s="32"/>
      <c r="H446" s="32"/>
      <c r="I446" s="62"/>
      <c r="J446" s="62"/>
      <c r="K446" s="62"/>
      <c r="L446" s="62"/>
      <c r="M446" s="62"/>
      <c r="N446" s="62"/>
      <c r="O446" s="62"/>
      <c r="P446" s="65"/>
      <c r="Q446" s="62"/>
      <c r="R446" s="62"/>
      <c r="S446" s="62"/>
      <c r="T446" s="87"/>
    </row>
    <row r="447" spans="1:20" x14ac:dyDescent="0.2">
      <c r="A447" s="51" t="s">
        <v>549</v>
      </c>
      <c r="B447" s="56" t="s">
        <v>700</v>
      </c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7"/>
    </row>
    <row r="448" spans="1:20" ht="12.75" customHeight="1" x14ac:dyDescent="0.2">
      <c r="A448" s="52" t="s">
        <v>102</v>
      </c>
      <c r="B448" s="58" t="s">
        <v>216</v>
      </c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</row>
    <row r="449" spans="1:20" ht="50.1" customHeight="1" x14ac:dyDescent="0.2">
      <c r="A449" s="52"/>
      <c r="B449" s="72" t="s">
        <v>448</v>
      </c>
      <c r="C449" s="73"/>
      <c r="D449" s="73"/>
      <c r="E449" s="73"/>
      <c r="F449" s="73"/>
      <c r="G449" s="73"/>
      <c r="H449" s="74"/>
      <c r="I449" s="60" t="s">
        <v>452</v>
      </c>
      <c r="J449" s="60" t="s">
        <v>22</v>
      </c>
      <c r="K449" s="60" t="s">
        <v>40</v>
      </c>
      <c r="L449" s="60" t="s">
        <v>453</v>
      </c>
      <c r="M449" s="60" t="s">
        <v>105</v>
      </c>
      <c r="N449" s="60" t="s">
        <v>700</v>
      </c>
      <c r="O449" s="60" t="s">
        <v>105</v>
      </c>
      <c r="P449" s="63" t="s">
        <v>454</v>
      </c>
      <c r="Q449" s="60"/>
      <c r="R449" s="60" t="s">
        <v>8</v>
      </c>
      <c r="S449" s="60" t="s">
        <v>31</v>
      </c>
      <c r="T449" s="133"/>
    </row>
    <row r="450" spans="1:20" ht="12.75" customHeight="1" x14ac:dyDescent="0.2">
      <c r="A450" s="52"/>
      <c r="B450" s="30" t="s">
        <v>5</v>
      </c>
      <c r="C450" s="31">
        <f>SUM(D450:H450)</f>
        <v>9000</v>
      </c>
      <c r="D450" s="31">
        <f t="shared" ref="D450:H450" si="191">SUM(D451:D454)</f>
        <v>0</v>
      </c>
      <c r="E450" s="31">
        <f t="shared" si="191"/>
        <v>9000</v>
      </c>
      <c r="F450" s="31">
        <f t="shared" si="191"/>
        <v>0</v>
      </c>
      <c r="G450" s="31">
        <f t="shared" si="191"/>
        <v>0</v>
      </c>
      <c r="H450" s="31">
        <f t="shared" si="191"/>
        <v>0</v>
      </c>
      <c r="I450" s="61"/>
      <c r="J450" s="61"/>
      <c r="K450" s="61"/>
      <c r="L450" s="61"/>
      <c r="M450" s="61"/>
      <c r="N450" s="61"/>
      <c r="O450" s="61"/>
      <c r="P450" s="64"/>
      <c r="Q450" s="61"/>
      <c r="R450" s="61"/>
      <c r="S450" s="61"/>
      <c r="T450" s="133"/>
    </row>
    <row r="451" spans="1:20" ht="12.75" customHeight="1" x14ac:dyDescent="0.2">
      <c r="A451" s="52"/>
      <c r="B451" s="30" t="s">
        <v>0</v>
      </c>
      <c r="C451" s="31">
        <f t="shared" ref="C451:C454" si="192">SUM(D451:H451)</f>
        <v>0</v>
      </c>
      <c r="D451" s="32"/>
      <c r="E451" s="32"/>
      <c r="F451" s="32"/>
      <c r="G451" s="32"/>
      <c r="H451" s="32"/>
      <c r="I451" s="61"/>
      <c r="J451" s="61"/>
      <c r="K451" s="61"/>
      <c r="L451" s="61"/>
      <c r="M451" s="61"/>
      <c r="N451" s="61"/>
      <c r="O451" s="61"/>
      <c r="P451" s="64"/>
      <c r="Q451" s="61"/>
      <c r="R451" s="61"/>
      <c r="S451" s="61"/>
      <c r="T451" s="133"/>
    </row>
    <row r="452" spans="1:20" ht="12.75" customHeight="1" x14ac:dyDescent="0.2">
      <c r="A452" s="52"/>
      <c r="B452" s="30" t="s">
        <v>1</v>
      </c>
      <c r="C452" s="31">
        <f t="shared" si="192"/>
        <v>9000</v>
      </c>
      <c r="D452" s="32">
        <f>9000-9000</f>
        <v>0</v>
      </c>
      <c r="E452" s="32">
        <f>0+9000</f>
        <v>9000</v>
      </c>
      <c r="F452" s="32"/>
      <c r="G452" s="32"/>
      <c r="H452" s="32"/>
      <c r="I452" s="61"/>
      <c r="J452" s="61"/>
      <c r="K452" s="61"/>
      <c r="L452" s="61"/>
      <c r="M452" s="61"/>
      <c r="N452" s="61"/>
      <c r="O452" s="61"/>
      <c r="P452" s="64"/>
      <c r="Q452" s="61"/>
      <c r="R452" s="61"/>
      <c r="S452" s="61"/>
      <c r="T452" s="133"/>
    </row>
    <row r="453" spans="1:20" ht="12.75" customHeight="1" x14ac:dyDescent="0.2">
      <c r="A453" s="52"/>
      <c r="B453" s="30" t="s">
        <v>2</v>
      </c>
      <c r="C453" s="31">
        <f t="shared" si="192"/>
        <v>0</v>
      </c>
      <c r="D453" s="32"/>
      <c r="E453" s="32"/>
      <c r="F453" s="32"/>
      <c r="G453" s="32"/>
      <c r="H453" s="32"/>
      <c r="I453" s="61"/>
      <c r="J453" s="61"/>
      <c r="K453" s="61"/>
      <c r="L453" s="61"/>
      <c r="M453" s="61"/>
      <c r="N453" s="61"/>
      <c r="O453" s="61"/>
      <c r="P453" s="64"/>
      <c r="Q453" s="61"/>
      <c r="R453" s="61"/>
      <c r="S453" s="61"/>
      <c r="T453" s="133"/>
    </row>
    <row r="454" spans="1:20" ht="12.75" customHeight="1" x14ac:dyDescent="0.2">
      <c r="A454" s="53"/>
      <c r="B454" s="30" t="s">
        <v>3</v>
      </c>
      <c r="C454" s="31">
        <f t="shared" si="192"/>
        <v>0</v>
      </c>
      <c r="D454" s="32"/>
      <c r="E454" s="32"/>
      <c r="F454" s="32"/>
      <c r="G454" s="32"/>
      <c r="H454" s="32"/>
      <c r="I454" s="62"/>
      <c r="J454" s="62"/>
      <c r="K454" s="62"/>
      <c r="L454" s="62"/>
      <c r="M454" s="62"/>
      <c r="N454" s="62"/>
      <c r="O454" s="62"/>
      <c r="P454" s="65"/>
      <c r="Q454" s="62"/>
      <c r="R454" s="62"/>
      <c r="S454" s="62"/>
      <c r="T454" s="133"/>
    </row>
    <row r="455" spans="1:20" ht="12.75" customHeight="1" x14ac:dyDescent="0.2">
      <c r="A455" s="51" t="s">
        <v>558</v>
      </c>
      <c r="B455" s="56" t="s">
        <v>700</v>
      </c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7"/>
    </row>
    <row r="456" spans="1:20" ht="12.75" customHeight="1" x14ac:dyDescent="0.2">
      <c r="A456" s="52" t="s">
        <v>102</v>
      </c>
      <c r="B456" s="58" t="s">
        <v>216</v>
      </c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50.1" customHeight="1" x14ac:dyDescent="0.2">
      <c r="A457" s="52"/>
      <c r="B457" s="72" t="s">
        <v>494</v>
      </c>
      <c r="C457" s="73"/>
      <c r="D457" s="73"/>
      <c r="E457" s="73"/>
      <c r="F457" s="73"/>
      <c r="G457" s="73"/>
      <c r="H457" s="74"/>
      <c r="I457" s="60"/>
      <c r="J457" s="60" t="s">
        <v>547</v>
      </c>
      <c r="K457" s="60" t="s">
        <v>40</v>
      </c>
      <c r="L457" s="60"/>
      <c r="M457" s="60" t="s">
        <v>105</v>
      </c>
      <c r="N457" s="60" t="s">
        <v>700</v>
      </c>
      <c r="O457" s="60" t="s">
        <v>105</v>
      </c>
      <c r="P457" s="63" t="s">
        <v>568</v>
      </c>
      <c r="Q457" s="60" t="s">
        <v>30</v>
      </c>
      <c r="R457" s="60" t="s">
        <v>8</v>
      </c>
      <c r="S457" s="60" t="s">
        <v>25</v>
      </c>
      <c r="T457" s="133"/>
    </row>
    <row r="458" spans="1:20" ht="12.75" customHeight="1" x14ac:dyDescent="0.2">
      <c r="A458" s="52"/>
      <c r="B458" s="30" t="s">
        <v>5</v>
      </c>
      <c r="C458" s="31">
        <f>SUM(D458:H458)</f>
        <v>10133.36772</v>
      </c>
      <c r="D458" s="31">
        <f t="shared" ref="D458:H458" si="193">SUM(D459:D462)</f>
        <v>10133.36772</v>
      </c>
      <c r="E458" s="31">
        <f t="shared" si="193"/>
        <v>0</v>
      </c>
      <c r="F458" s="31">
        <f t="shared" si="193"/>
        <v>0</v>
      </c>
      <c r="G458" s="31">
        <f t="shared" si="193"/>
        <v>0</v>
      </c>
      <c r="H458" s="31">
        <f t="shared" si="193"/>
        <v>0</v>
      </c>
      <c r="I458" s="61"/>
      <c r="J458" s="61"/>
      <c r="K458" s="61"/>
      <c r="L458" s="61"/>
      <c r="M458" s="61"/>
      <c r="N458" s="61"/>
      <c r="O458" s="61"/>
      <c r="P458" s="64"/>
      <c r="Q458" s="61"/>
      <c r="R458" s="61"/>
      <c r="S458" s="61"/>
      <c r="T458" s="133"/>
    </row>
    <row r="459" spans="1:20" ht="12.75" customHeight="1" x14ac:dyDescent="0.2">
      <c r="A459" s="52"/>
      <c r="B459" s="30" t="s">
        <v>0</v>
      </c>
      <c r="C459" s="31">
        <f t="shared" ref="C459:C462" si="194">SUM(D459:H459)</f>
        <v>0</v>
      </c>
      <c r="D459" s="32"/>
      <c r="E459" s="32"/>
      <c r="F459" s="32"/>
      <c r="G459" s="32"/>
      <c r="H459" s="32"/>
      <c r="I459" s="61"/>
      <c r="J459" s="61"/>
      <c r="K459" s="61"/>
      <c r="L459" s="61"/>
      <c r="M459" s="61"/>
      <c r="N459" s="61"/>
      <c r="O459" s="61"/>
      <c r="P459" s="64"/>
      <c r="Q459" s="61"/>
      <c r="R459" s="61"/>
      <c r="S459" s="61"/>
      <c r="T459" s="133"/>
    </row>
    <row r="460" spans="1:20" ht="12.75" customHeight="1" x14ac:dyDescent="0.2">
      <c r="A460" s="52"/>
      <c r="B460" s="30" t="s">
        <v>1</v>
      </c>
      <c r="C460" s="31">
        <f t="shared" si="194"/>
        <v>10133.36772</v>
      </c>
      <c r="D460" s="32">
        <f>0+12933.33333-3963.379+491.41339+672</f>
        <v>10133.36772</v>
      </c>
      <c r="E460" s="32"/>
      <c r="F460" s="32"/>
      <c r="G460" s="32"/>
      <c r="H460" s="32"/>
      <c r="I460" s="61"/>
      <c r="J460" s="61"/>
      <c r="K460" s="61"/>
      <c r="L460" s="61"/>
      <c r="M460" s="61"/>
      <c r="N460" s="61"/>
      <c r="O460" s="61"/>
      <c r="P460" s="64"/>
      <c r="Q460" s="61"/>
      <c r="R460" s="61"/>
      <c r="S460" s="61"/>
      <c r="T460" s="133"/>
    </row>
    <row r="461" spans="1:20" ht="12.75" customHeight="1" x14ac:dyDescent="0.2">
      <c r="A461" s="52"/>
      <c r="B461" s="30" t="s">
        <v>2</v>
      </c>
      <c r="C461" s="31">
        <f t="shared" si="194"/>
        <v>0</v>
      </c>
      <c r="D461" s="32"/>
      <c r="E461" s="32"/>
      <c r="F461" s="32"/>
      <c r="G461" s="32"/>
      <c r="H461" s="32"/>
      <c r="I461" s="61"/>
      <c r="J461" s="61"/>
      <c r="K461" s="61"/>
      <c r="L461" s="61"/>
      <c r="M461" s="61"/>
      <c r="N461" s="61"/>
      <c r="O461" s="61"/>
      <c r="P461" s="64"/>
      <c r="Q461" s="61"/>
      <c r="R461" s="61"/>
      <c r="S461" s="61"/>
      <c r="T461" s="133"/>
    </row>
    <row r="462" spans="1:20" ht="12.75" customHeight="1" x14ac:dyDescent="0.2">
      <c r="A462" s="53"/>
      <c r="B462" s="30" t="s">
        <v>3</v>
      </c>
      <c r="C462" s="31">
        <f t="shared" si="194"/>
        <v>0</v>
      </c>
      <c r="D462" s="32"/>
      <c r="E462" s="32"/>
      <c r="F462" s="32"/>
      <c r="G462" s="32"/>
      <c r="H462" s="32"/>
      <c r="I462" s="62"/>
      <c r="J462" s="62"/>
      <c r="K462" s="62"/>
      <c r="L462" s="62"/>
      <c r="M462" s="62"/>
      <c r="N462" s="62"/>
      <c r="O462" s="62"/>
      <c r="P462" s="65"/>
      <c r="Q462" s="62"/>
      <c r="R462" s="62"/>
      <c r="S462" s="62"/>
      <c r="T462" s="133"/>
    </row>
    <row r="463" spans="1:20" ht="12.75" customHeight="1" x14ac:dyDescent="0.2">
      <c r="A463" s="51" t="s">
        <v>593</v>
      </c>
      <c r="B463" s="56" t="s">
        <v>700</v>
      </c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7"/>
    </row>
    <row r="464" spans="1:20" ht="12.75" customHeight="1" x14ac:dyDescent="0.2">
      <c r="A464" s="52" t="s">
        <v>102</v>
      </c>
      <c r="B464" s="58" t="s">
        <v>216</v>
      </c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</row>
    <row r="465" spans="1:20" ht="50.1" customHeight="1" x14ac:dyDescent="0.2">
      <c r="A465" s="52"/>
      <c r="B465" s="72" t="s">
        <v>594</v>
      </c>
      <c r="C465" s="73"/>
      <c r="D465" s="73"/>
      <c r="E465" s="73"/>
      <c r="F465" s="73"/>
      <c r="G465" s="73"/>
      <c r="H465" s="74"/>
      <c r="I465" s="60"/>
      <c r="J465" s="60" t="s">
        <v>601</v>
      </c>
      <c r="K465" s="60" t="s">
        <v>40</v>
      </c>
      <c r="L465" s="60" t="s">
        <v>595</v>
      </c>
      <c r="M465" s="60" t="s">
        <v>105</v>
      </c>
      <c r="N465" s="60" t="s">
        <v>700</v>
      </c>
      <c r="O465" s="60" t="s">
        <v>105</v>
      </c>
      <c r="P465" s="63" t="s">
        <v>596</v>
      </c>
      <c r="Q465" s="60" t="s">
        <v>30</v>
      </c>
      <c r="R465" s="60" t="s">
        <v>35</v>
      </c>
      <c r="S465" s="60" t="s">
        <v>25</v>
      </c>
      <c r="T465" s="146"/>
    </row>
    <row r="466" spans="1:20" ht="12.75" customHeight="1" x14ac:dyDescent="0.2">
      <c r="A466" s="52"/>
      <c r="B466" s="30" t="s">
        <v>5</v>
      </c>
      <c r="C466" s="31">
        <f>SUM(D466:H466)</f>
        <v>25000</v>
      </c>
      <c r="D466" s="32">
        <f>SUM(D467:D470)</f>
        <v>0</v>
      </c>
      <c r="E466" s="32">
        <f t="shared" ref="E466:H466" si="195">SUM(E467:E470)</f>
        <v>25000</v>
      </c>
      <c r="F466" s="32">
        <f t="shared" si="195"/>
        <v>0</v>
      </c>
      <c r="G466" s="32">
        <f t="shared" si="195"/>
        <v>0</v>
      </c>
      <c r="H466" s="32">
        <f t="shared" si="195"/>
        <v>0</v>
      </c>
      <c r="I466" s="61"/>
      <c r="J466" s="61"/>
      <c r="K466" s="61"/>
      <c r="L466" s="61"/>
      <c r="M466" s="61"/>
      <c r="N466" s="61"/>
      <c r="O466" s="61"/>
      <c r="P466" s="64"/>
      <c r="Q466" s="61"/>
      <c r="R466" s="61"/>
      <c r="S466" s="61"/>
      <c r="T466" s="147"/>
    </row>
    <row r="467" spans="1:20" ht="12.75" customHeight="1" x14ac:dyDescent="0.2">
      <c r="A467" s="52"/>
      <c r="B467" s="30" t="s">
        <v>0</v>
      </c>
      <c r="C467" s="31">
        <f t="shared" ref="C467:C470" si="196">SUM(D467:H467)</f>
        <v>0</v>
      </c>
      <c r="D467" s="32"/>
      <c r="E467" s="32"/>
      <c r="F467" s="32"/>
      <c r="G467" s="32"/>
      <c r="H467" s="32"/>
      <c r="I467" s="61"/>
      <c r="J467" s="61"/>
      <c r="K467" s="61"/>
      <c r="L467" s="61"/>
      <c r="M467" s="61"/>
      <c r="N467" s="61"/>
      <c r="O467" s="61"/>
      <c r="P467" s="64"/>
      <c r="Q467" s="61"/>
      <c r="R467" s="61"/>
      <c r="S467" s="61"/>
      <c r="T467" s="147"/>
    </row>
    <row r="468" spans="1:20" ht="12.75" customHeight="1" x14ac:dyDescent="0.2">
      <c r="A468" s="52"/>
      <c r="B468" s="30" t="s">
        <v>1</v>
      </c>
      <c r="C468" s="31">
        <f t="shared" si="196"/>
        <v>25000</v>
      </c>
      <c r="D468" s="32"/>
      <c r="E468" s="32">
        <f>0+25000</f>
        <v>25000</v>
      </c>
      <c r="F468" s="32"/>
      <c r="G468" s="32"/>
      <c r="H468" s="32"/>
      <c r="I468" s="61"/>
      <c r="J468" s="61"/>
      <c r="K468" s="61"/>
      <c r="L468" s="61"/>
      <c r="M468" s="61"/>
      <c r="N468" s="61"/>
      <c r="O468" s="61"/>
      <c r="P468" s="64"/>
      <c r="Q468" s="61"/>
      <c r="R468" s="61"/>
      <c r="S468" s="61"/>
      <c r="T468" s="147"/>
    </row>
    <row r="469" spans="1:20" ht="12.75" customHeight="1" x14ac:dyDescent="0.2">
      <c r="A469" s="52"/>
      <c r="B469" s="30" t="s">
        <v>2</v>
      </c>
      <c r="C469" s="31">
        <f t="shared" si="196"/>
        <v>0</v>
      </c>
      <c r="D469" s="32"/>
      <c r="E469" s="32"/>
      <c r="F469" s="32"/>
      <c r="G469" s="32"/>
      <c r="H469" s="32"/>
      <c r="I469" s="61"/>
      <c r="J469" s="61"/>
      <c r="K469" s="61"/>
      <c r="L469" s="61"/>
      <c r="M469" s="61"/>
      <c r="N469" s="61"/>
      <c r="O469" s="61"/>
      <c r="P469" s="64"/>
      <c r="Q469" s="61"/>
      <c r="R469" s="61"/>
      <c r="S469" s="61"/>
      <c r="T469" s="147"/>
    </row>
    <row r="470" spans="1:20" ht="12.75" customHeight="1" x14ac:dyDescent="0.2">
      <c r="A470" s="53"/>
      <c r="B470" s="30" t="s">
        <v>3</v>
      </c>
      <c r="C470" s="31">
        <f t="shared" si="196"/>
        <v>0</v>
      </c>
      <c r="D470" s="32"/>
      <c r="E470" s="32"/>
      <c r="F470" s="32"/>
      <c r="G470" s="32"/>
      <c r="H470" s="32"/>
      <c r="I470" s="62"/>
      <c r="J470" s="62"/>
      <c r="K470" s="62"/>
      <c r="L470" s="62"/>
      <c r="M470" s="62"/>
      <c r="N470" s="62"/>
      <c r="O470" s="62"/>
      <c r="P470" s="65"/>
      <c r="Q470" s="62"/>
      <c r="R470" s="62"/>
      <c r="S470" s="62"/>
      <c r="T470" s="148"/>
    </row>
    <row r="471" spans="1:20" ht="12.75" customHeight="1" x14ac:dyDescent="0.2">
      <c r="A471" s="51" t="s">
        <v>597</v>
      </c>
      <c r="B471" s="56" t="s">
        <v>700</v>
      </c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7"/>
    </row>
    <row r="472" spans="1:20" ht="12.75" customHeight="1" x14ac:dyDescent="0.2">
      <c r="A472" s="52" t="s">
        <v>102</v>
      </c>
      <c r="B472" s="58" t="s">
        <v>216</v>
      </c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</row>
    <row r="473" spans="1:20" ht="50.1" customHeight="1" x14ac:dyDescent="0.2">
      <c r="A473" s="52"/>
      <c r="B473" s="72" t="s">
        <v>598</v>
      </c>
      <c r="C473" s="73"/>
      <c r="D473" s="73"/>
      <c r="E473" s="73"/>
      <c r="F473" s="73"/>
      <c r="G473" s="73"/>
      <c r="H473" s="74"/>
      <c r="I473" s="60"/>
      <c r="J473" s="60" t="s">
        <v>601</v>
      </c>
      <c r="K473" s="60" t="s">
        <v>40</v>
      </c>
      <c r="L473" s="60" t="s">
        <v>599</v>
      </c>
      <c r="M473" s="60" t="s">
        <v>105</v>
      </c>
      <c r="N473" s="60" t="s">
        <v>700</v>
      </c>
      <c r="O473" s="60" t="s">
        <v>105</v>
      </c>
      <c r="P473" s="63" t="s">
        <v>600</v>
      </c>
      <c r="Q473" s="60" t="s">
        <v>30</v>
      </c>
      <c r="R473" s="60" t="s">
        <v>35</v>
      </c>
      <c r="S473" s="60" t="s">
        <v>25</v>
      </c>
      <c r="T473" s="146"/>
    </row>
    <row r="474" spans="1:20" ht="12.75" customHeight="1" x14ac:dyDescent="0.2">
      <c r="A474" s="52"/>
      <c r="B474" s="30" t="s">
        <v>5</v>
      </c>
      <c r="C474" s="31">
        <f>SUM(D474:H474)</f>
        <v>12000</v>
      </c>
      <c r="D474" s="32">
        <f>SUM(D475:D478)</f>
        <v>0</v>
      </c>
      <c r="E474" s="32">
        <f t="shared" ref="E474:H474" si="197">SUM(E475:E478)</f>
        <v>12000</v>
      </c>
      <c r="F474" s="32">
        <f t="shared" si="197"/>
        <v>0</v>
      </c>
      <c r="G474" s="32">
        <f t="shared" si="197"/>
        <v>0</v>
      </c>
      <c r="H474" s="32">
        <f t="shared" si="197"/>
        <v>0</v>
      </c>
      <c r="I474" s="61"/>
      <c r="J474" s="61"/>
      <c r="K474" s="61"/>
      <c r="L474" s="61"/>
      <c r="M474" s="61"/>
      <c r="N474" s="61"/>
      <c r="O474" s="61"/>
      <c r="P474" s="64"/>
      <c r="Q474" s="61"/>
      <c r="R474" s="61"/>
      <c r="S474" s="61"/>
      <c r="T474" s="147"/>
    </row>
    <row r="475" spans="1:20" ht="12.75" customHeight="1" x14ac:dyDescent="0.2">
      <c r="A475" s="52"/>
      <c r="B475" s="30" t="s">
        <v>0</v>
      </c>
      <c r="C475" s="31">
        <f t="shared" ref="C475:C478" si="198">SUM(D475:H475)</f>
        <v>0</v>
      </c>
      <c r="D475" s="32"/>
      <c r="E475" s="32"/>
      <c r="F475" s="32"/>
      <c r="G475" s="32"/>
      <c r="H475" s="32"/>
      <c r="I475" s="61"/>
      <c r="J475" s="61"/>
      <c r="K475" s="61"/>
      <c r="L475" s="61"/>
      <c r="M475" s="61"/>
      <c r="N475" s="61"/>
      <c r="O475" s="61"/>
      <c r="P475" s="64"/>
      <c r="Q475" s="61"/>
      <c r="R475" s="61"/>
      <c r="S475" s="61"/>
      <c r="T475" s="147"/>
    </row>
    <row r="476" spans="1:20" ht="12.75" customHeight="1" x14ac:dyDescent="0.2">
      <c r="A476" s="52"/>
      <c r="B476" s="30" t="s">
        <v>1</v>
      </c>
      <c r="C476" s="31">
        <f t="shared" si="198"/>
        <v>12000</v>
      </c>
      <c r="D476" s="32"/>
      <c r="E476" s="32">
        <f>0+12000</f>
        <v>12000</v>
      </c>
      <c r="F476" s="32"/>
      <c r="G476" s="32"/>
      <c r="H476" s="32"/>
      <c r="I476" s="61"/>
      <c r="J476" s="61"/>
      <c r="K476" s="61"/>
      <c r="L476" s="61"/>
      <c r="M476" s="61"/>
      <c r="N476" s="61"/>
      <c r="O476" s="61"/>
      <c r="P476" s="64"/>
      <c r="Q476" s="61"/>
      <c r="R476" s="61"/>
      <c r="S476" s="61"/>
      <c r="T476" s="147"/>
    </row>
    <row r="477" spans="1:20" ht="12.75" customHeight="1" x14ac:dyDescent="0.2">
      <c r="A477" s="52"/>
      <c r="B477" s="30" t="s">
        <v>2</v>
      </c>
      <c r="C477" s="31">
        <f t="shared" si="198"/>
        <v>0</v>
      </c>
      <c r="D477" s="32"/>
      <c r="E477" s="32"/>
      <c r="F477" s="32"/>
      <c r="G477" s="32"/>
      <c r="H477" s="32"/>
      <c r="I477" s="61"/>
      <c r="J477" s="61"/>
      <c r="K477" s="61"/>
      <c r="L477" s="61"/>
      <c r="M477" s="61"/>
      <c r="N477" s="61"/>
      <c r="O477" s="61"/>
      <c r="P477" s="64"/>
      <c r="Q477" s="61"/>
      <c r="R477" s="61"/>
      <c r="S477" s="61"/>
      <c r="T477" s="147"/>
    </row>
    <row r="478" spans="1:20" ht="12.75" customHeight="1" x14ac:dyDescent="0.2">
      <c r="A478" s="53"/>
      <c r="B478" s="30" t="s">
        <v>3</v>
      </c>
      <c r="C478" s="31">
        <f t="shared" si="198"/>
        <v>0</v>
      </c>
      <c r="D478" s="32"/>
      <c r="E478" s="32"/>
      <c r="F478" s="32"/>
      <c r="G478" s="32"/>
      <c r="H478" s="32"/>
      <c r="I478" s="62"/>
      <c r="J478" s="62"/>
      <c r="K478" s="62"/>
      <c r="L478" s="62"/>
      <c r="M478" s="62"/>
      <c r="N478" s="62"/>
      <c r="O478" s="62"/>
      <c r="P478" s="65"/>
      <c r="Q478" s="62"/>
      <c r="R478" s="62"/>
      <c r="S478" s="62"/>
      <c r="T478" s="148"/>
    </row>
    <row r="479" spans="1:20" ht="12.75" customHeight="1" x14ac:dyDescent="0.2">
      <c r="A479" s="51" t="s">
        <v>602</v>
      </c>
      <c r="B479" s="56" t="s">
        <v>700</v>
      </c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7"/>
    </row>
    <row r="480" spans="1:20" ht="12.75" customHeight="1" x14ac:dyDescent="0.2">
      <c r="A480" s="52" t="s">
        <v>102</v>
      </c>
      <c r="B480" s="58" t="s">
        <v>216</v>
      </c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</row>
    <row r="481" spans="1:20" ht="50.1" customHeight="1" x14ac:dyDescent="0.2">
      <c r="A481" s="52"/>
      <c r="B481" s="72" t="s">
        <v>603</v>
      </c>
      <c r="C481" s="73"/>
      <c r="D481" s="73"/>
      <c r="E481" s="73"/>
      <c r="F481" s="73"/>
      <c r="G481" s="73"/>
      <c r="H481" s="74"/>
      <c r="I481" s="60"/>
      <c r="J481" s="60" t="s">
        <v>547</v>
      </c>
      <c r="K481" s="60" t="s">
        <v>40</v>
      </c>
      <c r="L481" s="60" t="s">
        <v>604</v>
      </c>
      <c r="M481" s="60" t="s">
        <v>105</v>
      </c>
      <c r="N481" s="60" t="s">
        <v>700</v>
      </c>
      <c r="O481" s="60" t="s">
        <v>105</v>
      </c>
      <c r="P481" s="63" t="s">
        <v>605</v>
      </c>
      <c r="Q481" s="60" t="s">
        <v>30</v>
      </c>
      <c r="R481" s="60" t="s">
        <v>35</v>
      </c>
      <c r="S481" s="60" t="s">
        <v>25</v>
      </c>
      <c r="T481" s="146"/>
    </row>
    <row r="482" spans="1:20" ht="12.75" customHeight="1" x14ac:dyDescent="0.2">
      <c r="A482" s="52"/>
      <c r="B482" s="30" t="s">
        <v>5</v>
      </c>
      <c r="C482" s="31">
        <f>SUM(D482:H482)</f>
        <v>80000</v>
      </c>
      <c r="D482" s="32">
        <f>SUM(D483:D486)</f>
        <v>0</v>
      </c>
      <c r="E482" s="32">
        <f t="shared" ref="E482:H482" si="199">SUM(E483:E486)</f>
        <v>80000</v>
      </c>
      <c r="F482" s="32">
        <f t="shared" si="199"/>
        <v>0</v>
      </c>
      <c r="G482" s="32">
        <f t="shared" si="199"/>
        <v>0</v>
      </c>
      <c r="H482" s="32">
        <f t="shared" si="199"/>
        <v>0</v>
      </c>
      <c r="I482" s="61"/>
      <c r="J482" s="61"/>
      <c r="K482" s="61"/>
      <c r="L482" s="61"/>
      <c r="M482" s="61"/>
      <c r="N482" s="61"/>
      <c r="O482" s="61"/>
      <c r="P482" s="64"/>
      <c r="Q482" s="61"/>
      <c r="R482" s="61"/>
      <c r="S482" s="61"/>
      <c r="T482" s="147"/>
    </row>
    <row r="483" spans="1:20" ht="12.75" customHeight="1" x14ac:dyDescent="0.2">
      <c r="A483" s="52"/>
      <c r="B483" s="30" t="s">
        <v>0</v>
      </c>
      <c r="C483" s="31">
        <f t="shared" ref="C483:C486" si="200">SUM(D483:H483)</f>
        <v>0</v>
      </c>
      <c r="D483" s="32"/>
      <c r="E483" s="32"/>
      <c r="F483" s="32"/>
      <c r="G483" s="32"/>
      <c r="H483" s="32"/>
      <c r="I483" s="61"/>
      <c r="J483" s="61"/>
      <c r="K483" s="61"/>
      <c r="L483" s="61"/>
      <c r="M483" s="61"/>
      <c r="N483" s="61"/>
      <c r="O483" s="61"/>
      <c r="P483" s="64"/>
      <c r="Q483" s="61"/>
      <c r="R483" s="61"/>
      <c r="S483" s="61"/>
      <c r="T483" s="147"/>
    </row>
    <row r="484" spans="1:20" ht="12.75" customHeight="1" x14ac:dyDescent="0.2">
      <c r="A484" s="52"/>
      <c r="B484" s="30" t="s">
        <v>1</v>
      </c>
      <c r="C484" s="31">
        <f t="shared" si="200"/>
        <v>80000</v>
      </c>
      <c r="D484" s="32"/>
      <c r="E484" s="32">
        <f>0+80000</f>
        <v>80000</v>
      </c>
      <c r="F484" s="32"/>
      <c r="G484" s="32"/>
      <c r="H484" s="32"/>
      <c r="I484" s="61"/>
      <c r="J484" s="61"/>
      <c r="K484" s="61"/>
      <c r="L484" s="61"/>
      <c r="M484" s="61"/>
      <c r="N484" s="61"/>
      <c r="O484" s="61"/>
      <c r="P484" s="64"/>
      <c r="Q484" s="61"/>
      <c r="R484" s="61"/>
      <c r="S484" s="61"/>
      <c r="T484" s="147"/>
    </row>
    <row r="485" spans="1:20" ht="12.75" customHeight="1" x14ac:dyDescent="0.2">
      <c r="A485" s="52"/>
      <c r="B485" s="30" t="s">
        <v>2</v>
      </c>
      <c r="C485" s="31">
        <f t="shared" si="200"/>
        <v>0</v>
      </c>
      <c r="D485" s="32"/>
      <c r="E485" s="32"/>
      <c r="F485" s="32"/>
      <c r="G485" s="32"/>
      <c r="H485" s="32"/>
      <c r="I485" s="61"/>
      <c r="J485" s="61"/>
      <c r="K485" s="61"/>
      <c r="L485" s="61"/>
      <c r="M485" s="61"/>
      <c r="N485" s="61"/>
      <c r="O485" s="61"/>
      <c r="P485" s="64"/>
      <c r="Q485" s="61"/>
      <c r="R485" s="61"/>
      <c r="S485" s="61"/>
      <c r="T485" s="147"/>
    </row>
    <row r="486" spans="1:20" ht="12.75" customHeight="1" x14ac:dyDescent="0.2">
      <c r="A486" s="53"/>
      <c r="B486" s="30" t="s">
        <v>3</v>
      </c>
      <c r="C486" s="31">
        <f t="shared" si="200"/>
        <v>0</v>
      </c>
      <c r="D486" s="32"/>
      <c r="E486" s="32"/>
      <c r="F486" s="32"/>
      <c r="G486" s="32"/>
      <c r="H486" s="32"/>
      <c r="I486" s="62"/>
      <c r="J486" s="62"/>
      <c r="K486" s="62"/>
      <c r="L486" s="62"/>
      <c r="M486" s="62"/>
      <c r="N486" s="62"/>
      <c r="O486" s="62"/>
      <c r="P486" s="65"/>
      <c r="Q486" s="62"/>
      <c r="R486" s="62"/>
      <c r="S486" s="62"/>
      <c r="T486" s="148"/>
    </row>
    <row r="487" spans="1:20" ht="12.75" customHeight="1" x14ac:dyDescent="0.2">
      <c r="A487" s="51" t="s">
        <v>606</v>
      </c>
      <c r="B487" s="56" t="s">
        <v>700</v>
      </c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7"/>
    </row>
    <row r="488" spans="1:20" ht="12.75" customHeight="1" x14ac:dyDescent="0.2">
      <c r="A488" s="52" t="s">
        <v>102</v>
      </c>
      <c r="B488" s="58" t="s">
        <v>216</v>
      </c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</row>
    <row r="489" spans="1:20" ht="50.1" customHeight="1" x14ac:dyDescent="0.2">
      <c r="A489" s="52"/>
      <c r="B489" s="72" t="s">
        <v>607</v>
      </c>
      <c r="C489" s="73"/>
      <c r="D489" s="73"/>
      <c r="E489" s="73"/>
      <c r="F489" s="73"/>
      <c r="G489" s="73"/>
      <c r="H489" s="74"/>
      <c r="I489" s="60"/>
      <c r="J489" s="60" t="s">
        <v>547</v>
      </c>
      <c r="K489" s="60" t="s">
        <v>40</v>
      </c>
      <c r="L489" s="60" t="s">
        <v>608</v>
      </c>
      <c r="M489" s="60" t="s">
        <v>105</v>
      </c>
      <c r="N489" s="60" t="s">
        <v>700</v>
      </c>
      <c r="O489" s="60" t="s">
        <v>105</v>
      </c>
      <c r="P489" s="63">
        <v>620000</v>
      </c>
      <c r="Q489" s="60" t="s">
        <v>30</v>
      </c>
      <c r="R489" s="60" t="s">
        <v>35</v>
      </c>
      <c r="S489" s="60" t="s">
        <v>25</v>
      </c>
      <c r="T489" s="146"/>
    </row>
    <row r="490" spans="1:20" ht="12.75" customHeight="1" x14ac:dyDescent="0.2">
      <c r="A490" s="52"/>
      <c r="B490" s="30" t="s">
        <v>5</v>
      </c>
      <c r="C490" s="31">
        <f>SUM(D490:H490)</f>
        <v>20000</v>
      </c>
      <c r="D490" s="32">
        <f>SUM(D491:D494)</f>
        <v>0</v>
      </c>
      <c r="E490" s="32">
        <f t="shared" ref="E490:H490" si="201">SUM(E491:E494)</f>
        <v>20000</v>
      </c>
      <c r="F490" s="32">
        <f t="shared" si="201"/>
        <v>0</v>
      </c>
      <c r="G490" s="32">
        <f t="shared" si="201"/>
        <v>0</v>
      </c>
      <c r="H490" s="32">
        <f t="shared" si="201"/>
        <v>0</v>
      </c>
      <c r="I490" s="61"/>
      <c r="J490" s="61"/>
      <c r="K490" s="61"/>
      <c r="L490" s="61"/>
      <c r="M490" s="61"/>
      <c r="N490" s="61"/>
      <c r="O490" s="61"/>
      <c r="P490" s="64"/>
      <c r="Q490" s="61"/>
      <c r="R490" s="61"/>
      <c r="S490" s="61"/>
      <c r="T490" s="147"/>
    </row>
    <row r="491" spans="1:20" ht="12.75" customHeight="1" x14ac:dyDescent="0.2">
      <c r="A491" s="52"/>
      <c r="B491" s="30" t="s">
        <v>0</v>
      </c>
      <c r="C491" s="31">
        <f t="shared" ref="C491:C494" si="202">SUM(D491:H491)</f>
        <v>0</v>
      </c>
      <c r="D491" s="32"/>
      <c r="E491" s="32"/>
      <c r="F491" s="32"/>
      <c r="G491" s="32"/>
      <c r="H491" s="32"/>
      <c r="I491" s="61"/>
      <c r="J491" s="61"/>
      <c r="K491" s="61"/>
      <c r="L491" s="61"/>
      <c r="M491" s="61"/>
      <c r="N491" s="61"/>
      <c r="O491" s="61"/>
      <c r="P491" s="64"/>
      <c r="Q491" s="61"/>
      <c r="R491" s="61"/>
      <c r="S491" s="61"/>
      <c r="T491" s="147"/>
    </row>
    <row r="492" spans="1:20" ht="12.75" customHeight="1" x14ac:dyDescent="0.2">
      <c r="A492" s="52"/>
      <c r="B492" s="30" t="s">
        <v>1</v>
      </c>
      <c r="C492" s="31">
        <f t="shared" si="202"/>
        <v>20000</v>
      </c>
      <c r="D492" s="32"/>
      <c r="E492" s="32">
        <f>0+20000</f>
        <v>20000</v>
      </c>
      <c r="F492" s="32"/>
      <c r="G492" s="32"/>
      <c r="H492" s="32"/>
      <c r="I492" s="61"/>
      <c r="J492" s="61"/>
      <c r="K492" s="61"/>
      <c r="L492" s="61"/>
      <c r="M492" s="61"/>
      <c r="N492" s="61"/>
      <c r="O492" s="61"/>
      <c r="P492" s="64"/>
      <c r="Q492" s="61"/>
      <c r="R492" s="61"/>
      <c r="S492" s="61"/>
      <c r="T492" s="147"/>
    </row>
    <row r="493" spans="1:20" ht="12.75" customHeight="1" x14ac:dyDescent="0.2">
      <c r="A493" s="52"/>
      <c r="B493" s="30" t="s">
        <v>2</v>
      </c>
      <c r="C493" s="31">
        <f t="shared" si="202"/>
        <v>0</v>
      </c>
      <c r="D493" s="32"/>
      <c r="E493" s="32"/>
      <c r="F493" s="32"/>
      <c r="G493" s="32"/>
      <c r="H493" s="32"/>
      <c r="I493" s="61"/>
      <c r="J493" s="61"/>
      <c r="K493" s="61"/>
      <c r="L493" s="61"/>
      <c r="M493" s="61"/>
      <c r="N493" s="61"/>
      <c r="O493" s="61"/>
      <c r="P493" s="64"/>
      <c r="Q493" s="61"/>
      <c r="R493" s="61"/>
      <c r="S493" s="61"/>
      <c r="T493" s="147"/>
    </row>
    <row r="494" spans="1:20" ht="12.75" customHeight="1" x14ac:dyDescent="0.2">
      <c r="A494" s="53"/>
      <c r="B494" s="30" t="s">
        <v>3</v>
      </c>
      <c r="C494" s="31">
        <f t="shared" si="202"/>
        <v>0</v>
      </c>
      <c r="D494" s="32"/>
      <c r="E494" s="32"/>
      <c r="F494" s="32"/>
      <c r="G494" s="32"/>
      <c r="H494" s="32"/>
      <c r="I494" s="62"/>
      <c r="J494" s="62"/>
      <c r="K494" s="62"/>
      <c r="L494" s="62"/>
      <c r="M494" s="62"/>
      <c r="N494" s="62"/>
      <c r="O494" s="62"/>
      <c r="P494" s="65"/>
      <c r="Q494" s="62"/>
      <c r="R494" s="62"/>
      <c r="S494" s="62"/>
      <c r="T494" s="148"/>
    </row>
    <row r="495" spans="1:20" ht="12.75" customHeight="1" x14ac:dyDescent="0.2">
      <c r="A495" s="51" t="s">
        <v>609</v>
      </c>
      <c r="B495" s="56" t="s">
        <v>700</v>
      </c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7"/>
    </row>
    <row r="496" spans="1:20" ht="12.75" customHeight="1" x14ac:dyDescent="0.2">
      <c r="A496" s="52" t="s">
        <v>102</v>
      </c>
      <c r="B496" s="58" t="s">
        <v>216</v>
      </c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</row>
    <row r="497" spans="1:20" ht="50.1" customHeight="1" x14ac:dyDescent="0.2">
      <c r="A497" s="52"/>
      <c r="B497" s="72" t="s">
        <v>610</v>
      </c>
      <c r="C497" s="73"/>
      <c r="D497" s="73"/>
      <c r="E497" s="73"/>
      <c r="F497" s="73"/>
      <c r="G497" s="73"/>
      <c r="H497" s="74"/>
      <c r="I497" s="60"/>
      <c r="J497" s="60" t="s">
        <v>547</v>
      </c>
      <c r="K497" s="60" t="s">
        <v>40</v>
      </c>
      <c r="L497" s="60" t="s">
        <v>611</v>
      </c>
      <c r="M497" s="60" t="s">
        <v>105</v>
      </c>
      <c r="N497" s="60" t="s">
        <v>700</v>
      </c>
      <c r="O497" s="60" t="s">
        <v>105</v>
      </c>
      <c r="P497" s="63" t="s">
        <v>612</v>
      </c>
      <c r="Q497" s="60" t="s">
        <v>30</v>
      </c>
      <c r="R497" s="60" t="s">
        <v>35</v>
      </c>
      <c r="S497" s="60" t="s">
        <v>25</v>
      </c>
      <c r="T497" s="146"/>
    </row>
    <row r="498" spans="1:20" ht="12.75" customHeight="1" x14ac:dyDescent="0.2">
      <c r="A498" s="52"/>
      <c r="B498" s="30" t="s">
        <v>5</v>
      </c>
      <c r="C498" s="31">
        <f>SUM(D498:H498)</f>
        <v>12000</v>
      </c>
      <c r="D498" s="32">
        <f>SUM(D499:D502)</f>
        <v>0</v>
      </c>
      <c r="E498" s="32">
        <f t="shared" ref="E498:H498" si="203">SUM(E499:E502)</f>
        <v>12000</v>
      </c>
      <c r="F498" s="32">
        <f t="shared" si="203"/>
        <v>0</v>
      </c>
      <c r="G498" s="32">
        <f t="shared" si="203"/>
        <v>0</v>
      </c>
      <c r="H498" s="32">
        <f t="shared" si="203"/>
        <v>0</v>
      </c>
      <c r="I498" s="61"/>
      <c r="J498" s="61"/>
      <c r="K498" s="61"/>
      <c r="L498" s="61"/>
      <c r="M498" s="61"/>
      <c r="N498" s="61"/>
      <c r="O498" s="61"/>
      <c r="P498" s="64"/>
      <c r="Q498" s="61"/>
      <c r="R498" s="61"/>
      <c r="S498" s="61"/>
      <c r="T498" s="147"/>
    </row>
    <row r="499" spans="1:20" ht="12.75" customHeight="1" x14ac:dyDescent="0.2">
      <c r="A499" s="52"/>
      <c r="B499" s="30" t="s">
        <v>0</v>
      </c>
      <c r="C499" s="31">
        <f t="shared" ref="C499:C502" si="204">SUM(D499:H499)</f>
        <v>0</v>
      </c>
      <c r="D499" s="32"/>
      <c r="E499" s="32"/>
      <c r="F499" s="32"/>
      <c r="G499" s="32"/>
      <c r="H499" s="32"/>
      <c r="I499" s="61"/>
      <c r="J499" s="61"/>
      <c r="K499" s="61"/>
      <c r="L499" s="61"/>
      <c r="M499" s="61"/>
      <c r="N499" s="61"/>
      <c r="O499" s="61"/>
      <c r="P499" s="64"/>
      <c r="Q499" s="61"/>
      <c r="R499" s="61"/>
      <c r="S499" s="61"/>
      <c r="T499" s="147"/>
    </row>
    <row r="500" spans="1:20" ht="12.75" customHeight="1" x14ac:dyDescent="0.2">
      <c r="A500" s="52"/>
      <c r="B500" s="30" t="s">
        <v>1</v>
      </c>
      <c r="C500" s="31">
        <f t="shared" si="204"/>
        <v>12000</v>
      </c>
      <c r="D500" s="32"/>
      <c r="E500" s="32">
        <f>0+12000</f>
        <v>12000</v>
      </c>
      <c r="F500" s="32"/>
      <c r="G500" s="32"/>
      <c r="H500" s="32"/>
      <c r="I500" s="61"/>
      <c r="J500" s="61"/>
      <c r="K500" s="61"/>
      <c r="L500" s="61"/>
      <c r="M500" s="61"/>
      <c r="N500" s="61"/>
      <c r="O500" s="61"/>
      <c r="P500" s="64"/>
      <c r="Q500" s="61"/>
      <c r="R500" s="61"/>
      <c r="S500" s="61"/>
      <c r="T500" s="147"/>
    </row>
    <row r="501" spans="1:20" ht="12.75" customHeight="1" x14ac:dyDescent="0.2">
      <c r="A501" s="52"/>
      <c r="B501" s="30" t="s">
        <v>2</v>
      </c>
      <c r="C501" s="31">
        <f t="shared" si="204"/>
        <v>0</v>
      </c>
      <c r="D501" s="32"/>
      <c r="E501" s="32"/>
      <c r="F501" s="32"/>
      <c r="G501" s="32"/>
      <c r="H501" s="32"/>
      <c r="I501" s="61"/>
      <c r="J501" s="61"/>
      <c r="K501" s="61"/>
      <c r="L501" s="61"/>
      <c r="M501" s="61"/>
      <c r="N501" s="61"/>
      <c r="O501" s="61"/>
      <c r="P501" s="64"/>
      <c r="Q501" s="61"/>
      <c r="R501" s="61"/>
      <c r="S501" s="61"/>
      <c r="T501" s="147"/>
    </row>
    <row r="502" spans="1:20" ht="12.75" customHeight="1" x14ac:dyDescent="0.2">
      <c r="A502" s="53"/>
      <c r="B502" s="30" t="s">
        <v>3</v>
      </c>
      <c r="C502" s="31">
        <f t="shared" si="204"/>
        <v>0</v>
      </c>
      <c r="D502" s="32"/>
      <c r="E502" s="32"/>
      <c r="F502" s="32"/>
      <c r="G502" s="32"/>
      <c r="H502" s="32"/>
      <c r="I502" s="62"/>
      <c r="J502" s="62"/>
      <c r="K502" s="62"/>
      <c r="L502" s="62"/>
      <c r="M502" s="62"/>
      <c r="N502" s="62"/>
      <c r="O502" s="62"/>
      <c r="P502" s="65"/>
      <c r="Q502" s="62"/>
      <c r="R502" s="62"/>
      <c r="S502" s="62"/>
      <c r="T502" s="148"/>
    </row>
    <row r="503" spans="1:20" ht="12.75" customHeight="1" x14ac:dyDescent="0.2">
      <c r="A503" s="51" t="s">
        <v>673</v>
      </c>
      <c r="B503" s="56" t="s">
        <v>700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7"/>
    </row>
    <row r="504" spans="1:20" x14ac:dyDescent="0.2">
      <c r="A504" s="52" t="s">
        <v>102</v>
      </c>
      <c r="B504" s="58" t="s">
        <v>166</v>
      </c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</row>
    <row r="505" spans="1:20" ht="50.1" customHeight="1" x14ac:dyDescent="0.2">
      <c r="A505" s="52"/>
      <c r="B505" s="72" t="s">
        <v>674</v>
      </c>
      <c r="C505" s="73"/>
      <c r="D505" s="73"/>
      <c r="E505" s="73"/>
      <c r="F505" s="73"/>
      <c r="G505" s="73"/>
      <c r="H505" s="74"/>
      <c r="I505" s="60" t="s">
        <v>675</v>
      </c>
      <c r="J505" s="60"/>
      <c r="K505" s="60" t="s">
        <v>40</v>
      </c>
      <c r="L505" s="60"/>
      <c r="M505" s="60" t="s">
        <v>105</v>
      </c>
      <c r="N505" s="60" t="s">
        <v>700</v>
      </c>
      <c r="O505" s="60" t="s">
        <v>105</v>
      </c>
      <c r="P505" s="63" t="s">
        <v>676</v>
      </c>
      <c r="Q505" s="60" t="s">
        <v>30</v>
      </c>
      <c r="R505" s="60" t="s">
        <v>35</v>
      </c>
      <c r="S505" s="60" t="s">
        <v>32</v>
      </c>
      <c r="T505" s="60" t="s">
        <v>677</v>
      </c>
    </row>
    <row r="506" spans="1:20" ht="12.75" customHeight="1" x14ac:dyDescent="0.2">
      <c r="A506" s="52"/>
      <c r="B506" s="30" t="s">
        <v>5</v>
      </c>
      <c r="C506" s="31">
        <f>SUM(D506:H506)</f>
        <v>57.747430000000001</v>
      </c>
      <c r="D506" s="32">
        <f>SUM(D507:D510)</f>
        <v>57.747430000000001</v>
      </c>
      <c r="E506" s="32">
        <f t="shared" ref="E506:H506" si="205">SUM(E507:E510)</f>
        <v>0</v>
      </c>
      <c r="F506" s="32">
        <f t="shared" si="205"/>
        <v>0</v>
      </c>
      <c r="G506" s="32">
        <f t="shared" si="205"/>
        <v>0</v>
      </c>
      <c r="H506" s="32">
        <f t="shared" si="205"/>
        <v>0</v>
      </c>
      <c r="I506" s="61"/>
      <c r="J506" s="61"/>
      <c r="K506" s="61"/>
      <c r="L506" s="61"/>
      <c r="M506" s="61"/>
      <c r="N506" s="61"/>
      <c r="O506" s="61"/>
      <c r="P506" s="64"/>
      <c r="Q506" s="61"/>
      <c r="R506" s="61"/>
      <c r="S506" s="61"/>
      <c r="T506" s="61"/>
    </row>
    <row r="507" spans="1:20" ht="12.75" customHeight="1" x14ac:dyDescent="0.2">
      <c r="A507" s="52"/>
      <c r="B507" s="30" t="s">
        <v>0</v>
      </c>
      <c r="C507" s="31">
        <f t="shared" ref="C507:C510" si="206">SUM(D507:H507)</f>
        <v>0</v>
      </c>
      <c r="D507" s="32"/>
      <c r="E507" s="32"/>
      <c r="F507" s="32"/>
      <c r="G507" s="32"/>
      <c r="H507" s="32"/>
      <c r="I507" s="61"/>
      <c r="J507" s="61"/>
      <c r="K507" s="61"/>
      <c r="L507" s="61"/>
      <c r="M507" s="61"/>
      <c r="N507" s="61"/>
      <c r="O507" s="61"/>
      <c r="P507" s="64"/>
      <c r="Q507" s="61"/>
      <c r="R507" s="61"/>
      <c r="S507" s="61"/>
      <c r="T507" s="61"/>
    </row>
    <row r="508" spans="1:20" ht="12.75" customHeight="1" x14ac:dyDescent="0.2">
      <c r="A508" s="52"/>
      <c r="B508" s="30" t="s">
        <v>1</v>
      </c>
      <c r="C508" s="31">
        <f t="shared" si="206"/>
        <v>57.747430000000001</v>
      </c>
      <c r="D508" s="32">
        <v>57.747430000000001</v>
      </c>
      <c r="E508" s="32"/>
      <c r="F508" s="32"/>
      <c r="G508" s="32"/>
      <c r="H508" s="32"/>
      <c r="I508" s="61"/>
      <c r="J508" s="61"/>
      <c r="K508" s="61"/>
      <c r="L508" s="61"/>
      <c r="M508" s="61"/>
      <c r="N508" s="61"/>
      <c r="O508" s="61"/>
      <c r="P508" s="64"/>
      <c r="Q508" s="61"/>
      <c r="R508" s="61"/>
      <c r="S508" s="61"/>
      <c r="T508" s="61"/>
    </row>
    <row r="509" spans="1:20" ht="12.75" customHeight="1" x14ac:dyDescent="0.2">
      <c r="A509" s="52"/>
      <c r="B509" s="30" t="s">
        <v>2</v>
      </c>
      <c r="C509" s="31">
        <f t="shared" si="206"/>
        <v>0</v>
      </c>
      <c r="D509" s="32"/>
      <c r="E509" s="32"/>
      <c r="F509" s="32"/>
      <c r="G509" s="32"/>
      <c r="H509" s="32"/>
      <c r="I509" s="61"/>
      <c r="J509" s="61"/>
      <c r="K509" s="61"/>
      <c r="L509" s="61"/>
      <c r="M509" s="61"/>
      <c r="N509" s="61"/>
      <c r="O509" s="61"/>
      <c r="P509" s="64"/>
      <c r="Q509" s="61"/>
      <c r="R509" s="61"/>
      <c r="S509" s="61"/>
      <c r="T509" s="61"/>
    </row>
    <row r="510" spans="1:20" ht="12.75" customHeight="1" x14ac:dyDescent="0.2">
      <c r="A510" s="53"/>
      <c r="B510" s="30" t="s">
        <v>3</v>
      </c>
      <c r="C510" s="31">
        <f t="shared" si="206"/>
        <v>0</v>
      </c>
      <c r="D510" s="32"/>
      <c r="E510" s="32"/>
      <c r="F510" s="32"/>
      <c r="G510" s="32"/>
      <c r="H510" s="32"/>
      <c r="I510" s="62"/>
      <c r="J510" s="62"/>
      <c r="K510" s="62"/>
      <c r="L510" s="62"/>
      <c r="M510" s="62"/>
      <c r="N510" s="62"/>
      <c r="O510" s="62"/>
      <c r="P510" s="65"/>
      <c r="Q510" s="62"/>
      <c r="R510" s="62"/>
      <c r="S510" s="62"/>
      <c r="T510" s="62"/>
    </row>
    <row r="511" spans="1:20" ht="12.75" customHeight="1" x14ac:dyDescent="0.2">
      <c r="A511" s="51" t="s">
        <v>680</v>
      </c>
      <c r="B511" s="56" t="s">
        <v>101</v>
      </c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7"/>
    </row>
    <row r="512" spans="1:20" ht="12.75" customHeight="1" x14ac:dyDescent="0.2">
      <c r="A512" s="52" t="s">
        <v>102</v>
      </c>
      <c r="B512" s="58" t="s">
        <v>166</v>
      </c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</row>
    <row r="513" spans="1:20" ht="50.1" customHeight="1" x14ac:dyDescent="0.2">
      <c r="A513" s="52"/>
      <c r="B513" s="59" t="s">
        <v>681</v>
      </c>
      <c r="C513" s="54"/>
      <c r="D513" s="54"/>
      <c r="E513" s="54"/>
      <c r="F513" s="54"/>
      <c r="G513" s="54"/>
      <c r="H513" s="55"/>
      <c r="I513" s="60" t="s">
        <v>116</v>
      </c>
      <c r="J513" s="60"/>
      <c r="K513" s="60" t="s">
        <v>557</v>
      </c>
      <c r="L513" s="60"/>
      <c r="M513" s="60" t="s">
        <v>682</v>
      </c>
      <c r="N513" s="60" t="s">
        <v>101</v>
      </c>
      <c r="O513" s="60" t="s">
        <v>682</v>
      </c>
      <c r="P513" s="60"/>
      <c r="Q513" s="60" t="s">
        <v>30</v>
      </c>
      <c r="R513" s="60" t="s">
        <v>8</v>
      </c>
      <c r="S513" s="60"/>
      <c r="T513" s="60"/>
    </row>
    <row r="514" spans="1:20" ht="12.75" customHeight="1" x14ac:dyDescent="0.2">
      <c r="A514" s="52"/>
      <c r="B514" s="30" t="s">
        <v>5</v>
      </c>
      <c r="C514" s="31">
        <f>SUM(D514:H514)</f>
        <v>4323.5539399999998</v>
      </c>
      <c r="D514" s="32">
        <f>SUM(D515:D518)</f>
        <v>4323.5539399999998</v>
      </c>
      <c r="E514" s="32">
        <f t="shared" ref="E514:H514" si="207">SUM(E515:E518)</f>
        <v>0</v>
      </c>
      <c r="F514" s="32">
        <f t="shared" si="207"/>
        <v>0</v>
      </c>
      <c r="G514" s="32">
        <f t="shared" si="207"/>
        <v>0</v>
      </c>
      <c r="H514" s="32">
        <f t="shared" si="207"/>
        <v>0</v>
      </c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</row>
    <row r="515" spans="1:20" ht="12.75" customHeight="1" x14ac:dyDescent="0.2">
      <c r="A515" s="52"/>
      <c r="B515" s="30" t="s">
        <v>0</v>
      </c>
      <c r="C515" s="31">
        <f t="shared" ref="C515:C518" si="208">SUM(D515:H515)</f>
        <v>0</v>
      </c>
      <c r="D515" s="32"/>
      <c r="E515" s="32"/>
      <c r="F515" s="32"/>
      <c r="G515" s="32"/>
      <c r="H515" s="32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</row>
    <row r="516" spans="1:20" ht="12.75" customHeight="1" x14ac:dyDescent="0.2">
      <c r="A516" s="52"/>
      <c r="B516" s="30" t="s">
        <v>1</v>
      </c>
      <c r="C516" s="31">
        <f t="shared" si="208"/>
        <v>4323.5539399999998</v>
      </c>
      <c r="D516" s="32">
        <f>0+4323.55394</f>
        <v>4323.5539399999998</v>
      </c>
      <c r="E516" s="32"/>
      <c r="F516" s="32"/>
      <c r="G516" s="32"/>
      <c r="H516" s="32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</row>
    <row r="517" spans="1:20" ht="12.75" customHeight="1" x14ac:dyDescent="0.2">
      <c r="A517" s="52"/>
      <c r="B517" s="30" t="s">
        <v>2</v>
      </c>
      <c r="C517" s="31">
        <f t="shared" si="208"/>
        <v>0</v>
      </c>
      <c r="D517" s="32"/>
      <c r="E517" s="32"/>
      <c r="F517" s="32"/>
      <c r="G517" s="32"/>
      <c r="H517" s="32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</row>
    <row r="518" spans="1:20" ht="12.75" customHeight="1" x14ac:dyDescent="0.2">
      <c r="A518" s="53"/>
      <c r="B518" s="30" t="s">
        <v>3</v>
      </c>
      <c r="C518" s="31">
        <f t="shared" si="208"/>
        <v>0</v>
      </c>
      <c r="D518" s="32"/>
      <c r="E518" s="32"/>
      <c r="F518" s="32"/>
      <c r="G518" s="32"/>
      <c r="H518" s="3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</row>
    <row r="519" spans="1:20" ht="15" customHeight="1" x14ac:dyDescent="0.2">
      <c r="A519" s="88" t="s">
        <v>119</v>
      </c>
      <c r="B519" s="79" t="s">
        <v>174</v>
      </c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</row>
    <row r="520" spans="1:20" ht="15" customHeight="1" x14ac:dyDescent="0.2">
      <c r="A520" s="89"/>
      <c r="B520" s="12" t="s">
        <v>5</v>
      </c>
      <c r="C520" s="13">
        <f>SUM(D520:H520)</f>
        <v>2833411.0480981837</v>
      </c>
      <c r="D520" s="13">
        <f>SUM(D521:D525)</f>
        <v>760583.57290999987</v>
      </c>
      <c r="E520" s="13">
        <f>SUM(E521:E525)</f>
        <v>1005246.7509881837</v>
      </c>
      <c r="F520" s="13">
        <f t="shared" ref="F520:H520" si="209">SUM(F521:F525)</f>
        <v>103163.68938999998</v>
      </c>
      <c r="G520" s="13">
        <f t="shared" si="209"/>
        <v>740138.98973999999</v>
      </c>
      <c r="H520" s="13">
        <f t="shared" si="209"/>
        <v>224278.04507000002</v>
      </c>
      <c r="I520" s="91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3"/>
    </row>
    <row r="521" spans="1:20" ht="12.75" customHeight="1" x14ac:dyDescent="0.2">
      <c r="A521" s="89"/>
      <c r="B521" s="12" t="s">
        <v>0</v>
      </c>
      <c r="C521" s="13">
        <f t="shared" ref="C521:C523" si="210">SUM(D521:H521)</f>
        <v>1158137.7</v>
      </c>
      <c r="D521" s="13">
        <f>D530+D538+D546+D554+D562+D570+D578+D586+D594+D602+D610+D618+D626+D634+D643+D651</f>
        <v>468774.5</v>
      </c>
      <c r="E521" s="13">
        <f t="shared" ref="E521:H521" si="211">E530+E538+E546+E554+E562+E570+E578+E586+E594+E602+E610+E618+E626+E634+E643+E651</f>
        <v>614642.5</v>
      </c>
      <c r="F521" s="13">
        <f t="shared" si="211"/>
        <v>74720.7</v>
      </c>
      <c r="G521" s="13">
        <f t="shared" si="211"/>
        <v>0</v>
      </c>
      <c r="H521" s="13">
        <f t="shared" si="211"/>
        <v>0</v>
      </c>
      <c r="I521" s="94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6"/>
    </row>
    <row r="522" spans="1:20" ht="12.75" customHeight="1" x14ac:dyDescent="0.2">
      <c r="A522" s="89"/>
      <c r="B522" s="12" t="s">
        <v>1</v>
      </c>
      <c r="C522" s="13">
        <f t="shared" si="210"/>
        <v>1164942.84231</v>
      </c>
      <c r="D522" s="13">
        <f>D531+D539+D547+D555+D563+D571+D579+D587+D595+D603+D611+D619+D627+D635+D644+D652</f>
        <v>109564.56555</v>
      </c>
      <c r="E522" s="13">
        <f t="shared" ref="E522:H522" si="212">E531+E539+E547+E555+E563+E571+E579+E587+E595+E603+E611+E619+E627+E635+E644+E652</f>
        <v>64611.669289999998</v>
      </c>
      <c r="F522" s="13">
        <f t="shared" si="212"/>
        <v>27874.129919999999</v>
      </c>
      <c r="G522" s="13">
        <f t="shared" si="212"/>
        <v>739316.20189000003</v>
      </c>
      <c r="H522" s="13">
        <f t="shared" si="212"/>
        <v>223576.27566000001</v>
      </c>
      <c r="I522" s="94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6"/>
    </row>
    <row r="523" spans="1:20" ht="12.75" customHeight="1" x14ac:dyDescent="0.2">
      <c r="A523" s="89"/>
      <c r="B523" s="12" t="s">
        <v>2</v>
      </c>
      <c r="C523" s="13">
        <f t="shared" si="210"/>
        <v>103847.02178818364</v>
      </c>
      <c r="D523" s="13">
        <f>D532+D540+D548+D556+D564+D572+D580+D588+D596+D604+D612+D620+D628+D636+D645+D653</f>
        <v>37142.419359999993</v>
      </c>
      <c r="E523" s="13">
        <f t="shared" ref="E523:H523" si="213">E532+E540+E548+E556+E564+E572+E580+E588+E596+E604+E612+E620+E628+E636+E645+E653</f>
        <v>64611.185698183668</v>
      </c>
      <c r="F523" s="13">
        <f t="shared" si="213"/>
        <v>568.85946999999999</v>
      </c>
      <c r="G523" s="13">
        <f t="shared" si="213"/>
        <v>822.78784999999993</v>
      </c>
      <c r="H523" s="13">
        <f t="shared" si="213"/>
        <v>701.76940999999999</v>
      </c>
      <c r="I523" s="94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6"/>
    </row>
    <row r="524" spans="1:20" ht="12.75" customHeight="1" x14ac:dyDescent="0.2">
      <c r="A524" s="89"/>
      <c r="B524" s="12" t="s">
        <v>3</v>
      </c>
      <c r="C524" s="13">
        <f>SUM(D524:H524)</f>
        <v>106483.484</v>
      </c>
      <c r="D524" s="13">
        <f>D533+D541+D549+D557+D565+D573+D581+D589+D597+D605+D613+D621+D629+D637+D646+D654</f>
        <v>38089.298000000003</v>
      </c>
      <c r="E524" s="13">
        <f t="shared" ref="E524:H524" si="214">E533+E541+E549+E557+E565+E573+E581+E589+E597+E605+E613+E621+E629+E637+E646+E654</f>
        <v>68394.186000000002</v>
      </c>
      <c r="F524" s="13">
        <f t="shared" si="214"/>
        <v>0</v>
      </c>
      <c r="G524" s="13">
        <f t="shared" si="214"/>
        <v>0</v>
      </c>
      <c r="H524" s="13">
        <f t="shared" si="214"/>
        <v>0</v>
      </c>
      <c r="I524" s="94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6"/>
    </row>
    <row r="525" spans="1:20" ht="65.099999999999994" customHeight="1" x14ac:dyDescent="0.2">
      <c r="A525" s="90"/>
      <c r="B525" s="12" t="s">
        <v>402</v>
      </c>
      <c r="C525" s="13">
        <f>SUM(D525:H525)</f>
        <v>300000</v>
      </c>
      <c r="D525" s="13">
        <f>D638</f>
        <v>107012.79000000001</v>
      </c>
      <c r="E525" s="13">
        <f t="shared" ref="E525:H525" si="215">E638</f>
        <v>192987.21</v>
      </c>
      <c r="F525" s="13">
        <f t="shared" si="215"/>
        <v>0</v>
      </c>
      <c r="G525" s="13">
        <f t="shared" si="215"/>
        <v>0</v>
      </c>
      <c r="H525" s="13">
        <f t="shared" si="215"/>
        <v>0</v>
      </c>
      <c r="I525" s="97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9"/>
    </row>
    <row r="526" spans="1:20" x14ac:dyDescent="0.2">
      <c r="A526" s="69" t="s">
        <v>306</v>
      </c>
      <c r="B526" s="85" t="s">
        <v>68</v>
      </c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6"/>
    </row>
    <row r="527" spans="1:20" x14ac:dyDescent="0.2">
      <c r="A527" s="70" t="s">
        <v>102</v>
      </c>
      <c r="B527" s="79" t="s">
        <v>77</v>
      </c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</row>
    <row r="528" spans="1:20" ht="50.1" customHeight="1" x14ac:dyDescent="0.2">
      <c r="A528" s="70"/>
      <c r="B528" s="72" t="s">
        <v>626</v>
      </c>
      <c r="C528" s="73"/>
      <c r="D528" s="73"/>
      <c r="E528" s="73"/>
      <c r="F528" s="73"/>
      <c r="G528" s="73"/>
      <c r="H528" s="74"/>
      <c r="I528" s="60" t="s">
        <v>21</v>
      </c>
      <c r="J528" s="60"/>
      <c r="K528" s="60" t="s">
        <v>11</v>
      </c>
      <c r="L528" s="60" t="s">
        <v>86</v>
      </c>
      <c r="M528" s="60" t="s">
        <v>87</v>
      </c>
      <c r="N528" s="60" t="s">
        <v>88</v>
      </c>
      <c r="O528" s="60" t="s">
        <v>88</v>
      </c>
      <c r="P528" s="63">
        <v>59742</v>
      </c>
      <c r="Q528" s="60" t="s">
        <v>70</v>
      </c>
      <c r="R528" s="60" t="s">
        <v>87</v>
      </c>
      <c r="S528" s="60" t="s">
        <v>32</v>
      </c>
      <c r="T528" s="87" t="s">
        <v>331</v>
      </c>
    </row>
    <row r="529" spans="1:20" ht="12.75" customHeight="1" x14ac:dyDescent="0.2">
      <c r="A529" s="70"/>
      <c r="B529" s="43" t="s">
        <v>5</v>
      </c>
      <c r="C529" s="31">
        <f>SUM(D529:H529)</f>
        <v>160439.57250000001</v>
      </c>
      <c r="D529" s="32">
        <f t="shared" ref="D529" si="216">SUM(D530:D533)</f>
        <v>35900.500419999997</v>
      </c>
      <c r="E529" s="32">
        <f t="shared" ref="E529:G529" si="217">SUM(E530:E533)</f>
        <v>49818.372079999994</v>
      </c>
      <c r="F529" s="32">
        <f t="shared" si="217"/>
        <v>74720.7</v>
      </c>
      <c r="G529" s="32">
        <f t="shared" si="217"/>
        <v>0</v>
      </c>
      <c r="H529" s="32">
        <f t="shared" ref="H529" si="218">SUM(H530:H533)</f>
        <v>0</v>
      </c>
      <c r="I529" s="61"/>
      <c r="J529" s="61"/>
      <c r="K529" s="61"/>
      <c r="L529" s="61"/>
      <c r="M529" s="61"/>
      <c r="N529" s="61"/>
      <c r="O529" s="61"/>
      <c r="P529" s="64"/>
      <c r="Q529" s="61"/>
      <c r="R529" s="61"/>
      <c r="S529" s="61"/>
      <c r="T529" s="87"/>
    </row>
    <row r="530" spans="1:20" ht="12.75" customHeight="1" x14ac:dyDescent="0.2">
      <c r="A530" s="70"/>
      <c r="B530" s="43" t="s">
        <v>0</v>
      </c>
      <c r="C530" s="31">
        <f t="shared" ref="C530:C533" si="219">SUM(D530:H530)</f>
        <v>157193.5</v>
      </c>
      <c r="D530" s="32">
        <f>23229+9924.6</f>
        <v>33153.599999999999</v>
      </c>
      <c r="E530" s="32">
        <v>49319.199999999997</v>
      </c>
      <c r="F530" s="32">
        <v>74720.7</v>
      </c>
      <c r="G530" s="32"/>
      <c r="H530" s="32"/>
      <c r="I530" s="61"/>
      <c r="J530" s="61"/>
      <c r="K530" s="61"/>
      <c r="L530" s="61"/>
      <c r="M530" s="61"/>
      <c r="N530" s="61"/>
      <c r="O530" s="61"/>
      <c r="P530" s="64"/>
      <c r="Q530" s="61"/>
      <c r="R530" s="61"/>
      <c r="S530" s="61"/>
      <c r="T530" s="87"/>
    </row>
    <row r="531" spans="1:20" ht="12.75" customHeight="1" x14ac:dyDescent="0.2">
      <c r="A531" s="70"/>
      <c r="B531" s="43" t="s">
        <v>1</v>
      </c>
      <c r="C531" s="31">
        <f>SUM(D531:H531)</f>
        <v>3239.5813400000015</v>
      </c>
      <c r="D531" s="32">
        <f>10234.63636+0.00364-7493.2324</f>
        <v>2741.4076000000014</v>
      </c>
      <c r="E531" s="32">
        <v>498.17374000000001</v>
      </c>
      <c r="F531" s="32"/>
      <c r="G531" s="32"/>
      <c r="H531" s="32"/>
      <c r="I531" s="61"/>
      <c r="J531" s="61"/>
      <c r="K531" s="61"/>
      <c r="L531" s="61"/>
      <c r="M531" s="61"/>
      <c r="N531" s="61"/>
      <c r="O531" s="61"/>
      <c r="P531" s="64"/>
      <c r="Q531" s="61"/>
      <c r="R531" s="61"/>
      <c r="S531" s="61"/>
      <c r="T531" s="87"/>
    </row>
    <row r="532" spans="1:20" ht="12.75" customHeight="1" x14ac:dyDescent="0.2">
      <c r="A532" s="70"/>
      <c r="B532" s="43" t="s">
        <v>2</v>
      </c>
      <c r="C532" s="31">
        <f t="shared" si="219"/>
        <v>6.4911600000000016</v>
      </c>
      <c r="D532" s="32">
        <f>45.69098-0.00098-40.19718</f>
        <v>5.4928200000000018</v>
      </c>
      <c r="E532" s="32">
        <v>0.99834000000000001</v>
      </c>
      <c r="F532" s="32"/>
      <c r="G532" s="32"/>
      <c r="H532" s="32"/>
      <c r="I532" s="61"/>
      <c r="J532" s="61"/>
      <c r="K532" s="61"/>
      <c r="L532" s="61"/>
      <c r="M532" s="61"/>
      <c r="N532" s="61"/>
      <c r="O532" s="61"/>
      <c r="P532" s="64"/>
      <c r="Q532" s="61"/>
      <c r="R532" s="61"/>
      <c r="S532" s="61"/>
      <c r="T532" s="87"/>
    </row>
    <row r="533" spans="1:20" ht="12.75" customHeight="1" x14ac:dyDescent="0.2">
      <c r="A533" s="71"/>
      <c r="B533" s="43" t="s">
        <v>3</v>
      </c>
      <c r="C533" s="31">
        <f t="shared" si="219"/>
        <v>0</v>
      </c>
      <c r="D533" s="32"/>
      <c r="E533" s="32"/>
      <c r="F533" s="32"/>
      <c r="G533" s="32"/>
      <c r="H533" s="32"/>
      <c r="I533" s="62"/>
      <c r="J533" s="62"/>
      <c r="K533" s="62"/>
      <c r="L533" s="62"/>
      <c r="M533" s="62"/>
      <c r="N533" s="62"/>
      <c r="O533" s="62"/>
      <c r="P533" s="65"/>
      <c r="Q533" s="62"/>
      <c r="R533" s="62"/>
      <c r="S533" s="62"/>
      <c r="T533" s="87"/>
    </row>
    <row r="534" spans="1:20" x14ac:dyDescent="0.2">
      <c r="A534" s="51" t="s">
        <v>307</v>
      </c>
      <c r="B534" s="54" t="s">
        <v>700</v>
      </c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5"/>
    </row>
    <row r="535" spans="1:20" x14ac:dyDescent="0.2">
      <c r="A535" s="52" t="s">
        <v>102</v>
      </c>
      <c r="B535" s="58" t="s">
        <v>176</v>
      </c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</row>
    <row r="536" spans="1:20" ht="50.1" customHeight="1" x14ac:dyDescent="0.2">
      <c r="A536" s="52"/>
      <c r="B536" s="72" t="s">
        <v>177</v>
      </c>
      <c r="C536" s="73"/>
      <c r="D536" s="73"/>
      <c r="E536" s="73"/>
      <c r="F536" s="73"/>
      <c r="G536" s="73"/>
      <c r="H536" s="74"/>
      <c r="I536" s="60" t="s">
        <v>156</v>
      </c>
      <c r="J536" s="60"/>
      <c r="K536" s="60" t="s">
        <v>40</v>
      </c>
      <c r="L536" s="60" t="s">
        <v>178</v>
      </c>
      <c r="M536" s="60" t="s">
        <v>105</v>
      </c>
      <c r="N536" s="60" t="s">
        <v>700</v>
      </c>
      <c r="O536" s="60" t="s">
        <v>105</v>
      </c>
      <c r="P536" s="63" t="s">
        <v>569</v>
      </c>
      <c r="Q536" s="60" t="s">
        <v>30</v>
      </c>
      <c r="R536" s="60" t="s">
        <v>39</v>
      </c>
      <c r="S536" s="60" t="s">
        <v>32</v>
      </c>
      <c r="T536" s="87" t="s">
        <v>435</v>
      </c>
    </row>
    <row r="537" spans="1:20" ht="12.75" customHeight="1" x14ac:dyDescent="0.2">
      <c r="A537" s="52"/>
      <c r="B537" s="43" t="s">
        <v>5</v>
      </c>
      <c r="C537" s="31">
        <f>SUM(D537:H537)</f>
        <v>440993.505</v>
      </c>
      <c r="D537" s="32">
        <f t="shared" ref="D537" si="220">SUM(D538:D541)</f>
        <v>248227.10500000001</v>
      </c>
      <c r="E537" s="32">
        <f t="shared" ref="E537" si="221">SUM(E538:E541)</f>
        <v>192766.4</v>
      </c>
      <c r="F537" s="32">
        <f t="shared" ref="F537" si="222">SUM(F538:F541)</f>
        <v>0</v>
      </c>
      <c r="G537" s="32">
        <v>0</v>
      </c>
      <c r="H537" s="32">
        <f t="shared" ref="H537" si="223">SUM(H538:H541)</f>
        <v>0</v>
      </c>
      <c r="I537" s="61"/>
      <c r="J537" s="61"/>
      <c r="K537" s="61"/>
      <c r="L537" s="61"/>
      <c r="M537" s="61"/>
      <c r="N537" s="61"/>
      <c r="O537" s="61"/>
      <c r="P537" s="64"/>
      <c r="Q537" s="61"/>
      <c r="R537" s="61"/>
      <c r="S537" s="61"/>
      <c r="T537" s="87"/>
    </row>
    <row r="538" spans="1:20" ht="12.75" customHeight="1" x14ac:dyDescent="0.2">
      <c r="A538" s="52"/>
      <c r="B538" s="43" t="s">
        <v>0</v>
      </c>
      <c r="C538" s="31">
        <f t="shared" ref="C538:C541" si="224">SUM(D538:H538)</f>
        <v>384898.4</v>
      </c>
      <c r="D538" s="32">
        <v>217232</v>
      </c>
      <c r="E538" s="32">
        <v>167666.4</v>
      </c>
      <c r="F538" s="32"/>
      <c r="G538" s="32"/>
      <c r="H538" s="32"/>
      <c r="I538" s="61"/>
      <c r="J538" s="61"/>
      <c r="K538" s="61"/>
      <c r="L538" s="61"/>
      <c r="M538" s="61"/>
      <c r="N538" s="61"/>
      <c r="O538" s="61"/>
      <c r="P538" s="64"/>
      <c r="Q538" s="61"/>
      <c r="R538" s="61"/>
      <c r="S538" s="61"/>
      <c r="T538" s="87"/>
    </row>
    <row r="539" spans="1:20" ht="12.75" customHeight="1" x14ac:dyDescent="0.2">
      <c r="A539" s="52"/>
      <c r="B539" s="43" t="s">
        <v>1</v>
      </c>
      <c r="C539" s="31">
        <f t="shared" si="224"/>
        <v>56095.104999999996</v>
      </c>
      <c r="D539" s="32">
        <f>39916.017-8920.912</f>
        <v>30995.105</v>
      </c>
      <c r="E539" s="32">
        <f>0+25100</f>
        <v>25100</v>
      </c>
      <c r="F539" s="32"/>
      <c r="G539" s="32"/>
      <c r="H539" s="32"/>
      <c r="I539" s="61"/>
      <c r="J539" s="61"/>
      <c r="K539" s="61"/>
      <c r="L539" s="61"/>
      <c r="M539" s="61"/>
      <c r="N539" s="61"/>
      <c r="O539" s="61"/>
      <c r="P539" s="64"/>
      <c r="Q539" s="61"/>
      <c r="R539" s="61"/>
      <c r="S539" s="61"/>
      <c r="T539" s="87"/>
    </row>
    <row r="540" spans="1:20" ht="12.75" customHeight="1" x14ac:dyDescent="0.2">
      <c r="A540" s="52"/>
      <c r="B540" s="43" t="s">
        <v>2</v>
      </c>
      <c r="C540" s="31">
        <f t="shared" si="224"/>
        <v>0</v>
      </c>
      <c r="D540" s="32"/>
      <c r="E540" s="32"/>
      <c r="F540" s="32"/>
      <c r="G540" s="32"/>
      <c r="H540" s="32"/>
      <c r="I540" s="61"/>
      <c r="J540" s="61"/>
      <c r="K540" s="61"/>
      <c r="L540" s="61"/>
      <c r="M540" s="61"/>
      <c r="N540" s="61"/>
      <c r="O540" s="61"/>
      <c r="P540" s="64"/>
      <c r="Q540" s="61"/>
      <c r="R540" s="61"/>
      <c r="S540" s="61"/>
      <c r="T540" s="87"/>
    </row>
    <row r="541" spans="1:20" ht="12.75" customHeight="1" x14ac:dyDescent="0.2">
      <c r="A541" s="53"/>
      <c r="B541" s="43" t="s">
        <v>3</v>
      </c>
      <c r="C541" s="31">
        <f t="shared" si="224"/>
        <v>0</v>
      </c>
      <c r="D541" s="32"/>
      <c r="E541" s="32"/>
      <c r="F541" s="32"/>
      <c r="G541" s="32"/>
      <c r="H541" s="32"/>
      <c r="I541" s="62"/>
      <c r="J541" s="62"/>
      <c r="K541" s="62"/>
      <c r="L541" s="62"/>
      <c r="M541" s="62"/>
      <c r="N541" s="62"/>
      <c r="O541" s="62"/>
      <c r="P541" s="65"/>
      <c r="Q541" s="62"/>
      <c r="R541" s="62"/>
      <c r="S541" s="62"/>
      <c r="T541" s="87"/>
    </row>
    <row r="542" spans="1:20" x14ac:dyDescent="0.2">
      <c r="A542" s="51" t="s">
        <v>308</v>
      </c>
      <c r="B542" s="54" t="s">
        <v>68</v>
      </c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5"/>
    </row>
    <row r="543" spans="1:20" x14ac:dyDescent="0.2">
      <c r="A543" s="52" t="s">
        <v>102</v>
      </c>
      <c r="B543" s="58" t="s">
        <v>77</v>
      </c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</row>
    <row r="544" spans="1:20" ht="50.1" customHeight="1" x14ac:dyDescent="0.2">
      <c r="A544" s="52"/>
      <c r="B544" s="72" t="s">
        <v>388</v>
      </c>
      <c r="C544" s="73"/>
      <c r="D544" s="73"/>
      <c r="E544" s="73"/>
      <c r="F544" s="73"/>
      <c r="G544" s="73"/>
      <c r="H544" s="74"/>
      <c r="I544" s="60" t="s">
        <v>53</v>
      </c>
      <c r="J544" s="60"/>
      <c r="K544" s="60" t="s">
        <v>11</v>
      </c>
      <c r="L544" s="60" t="s">
        <v>280</v>
      </c>
      <c r="M544" s="60" t="s">
        <v>83</v>
      </c>
      <c r="N544" s="60" t="s">
        <v>84</v>
      </c>
      <c r="O544" s="60" t="s">
        <v>84</v>
      </c>
      <c r="P544" s="63">
        <v>239696.08</v>
      </c>
      <c r="Q544" s="60" t="s">
        <v>70</v>
      </c>
      <c r="R544" s="60" t="s">
        <v>85</v>
      </c>
      <c r="S544" s="60" t="s">
        <v>80</v>
      </c>
      <c r="T544" s="87" t="s">
        <v>332</v>
      </c>
    </row>
    <row r="545" spans="1:20" ht="12.75" customHeight="1" x14ac:dyDescent="0.2">
      <c r="A545" s="52"/>
      <c r="B545" s="43" t="s">
        <v>5</v>
      </c>
      <c r="C545" s="31">
        <f>SUM(D545:H545)</f>
        <v>123118.94290818367</v>
      </c>
      <c r="D545" s="32">
        <f t="shared" ref="D545" si="225">SUM(D546:D549)</f>
        <v>19082.139310000002</v>
      </c>
      <c r="E545" s="32">
        <f t="shared" ref="E545" si="226">SUM(E546:E549)</f>
        <v>15249.167908183668</v>
      </c>
      <c r="F545" s="32">
        <f t="shared" ref="F545:G545" si="227">SUM(F546:F549)</f>
        <v>28442.989389999999</v>
      </c>
      <c r="G545" s="32">
        <f t="shared" si="227"/>
        <v>29580.708970000003</v>
      </c>
      <c r="H545" s="32">
        <f t="shared" ref="H545" si="228">SUM(H546:H549)</f>
        <v>30763.937330000001</v>
      </c>
      <c r="I545" s="61"/>
      <c r="J545" s="61"/>
      <c r="K545" s="61"/>
      <c r="L545" s="61"/>
      <c r="M545" s="61"/>
      <c r="N545" s="61"/>
      <c r="O545" s="61"/>
      <c r="P545" s="64"/>
      <c r="Q545" s="61"/>
      <c r="R545" s="61"/>
      <c r="S545" s="61"/>
      <c r="T545" s="87"/>
    </row>
    <row r="546" spans="1:20" ht="12.75" customHeight="1" x14ac:dyDescent="0.2">
      <c r="A546" s="52"/>
      <c r="B546" s="43" t="s">
        <v>0</v>
      </c>
      <c r="C546" s="31">
        <f t="shared" ref="C546:C549" si="229">SUM(D546:H546)</f>
        <v>0</v>
      </c>
      <c r="D546" s="32"/>
      <c r="E546" s="32"/>
      <c r="F546" s="32"/>
      <c r="G546" s="32"/>
      <c r="H546" s="32"/>
      <c r="I546" s="61"/>
      <c r="J546" s="61"/>
      <c r="K546" s="61"/>
      <c r="L546" s="61"/>
      <c r="M546" s="61"/>
      <c r="N546" s="61"/>
      <c r="O546" s="61"/>
      <c r="P546" s="64"/>
      <c r="Q546" s="61"/>
      <c r="R546" s="61"/>
      <c r="S546" s="61"/>
      <c r="T546" s="87"/>
    </row>
    <row r="547" spans="1:20" ht="12.75" customHeight="1" x14ac:dyDescent="0.2">
      <c r="A547" s="52"/>
      <c r="B547" s="43" t="s">
        <v>1</v>
      </c>
      <c r="C547" s="31">
        <f t="shared" si="229"/>
        <v>120657.76532000001</v>
      </c>
      <c r="D547" s="32">
        <f>25771.2-0.00364-7069.49955</f>
        <v>18701.696810000001</v>
      </c>
      <c r="E547" s="32">
        <v>14944.18455</v>
      </c>
      <c r="F547" s="32">
        <v>27874.129919999999</v>
      </c>
      <c r="G547" s="32">
        <v>28989.095120000002</v>
      </c>
      <c r="H547" s="32">
        <v>30148.658920000002</v>
      </c>
      <c r="I547" s="61"/>
      <c r="J547" s="61"/>
      <c r="K547" s="61"/>
      <c r="L547" s="61"/>
      <c r="M547" s="61"/>
      <c r="N547" s="61"/>
      <c r="O547" s="61"/>
      <c r="P547" s="64"/>
      <c r="Q547" s="61"/>
      <c r="R547" s="61"/>
      <c r="S547" s="61"/>
      <c r="T547" s="87"/>
    </row>
    <row r="548" spans="1:20" ht="12.75" customHeight="1" x14ac:dyDescent="0.2">
      <c r="A548" s="52"/>
      <c r="B548" s="43" t="s">
        <v>2</v>
      </c>
      <c r="C548" s="31">
        <f t="shared" si="229"/>
        <v>2461.1775881836675</v>
      </c>
      <c r="D548" s="32">
        <f>525.94256-0.00007-145.49999</f>
        <v>380.44249999999988</v>
      </c>
      <c r="E548" s="32">
        <v>304.98335818366758</v>
      </c>
      <c r="F548" s="32">
        <v>568.85946999999999</v>
      </c>
      <c r="G548" s="32">
        <v>591.61384999999996</v>
      </c>
      <c r="H548" s="32">
        <v>615.27841000000001</v>
      </c>
      <c r="I548" s="61"/>
      <c r="J548" s="61"/>
      <c r="K548" s="61"/>
      <c r="L548" s="61"/>
      <c r="M548" s="61"/>
      <c r="N548" s="61"/>
      <c r="O548" s="61"/>
      <c r="P548" s="64"/>
      <c r="Q548" s="61"/>
      <c r="R548" s="61"/>
      <c r="S548" s="61"/>
      <c r="T548" s="87"/>
    </row>
    <row r="549" spans="1:20" ht="12.75" customHeight="1" x14ac:dyDescent="0.2">
      <c r="A549" s="53"/>
      <c r="B549" s="43" t="s">
        <v>3</v>
      </c>
      <c r="C549" s="31">
        <f t="shared" si="229"/>
        <v>0</v>
      </c>
      <c r="D549" s="32"/>
      <c r="E549" s="32"/>
      <c r="F549" s="32"/>
      <c r="G549" s="32"/>
      <c r="H549" s="32"/>
      <c r="I549" s="62"/>
      <c r="J549" s="62"/>
      <c r="K549" s="62"/>
      <c r="L549" s="62"/>
      <c r="M549" s="62"/>
      <c r="N549" s="62"/>
      <c r="O549" s="62"/>
      <c r="P549" s="65"/>
      <c r="Q549" s="62"/>
      <c r="R549" s="62"/>
      <c r="S549" s="62"/>
      <c r="T549" s="87"/>
    </row>
    <row r="550" spans="1:20" x14ac:dyDescent="0.2">
      <c r="A550" s="51" t="s">
        <v>309</v>
      </c>
      <c r="B550" s="54" t="s">
        <v>68</v>
      </c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5"/>
    </row>
    <row r="551" spans="1:20" x14ac:dyDescent="0.2">
      <c r="A551" s="52" t="s">
        <v>102</v>
      </c>
      <c r="B551" s="58" t="s">
        <v>175</v>
      </c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</row>
    <row r="552" spans="1:20" ht="50.1" customHeight="1" x14ac:dyDescent="0.2">
      <c r="A552" s="52"/>
      <c r="B552" s="72" t="s">
        <v>276</v>
      </c>
      <c r="C552" s="73"/>
      <c r="D552" s="73"/>
      <c r="E552" s="73"/>
      <c r="F552" s="73"/>
      <c r="G552" s="73"/>
      <c r="H552" s="74"/>
      <c r="I552" s="60" t="s">
        <v>29</v>
      </c>
      <c r="J552" s="60" t="s">
        <v>22</v>
      </c>
      <c r="K552" s="60" t="s">
        <v>11</v>
      </c>
      <c r="L552" s="60" t="s">
        <v>72</v>
      </c>
      <c r="M552" s="60" t="s">
        <v>73</v>
      </c>
      <c r="N552" s="60" t="s">
        <v>74</v>
      </c>
      <c r="O552" s="60" t="s">
        <v>74</v>
      </c>
      <c r="P552" s="63">
        <v>391199.60499999998</v>
      </c>
      <c r="Q552" s="60" t="s">
        <v>70</v>
      </c>
      <c r="R552" s="60" t="s">
        <v>73</v>
      </c>
      <c r="S552" s="60" t="s">
        <v>71</v>
      </c>
      <c r="T552" s="87" t="s">
        <v>333</v>
      </c>
    </row>
    <row r="553" spans="1:20" ht="12.75" customHeight="1" x14ac:dyDescent="0.2">
      <c r="A553" s="52"/>
      <c r="B553" s="30" t="s">
        <v>5</v>
      </c>
      <c r="C553" s="31">
        <f>SUM(D553:H553)</f>
        <v>146832.58000000002</v>
      </c>
      <c r="D553" s="32">
        <f t="shared" ref="D553:F553" si="230">SUM(D554:D557)</f>
        <v>0</v>
      </c>
      <c r="E553" s="32">
        <f t="shared" si="230"/>
        <v>0</v>
      </c>
      <c r="F553" s="32">
        <f t="shared" si="230"/>
        <v>0</v>
      </c>
      <c r="G553" s="32">
        <f t="shared" ref="G553" si="231">SUM(G554:G557)</f>
        <v>103586.969</v>
      </c>
      <c r="H553" s="32">
        <f t="shared" ref="H553" si="232">SUM(H554:H557)</f>
        <v>43245.611000000004</v>
      </c>
      <c r="I553" s="61"/>
      <c r="J553" s="61"/>
      <c r="K553" s="61"/>
      <c r="L553" s="61"/>
      <c r="M553" s="61"/>
      <c r="N553" s="61"/>
      <c r="O553" s="61"/>
      <c r="P553" s="64"/>
      <c r="Q553" s="61"/>
      <c r="R553" s="61"/>
      <c r="S553" s="61"/>
      <c r="T553" s="87"/>
    </row>
    <row r="554" spans="1:20" ht="12.75" customHeight="1" x14ac:dyDescent="0.2">
      <c r="A554" s="52"/>
      <c r="B554" s="30" t="s">
        <v>0</v>
      </c>
      <c r="C554" s="31">
        <f t="shared" ref="C554:C557" si="233">SUM(D554:H554)</f>
        <v>0</v>
      </c>
      <c r="D554" s="32"/>
      <c r="E554" s="32"/>
      <c r="F554" s="32"/>
      <c r="G554" s="32"/>
      <c r="H554" s="32"/>
      <c r="I554" s="61"/>
      <c r="J554" s="61"/>
      <c r="K554" s="61"/>
      <c r="L554" s="61"/>
      <c r="M554" s="61"/>
      <c r="N554" s="61"/>
      <c r="O554" s="61"/>
      <c r="P554" s="64"/>
      <c r="Q554" s="61"/>
      <c r="R554" s="61"/>
      <c r="S554" s="61"/>
      <c r="T554" s="87"/>
    </row>
    <row r="555" spans="1:20" ht="12.75" customHeight="1" x14ac:dyDescent="0.2">
      <c r="A555" s="52"/>
      <c r="B555" s="30" t="s">
        <v>1</v>
      </c>
      <c r="C555" s="31">
        <f t="shared" si="233"/>
        <v>146538.91500000001</v>
      </c>
      <c r="D555" s="32">
        <v>0</v>
      </c>
      <c r="E555" s="32">
        <v>0</v>
      </c>
      <c r="F555" s="32">
        <v>0</v>
      </c>
      <c r="G555" s="32">
        <v>103379.795</v>
      </c>
      <c r="H555" s="32">
        <v>43159.12</v>
      </c>
      <c r="I555" s="61"/>
      <c r="J555" s="61"/>
      <c r="K555" s="61"/>
      <c r="L555" s="61"/>
      <c r="M555" s="61"/>
      <c r="N555" s="61"/>
      <c r="O555" s="61"/>
      <c r="P555" s="64"/>
      <c r="Q555" s="61"/>
      <c r="R555" s="61"/>
      <c r="S555" s="61"/>
      <c r="T555" s="87"/>
    </row>
    <row r="556" spans="1:20" ht="12.75" customHeight="1" x14ac:dyDescent="0.2">
      <c r="A556" s="52"/>
      <c r="B556" s="30" t="s">
        <v>2</v>
      </c>
      <c r="C556" s="31">
        <f t="shared" si="233"/>
        <v>293.66500000000002</v>
      </c>
      <c r="D556" s="32">
        <v>0</v>
      </c>
      <c r="E556" s="32">
        <v>0</v>
      </c>
      <c r="F556" s="32">
        <v>0</v>
      </c>
      <c r="G556" s="32">
        <v>207.17400000000001</v>
      </c>
      <c r="H556" s="32">
        <v>86.491</v>
      </c>
      <c r="I556" s="61"/>
      <c r="J556" s="61"/>
      <c r="K556" s="61"/>
      <c r="L556" s="61"/>
      <c r="M556" s="61"/>
      <c r="N556" s="61"/>
      <c r="O556" s="61"/>
      <c r="P556" s="64"/>
      <c r="Q556" s="61"/>
      <c r="R556" s="61"/>
      <c r="S556" s="61"/>
      <c r="T556" s="87"/>
    </row>
    <row r="557" spans="1:20" ht="12.75" customHeight="1" x14ac:dyDescent="0.2">
      <c r="A557" s="53"/>
      <c r="B557" s="30" t="s">
        <v>3</v>
      </c>
      <c r="C557" s="31">
        <f t="shared" si="233"/>
        <v>0</v>
      </c>
      <c r="D557" s="32"/>
      <c r="E557" s="32"/>
      <c r="F557" s="32"/>
      <c r="G557" s="32"/>
      <c r="H557" s="32"/>
      <c r="I557" s="62"/>
      <c r="J557" s="62"/>
      <c r="K557" s="62"/>
      <c r="L557" s="62"/>
      <c r="M557" s="62"/>
      <c r="N557" s="62"/>
      <c r="O557" s="62"/>
      <c r="P557" s="65"/>
      <c r="Q557" s="62"/>
      <c r="R557" s="62"/>
      <c r="S557" s="62"/>
      <c r="T557" s="87"/>
    </row>
    <row r="558" spans="1:20" x14ac:dyDescent="0.2">
      <c r="A558" s="51" t="s">
        <v>310</v>
      </c>
      <c r="B558" s="54" t="s">
        <v>700</v>
      </c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5"/>
    </row>
    <row r="559" spans="1:20" x14ac:dyDescent="0.2">
      <c r="A559" s="52" t="s">
        <v>102</v>
      </c>
      <c r="B559" s="58" t="s">
        <v>77</v>
      </c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</row>
    <row r="560" spans="1:20" ht="50.1" customHeight="1" x14ac:dyDescent="0.2">
      <c r="A560" s="52"/>
      <c r="B560" s="72" t="s">
        <v>217</v>
      </c>
      <c r="C560" s="73"/>
      <c r="D560" s="73"/>
      <c r="E560" s="73"/>
      <c r="F560" s="73"/>
      <c r="G560" s="73"/>
      <c r="H560" s="74"/>
      <c r="I560" s="60" t="s">
        <v>21</v>
      </c>
      <c r="J560" s="60"/>
      <c r="K560" s="60" t="s">
        <v>40</v>
      </c>
      <c r="L560" s="60" t="s">
        <v>179</v>
      </c>
      <c r="M560" s="60" t="s">
        <v>105</v>
      </c>
      <c r="N560" s="60" t="s">
        <v>68</v>
      </c>
      <c r="O560" s="60" t="s">
        <v>105</v>
      </c>
      <c r="P560" s="63" t="s">
        <v>218</v>
      </c>
      <c r="Q560" s="60" t="s">
        <v>30</v>
      </c>
      <c r="R560" s="60" t="s">
        <v>39</v>
      </c>
      <c r="S560" s="60" t="s">
        <v>32</v>
      </c>
      <c r="T560" s="60" t="s">
        <v>334</v>
      </c>
    </row>
    <row r="561" spans="1:20" ht="12.75" customHeight="1" x14ac:dyDescent="0.2">
      <c r="A561" s="52"/>
      <c r="B561" s="30" t="s">
        <v>5</v>
      </c>
      <c r="C561" s="31">
        <f>SUM(D561:H561)</f>
        <v>652869.26399999997</v>
      </c>
      <c r="D561" s="32">
        <f t="shared" ref="D561" si="234">SUM(D562:D565)</f>
        <v>231143.05299999999</v>
      </c>
      <c r="E561" s="32">
        <f t="shared" ref="E561" si="235">SUM(E562:E565)</f>
        <v>421726.21100000001</v>
      </c>
      <c r="F561" s="32">
        <f t="shared" ref="F561:G561" si="236">SUM(F562:F565)</f>
        <v>0</v>
      </c>
      <c r="G561" s="32">
        <f t="shared" si="236"/>
        <v>0</v>
      </c>
      <c r="H561" s="32">
        <f t="shared" ref="H561" si="237">SUM(H562:H565)</f>
        <v>0</v>
      </c>
      <c r="I561" s="61"/>
      <c r="J561" s="61"/>
      <c r="K561" s="61"/>
      <c r="L561" s="61"/>
      <c r="M561" s="61"/>
      <c r="N561" s="61"/>
      <c r="O561" s="61"/>
      <c r="P561" s="64"/>
      <c r="Q561" s="61"/>
      <c r="R561" s="61"/>
      <c r="S561" s="61"/>
      <c r="T561" s="61"/>
    </row>
    <row r="562" spans="1:20" ht="12.75" customHeight="1" x14ac:dyDescent="0.2">
      <c r="A562" s="52"/>
      <c r="B562" s="30" t="s">
        <v>0</v>
      </c>
      <c r="C562" s="31">
        <f t="shared" ref="C562:C565" si="238">SUM(D562:H562)</f>
        <v>616045.80000000005</v>
      </c>
      <c r="D562" s="32">
        <v>218388.9</v>
      </c>
      <c r="E562" s="32">
        <v>397656.9</v>
      </c>
      <c r="F562" s="32"/>
      <c r="G562" s="32"/>
      <c r="H562" s="32"/>
      <c r="I562" s="61"/>
      <c r="J562" s="61"/>
      <c r="K562" s="61"/>
      <c r="L562" s="61"/>
      <c r="M562" s="61"/>
      <c r="N562" s="61"/>
      <c r="O562" s="61"/>
      <c r="P562" s="64"/>
      <c r="Q562" s="61"/>
      <c r="R562" s="61"/>
      <c r="S562" s="61"/>
      <c r="T562" s="61"/>
    </row>
    <row r="563" spans="1:20" ht="12.75" customHeight="1" x14ac:dyDescent="0.2">
      <c r="A563" s="52"/>
      <c r="B563" s="30" t="s">
        <v>1</v>
      </c>
      <c r="C563" s="31">
        <f t="shared" si="238"/>
        <v>36823.464</v>
      </c>
      <c r="D563" s="32">
        <v>12754.153</v>
      </c>
      <c r="E563" s="32">
        <f>0+24069.311</f>
        <v>24069.311000000002</v>
      </c>
      <c r="F563" s="32"/>
      <c r="G563" s="32"/>
      <c r="H563" s="32"/>
      <c r="I563" s="61"/>
      <c r="J563" s="61"/>
      <c r="K563" s="61"/>
      <c r="L563" s="61"/>
      <c r="M563" s="61"/>
      <c r="N563" s="61"/>
      <c r="O563" s="61"/>
      <c r="P563" s="64"/>
      <c r="Q563" s="61"/>
      <c r="R563" s="61"/>
      <c r="S563" s="61"/>
      <c r="T563" s="61"/>
    </row>
    <row r="564" spans="1:20" ht="12.75" customHeight="1" x14ac:dyDescent="0.2">
      <c r="A564" s="52"/>
      <c r="B564" s="30" t="s">
        <v>2</v>
      </c>
      <c r="C564" s="31">
        <f t="shared" si="238"/>
        <v>0</v>
      </c>
      <c r="D564" s="32"/>
      <c r="E564" s="32"/>
      <c r="F564" s="32"/>
      <c r="G564" s="32"/>
      <c r="H564" s="32"/>
      <c r="I564" s="61"/>
      <c r="J564" s="61"/>
      <c r="K564" s="61"/>
      <c r="L564" s="61"/>
      <c r="M564" s="61"/>
      <c r="N564" s="61"/>
      <c r="O564" s="61"/>
      <c r="P564" s="64"/>
      <c r="Q564" s="61"/>
      <c r="R564" s="61"/>
      <c r="S564" s="61"/>
      <c r="T564" s="61"/>
    </row>
    <row r="565" spans="1:20" ht="12.75" customHeight="1" x14ac:dyDescent="0.2">
      <c r="A565" s="53"/>
      <c r="B565" s="30" t="s">
        <v>3</v>
      </c>
      <c r="C565" s="31">
        <f t="shared" si="238"/>
        <v>0</v>
      </c>
      <c r="D565" s="32"/>
      <c r="E565" s="32"/>
      <c r="F565" s="32"/>
      <c r="G565" s="32"/>
      <c r="H565" s="32"/>
      <c r="I565" s="62"/>
      <c r="J565" s="62"/>
      <c r="K565" s="62"/>
      <c r="L565" s="62"/>
      <c r="M565" s="62"/>
      <c r="N565" s="62"/>
      <c r="O565" s="62"/>
      <c r="P565" s="65"/>
      <c r="Q565" s="62"/>
      <c r="R565" s="62"/>
      <c r="S565" s="62"/>
      <c r="T565" s="62"/>
    </row>
    <row r="566" spans="1:20" x14ac:dyDescent="0.2">
      <c r="A566" s="69" t="s">
        <v>311</v>
      </c>
      <c r="B566" s="85" t="s">
        <v>68</v>
      </c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6"/>
    </row>
    <row r="567" spans="1:20" x14ac:dyDescent="0.2">
      <c r="A567" s="70" t="s">
        <v>102</v>
      </c>
      <c r="B567" s="79" t="s">
        <v>219</v>
      </c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</row>
    <row r="568" spans="1:20" ht="50.1" customHeight="1" x14ac:dyDescent="0.2">
      <c r="A568" s="70"/>
      <c r="B568" s="100" t="s">
        <v>414</v>
      </c>
      <c r="C568" s="101"/>
      <c r="D568" s="101"/>
      <c r="E568" s="101"/>
      <c r="F568" s="101"/>
      <c r="G568" s="101"/>
      <c r="H568" s="102"/>
      <c r="I568" s="66" t="s">
        <v>24</v>
      </c>
      <c r="J568" s="66" t="s">
        <v>21</v>
      </c>
      <c r="K568" s="66" t="s">
        <v>409</v>
      </c>
      <c r="L568" s="66" t="s">
        <v>277</v>
      </c>
      <c r="M568" s="66" t="s">
        <v>68</v>
      </c>
      <c r="N568" s="66" t="s">
        <v>68</v>
      </c>
      <c r="O568" s="66" t="s">
        <v>78</v>
      </c>
      <c r="P568" s="103">
        <v>209049.86</v>
      </c>
      <c r="Q568" s="66" t="s">
        <v>79</v>
      </c>
      <c r="R568" s="66" t="s">
        <v>376</v>
      </c>
      <c r="S568" s="66" t="s">
        <v>76</v>
      </c>
      <c r="T568" s="78"/>
    </row>
    <row r="569" spans="1:20" ht="12.75" customHeight="1" x14ac:dyDescent="0.2">
      <c r="A569" s="70"/>
      <c r="B569" s="14" t="s">
        <v>5</v>
      </c>
      <c r="C569" s="15">
        <f>SUM(D569:H569)</f>
        <v>118030.26235</v>
      </c>
      <c r="D569" s="16">
        <f t="shared" ref="D569:F569" si="239">SUM(D570:D573)</f>
        <v>0</v>
      </c>
      <c r="E569" s="16">
        <f t="shared" si="239"/>
        <v>0</v>
      </c>
      <c r="F569" s="16">
        <f t="shared" si="239"/>
        <v>0</v>
      </c>
      <c r="G569" s="16">
        <f t="shared" ref="G569" si="240">SUM(G570:G573)</f>
        <v>118030.26235</v>
      </c>
      <c r="H569" s="16">
        <f t="shared" ref="H569" si="241">SUM(H570:H573)</f>
        <v>0</v>
      </c>
      <c r="I569" s="67"/>
      <c r="J569" s="67"/>
      <c r="K569" s="67"/>
      <c r="L569" s="67"/>
      <c r="M569" s="67"/>
      <c r="N569" s="67"/>
      <c r="O569" s="67"/>
      <c r="P569" s="104"/>
      <c r="Q569" s="67"/>
      <c r="R569" s="67"/>
      <c r="S569" s="67"/>
      <c r="T569" s="78"/>
    </row>
    <row r="570" spans="1:20" ht="12.75" customHeight="1" x14ac:dyDescent="0.2">
      <c r="A570" s="70"/>
      <c r="B570" s="14" t="s">
        <v>0</v>
      </c>
      <c r="C570" s="15">
        <f t="shared" ref="C570:C573" si="242">SUM(D570:H570)</f>
        <v>0</v>
      </c>
      <c r="D570" s="16"/>
      <c r="E570" s="16"/>
      <c r="F570" s="16"/>
      <c r="G570" s="16"/>
      <c r="H570" s="16"/>
      <c r="I570" s="67"/>
      <c r="J570" s="67"/>
      <c r="K570" s="67"/>
      <c r="L570" s="67"/>
      <c r="M570" s="67"/>
      <c r="N570" s="67"/>
      <c r="O570" s="67"/>
      <c r="P570" s="104"/>
      <c r="Q570" s="67"/>
      <c r="R570" s="67"/>
      <c r="S570" s="67"/>
      <c r="T570" s="78"/>
    </row>
    <row r="571" spans="1:20" ht="12.75" customHeight="1" x14ac:dyDescent="0.2">
      <c r="A571" s="70"/>
      <c r="B571" s="14" t="s">
        <v>1</v>
      </c>
      <c r="C571" s="15">
        <f t="shared" si="242"/>
        <v>118030.26235</v>
      </c>
      <c r="D571" s="16">
        <v>0</v>
      </c>
      <c r="E571" s="16">
        <v>0</v>
      </c>
      <c r="F571" s="16">
        <v>0</v>
      </c>
      <c r="G571" s="16">
        <v>118030.26235</v>
      </c>
      <c r="H571" s="16"/>
      <c r="I571" s="67"/>
      <c r="J571" s="67"/>
      <c r="K571" s="67"/>
      <c r="L571" s="67"/>
      <c r="M571" s="67"/>
      <c r="N571" s="67"/>
      <c r="O571" s="67"/>
      <c r="P571" s="104"/>
      <c r="Q571" s="67"/>
      <c r="R571" s="67"/>
      <c r="S571" s="67"/>
      <c r="T571" s="78"/>
    </row>
    <row r="572" spans="1:20" ht="12.75" customHeight="1" x14ac:dyDescent="0.2">
      <c r="A572" s="70"/>
      <c r="B572" s="14" t="s">
        <v>2</v>
      </c>
      <c r="C572" s="15">
        <f t="shared" si="242"/>
        <v>0</v>
      </c>
      <c r="D572" s="16"/>
      <c r="E572" s="16"/>
      <c r="F572" s="16"/>
      <c r="G572" s="16"/>
      <c r="H572" s="16"/>
      <c r="I572" s="67"/>
      <c r="J572" s="67"/>
      <c r="K572" s="67"/>
      <c r="L572" s="67"/>
      <c r="M572" s="67"/>
      <c r="N572" s="67"/>
      <c r="O572" s="67"/>
      <c r="P572" s="104"/>
      <c r="Q572" s="67"/>
      <c r="R572" s="67"/>
      <c r="S572" s="67"/>
      <c r="T572" s="78"/>
    </row>
    <row r="573" spans="1:20" ht="12.75" customHeight="1" x14ac:dyDescent="0.2">
      <c r="A573" s="71"/>
      <c r="B573" s="14" t="s">
        <v>3</v>
      </c>
      <c r="C573" s="15">
        <f t="shared" si="242"/>
        <v>0</v>
      </c>
      <c r="D573" s="16"/>
      <c r="E573" s="16"/>
      <c r="F573" s="16"/>
      <c r="G573" s="16"/>
      <c r="H573" s="16"/>
      <c r="I573" s="68"/>
      <c r="J573" s="68"/>
      <c r="K573" s="68"/>
      <c r="L573" s="68"/>
      <c r="M573" s="68"/>
      <c r="N573" s="68"/>
      <c r="O573" s="68"/>
      <c r="P573" s="105"/>
      <c r="Q573" s="68"/>
      <c r="R573" s="68"/>
      <c r="S573" s="68"/>
      <c r="T573" s="78"/>
    </row>
    <row r="574" spans="1:20" x14ac:dyDescent="0.2">
      <c r="A574" s="69" t="s">
        <v>312</v>
      </c>
      <c r="B574" s="85" t="s">
        <v>68</v>
      </c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6"/>
    </row>
    <row r="575" spans="1:20" x14ac:dyDescent="0.2">
      <c r="A575" s="70" t="s">
        <v>102</v>
      </c>
      <c r="B575" s="79" t="s">
        <v>219</v>
      </c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</row>
    <row r="576" spans="1:20" ht="50.1" customHeight="1" x14ac:dyDescent="0.2">
      <c r="A576" s="70"/>
      <c r="B576" s="100" t="s">
        <v>415</v>
      </c>
      <c r="C576" s="101"/>
      <c r="D576" s="101"/>
      <c r="E576" s="101"/>
      <c r="F576" s="101"/>
      <c r="G576" s="101"/>
      <c r="H576" s="102"/>
      <c r="I576" s="66" t="s">
        <v>24</v>
      </c>
      <c r="J576" s="66" t="s">
        <v>21</v>
      </c>
      <c r="K576" s="66" t="s">
        <v>11</v>
      </c>
      <c r="L576" s="66" t="s">
        <v>81</v>
      </c>
      <c r="M576" s="66" t="s">
        <v>68</v>
      </c>
      <c r="N576" s="66" t="s">
        <v>68</v>
      </c>
      <c r="O576" s="66" t="s">
        <v>78</v>
      </c>
      <c r="P576" s="103">
        <v>75621.953179999997</v>
      </c>
      <c r="Q576" s="66" t="s">
        <v>79</v>
      </c>
      <c r="R576" s="66" t="s">
        <v>376</v>
      </c>
      <c r="S576" s="66" t="s">
        <v>76</v>
      </c>
      <c r="T576" s="78"/>
    </row>
    <row r="577" spans="1:20" ht="12.75" customHeight="1" x14ac:dyDescent="0.2">
      <c r="A577" s="70"/>
      <c r="B577" s="14" t="s">
        <v>5</v>
      </c>
      <c r="C577" s="15">
        <f>SUM(D577:H577)</f>
        <v>47837.154040000001</v>
      </c>
      <c r="D577" s="16">
        <f t="shared" ref="D577:F577" si="243">SUM(D578:D581)</f>
        <v>0</v>
      </c>
      <c r="E577" s="16">
        <f t="shared" si="243"/>
        <v>0</v>
      </c>
      <c r="F577" s="16">
        <f t="shared" si="243"/>
        <v>0</v>
      </c>
      <c r="G577" s="16">
        <f t="shared" ref="G577" si="244">SUM(G578:G581)</f>
        <v>47837.154040000001</v>
      </c>
      <c r="H577" s="16">
        <f t="shared" ref="H577" si="245">SUM(H578:H581)</f>
        <v>0</v>
      </c>
      <c r="I577" s="67"/>
      <c r="J577" s="67"/>
      <c r="K577" s="67"/>
      <c r="L577" s="67"/>
      <c r="M577" s="67"/>
      <c r="N577" s="67"/>
      <c r="O577" s="67"/>
      <c r="P577" s="104"/>
      <c r="Q577" s="67"/>
      <c r="R577" s="67"/>
      <c r="S577" s="67"/>
      <c r="T577" s="78"/>
    </row>
    <row r="578" spans="1:20" ht="12.75" customHeight="1" x14ac:dyDescent="0.2">
      <c r="A578" s="70"/>
      <c r="B578" s="14" t="s">
        <v>0</v>
      </c>
      <c r="C578" s="15">
        <f t="shared" ref="C578:C581" si="246">SUM(D578:H578)</f>
        <v>0</v>
      </c>
      <c r="D578" s="16"/>
      <c r="E578" s="16"/>
      <c r="F578" s="16"/>
      <c r="G578" s="16"/>
      <c r="H578" s="16"/>
      <c r="I578" s="67"/>
      <c r="J578" s="67"/>
      <c r="K578" s="67"/>
      <c r="L578" s="67"/>
      <c r="M578" s="67"/>
      <c r="N578" s="67"/>
      <c r="O578" s="67"/>
      <c r="P578" s="104"/>
      <c r="Q578" s="67"/>
      <c r="R578" s="67"/>
      <c r="S578" s="67"/>
      <c r="T578" s="78"/>
    </row>
    <row r="579" spans="1:20" ht="12.75" customHeight="1" x14ac:dyDescent="0.2">
      <c r="A579" s="70"/>
      <c r="B579" s="14" t="s">
        <v>1</v>
      </c>
      <c r="C579" s="15">
        <f t="shared" si="246"/>
        <v>47837.154040000001</v>
      </c>
      <c r="D579" s="16">
        <v>0</v>
      </c>
      <c r="E579" s="16">
        <v>0</v>
      </c>
      <c r="F579" s="16">
        <v>0</v>
      </c>
      <c r="G579" s="16">
        <v>47837.154040000001</v>
      </c>
      <c r="H579" s="16"/>
      <c r="I579" s="67"/>
      <c r="J579" s="67"/>
      <c r="K579" s="67"/>
      <c r="L579" s="67"/>
      <c r="M579" s="67"/>
      <c r="N579" s="67"/>
      <c r="O579" s="67"/>
      <c r="P579" s="104"/>
      <c r="Q579" s="67"/>
      <c r="R579" s="67"/>
      <c r="S579" s="67"/>
      <c r="T579" s="78"/>
    </row>
    <row r="580" spans="1:20" ht="12.75" customHeight="1" x14ac:dyDescent="0.2">
      <c r="A580" s="70"/>
      <c r="B580" s="14" t="s">
        <v>2</v>
      </c>
      <c r="C580" s="15">
        <f t="shared" si="246"/>
        <v>0</v>
      </c>
      <c r="D580" s="16"/>
      <c r="E580" s="16"/>
      <c r="F580" s="16"/>
      <c r="G580" s="16"/>
      <c r="H580" s="16"/>
      <c r="I580" s="67"/>
      <c r="J580" s="67"/>
      <c r="K580" s="67"/>
      <c r="L580" s="67"/>
      <c r="M580" s="67"/>
      <c r="N580" s="67"/>
      <c r="O580" s="67"/>
      <c r="P580" s="104"/>
      <c r="Q580" s="67"/>
      <c r="R580" s="67"/>
      <c r="S580" s="67"/>
      <c r="T580" s="78"/>
    </row>
    <row r="581" spans="1:20" ht="12.75" customHeight="1" x14ac:dyDescent="0.2">
      <c r="A581" s="71"/>
      <c r="B581" s="14" t="s">
        <v>3</v>
      </c>
      <c r="C581" s="15">
        <f t="shared" si="246"/>
        <v>0</v>
      </c>
      <c r="D581" s="16"/>
      <c r="E581" s="16"/>
      <c r="F581" s="16"/>
      <c r="G581" s="16"/>
      <c r="H581" s="16"/>
      <c r="I581" s="68"/>
      <c r="J581" s="68"/>
      <c r="K581" s="68"/>
      <c r="L581" s="68"/>
      <c r="M581" s="68"/>
      <c r="N581" s="68"/>
      <c r="O581" s="68"/>
      <c r="P581" s="105"/>
      <c r="Q581" s="68"/>
      <c r="R581" s="68"/>
      <c r="S581" s="68"/>
      <c r="T581" s="78"/>
    </row>
    <row r="582" spans="1:20" x14ac:dyDescent="0.2">
      <c r="A582" s="69" t="s">
        <v>313</v>
      </c>
      <c r="B582" s="85" t="s">
        <v>68</v>
      </c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6"/>
    </row>
    <row r="583" spans="1:20" x14ac:dyDescent="0.2">
      <c r="A583" s="70" t="s">
        <v>102</v>
      </c>
      <c r="B583" s="79" t="s">
        <v>219</v>
      </c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</row>
    <row r="584" spans="1:20" ht="50.1" customHeight="1" x14ac:dyDescent="0.2">
      <c r="A584" s="70"/>
      <c r="B584" s="100" t="s">
        <v>278</v>
      </c>
      <c r="C584" s="101"/>
      <c r="D584" s="101"/>
      <c r="E584" s="101"/>
      <c r="F584" s="101"/>
      <c r="G584" s="101"/>
      <c r="H584" s="102"/>
      <c r="I584" s="66" t="s">
        <v>29</v>
      </c>
      <c r="J584" s="66" t="s">
        <v>443</v>
      </c>
      <c r="K584" s="134" t="s">
        <v>407</v>
      </c>
      <c r="L584" s="66" t="s">
        <v>82</v>
      </c>
      <c r="M584" s="66" t="s">
        <v>68</v>
      </c>
      <c r="N584" s="66" t="s">
        <v>68</v>
      </c>
      <c r="O584" s="66" t="s">
        <v>78</v>
      </c>
      <c r="P584" s="103">
        <v>62318.87</v>
      </c>
      <c r="Q584" s="66" t="s">
        <v>79</v>
      </c>
      <c r="R584" s="66" t="s">
        <v>8</v>
      </c>
      <c r="S584" s="66" t="s">
        <v>76</v>
      </c>
      <c r="T584" s="78"/>
    </row>
    <row r="585" spans="1:20" ht="12.75" customHeight="1" x14ac:dyDescent="0.2">
      <c r="A585" s="70"/>
      <c r="B585" s="14" t="s">
        <v>5</v>
      </c>
      <c r="C585" s="15">
        <f>SUM(D585:H585)</f>
        <v>57647.402119999999</v>
      </c>
      <c r="D585" s="16">
        <f t="shared" ref="D585:F585" si="247">SUM(D586:D589)</f>
        <v>0</v>
      </c>
      <c r="E585" s="16">
        <f t="shared" si="247"/>
        <v>0</v>
      </c>
      <c r="F585" s="16">
        <f t="shared" si="247"/>
        <v>0</v>
      </c>
      <c r="G585" s="16">
        <f t="shared" ref="G585" si="248">SUM(G586:G589)</f>
        <v>34024.31538</v>
      </c>
      <c r="H585" s="16">
        <f t="shared" ref="H585" si="249">SUM(H586:H589)</f>
        <v>23623.086739999999</v>
      </c>
      <c r="I585" s="67"/>
      <c r="J585" s="67"/>
      <c r="K585" s="135"/>
      <c r="L585" s="67"/>
      <c r="M585" s="67"/>
      <c r="N585" s="67"/>
      <c r="O585" s="67"/>
      <c r="P585" s="104"/>
      <c r="Q585" s="67"/>
      <c r="R585" s="67"/>
      <c r="S585" s="67"/>
      <c r="T585" s="78"/>
    </row>
    <row r="586" spans="1:20" ht="12.75" customHeight="1" x14ac:dyDescent="0.2">
      <c r="A586" s="70"/>
      <c r="B586" s="14" t="s">
        <v>0</v>
      </c>
      <c r="C586" s="15">
        <f t="shared" ref="C586:C589" si="250">SUM(D586:H586)</f>
        <v>0</v>
      </c>
      <c r="D586" s="16"/>
      <c r="E586" s="16"/>
      <c r="F586" s="16"/>
      <c r="G586" s="16"/>
      <c r="H586" s="16"/>
      <c r="I586" s="67"/>
      <c r="J586" s="67"/>
      <c r="K586" s="135"/>
      <c r="L586" s="67"/>
      <c r="M586" s="67"/>
      <c r="N586" s="67"/>
      <c r="O586" s="67"/>
      <c r="P586" s="104"/>
      <c r="Q586" s="67"/>
      <c r="R586" s="67"/>
      <c r="S586" s="67"/>
      <c r="T586" s="78"/>
    </row>
    <row r="587" spans="1:20" ht="12.75" customHeight="1" x14ac:dyDescent="0.2">
      <c r="A587" s="70"/>
      <c r="B587" s="14" t="s">
        <v>1</v>
      </c>
      <c r="C587" s="15">
        <f t="shared" si="250"/>
        <v>57647.402119999999</v>
      </c>
      <c r="D587" s="16">
        <v>0</v>
      </c>
      <c r="E587" s="16">
        <v>0</v>
      </c>
      <c r="F587" s="16">
        <v>0</v>
      </c>
      <c r="G587" s="16">
        <v>34024.31538</v>
      </c>
      <c r="H587" s="16">
        <v>23623.086739999999</v>
      </c>
      <c r="I587" s="67"/>
      <c r="J587" s="67"/>
      <c r="K587" s="135"/>
      <c r="L587" s="67"/>
      <c r="M587" s="67"/>
      <c r="N587" s="67"/>
      <c r="O587" s="67"/>
      <c r="P587" s="104"/>
      <c r="Q587" s="67"/>
      <c r="R587" s="67"/>
      <c r="S587" s="67"/>
      <c r="T587" s="78"/>
    </row>
    <row r="588" spans="1:20" ht="12.75" customHeight="1" x14ac:dyDescent="0.2">
      <c r="A588" s="70"/>
      <c r="B588" s="14" t="s">
        <v>2</v>
      </c>
      <c r="C588" s="15">
        <f t="shared" si="250"/>
        <v>0</v>
      </c>
      <c r="D588" s="16"/>
      <c r="E588" s="16"/>
      <c r="F588" s="16"/>
      <c r="G588" s="16"/>
      <c r="H588" s="16"/>
      <c r="I588" s="67"/>
      <c r="J588" s="67"/>
      <c r="K588" s="135"/>
      <c r="L588" s="67"/>
      <c r="M588" s="67"/>
      <c r="N588" s="67"/>
      <c r="O588" s="67"/>
      <c r="P588" s="104"/>
      <c r="Q588" s="67"/>
      <c r="R588" s="67"/>
      <c r="S588" s="67"/>
      <c r="T588" s="78"/>
    </row>
    <row r="589" spans="1:20" ht="12.75" customHeight="1" x14ac:dyDescent="0.2">
      <c r="A589" s="71"/>
      <c r="B589" s="14" t="s">
        <v>3</v>
      </c>
      <c r="C589" s="15">
        <f t="shared" si="250"/>
        <v>0</v>
      </c>
      <c r="D589" s="16"/>
      <c r="E589" s="16"/>
      <c r="F589" s="16"/>
      <c r="G589" s="16"/>
      <c r="H589" s="16"/>
      <c r="I589" s="68"/>
      <c r="J589" s="68"/>
      <c r="K589" s="136"/>
      <c r="L589" s="68"/>
      <c r="M589" s="68"/>
      <c r="N589" s="68"/>
      <c r="O589" s="68"/>
      <c r="P589" s="105"/>
      <c r="Q589" s="68"/>
      <c r="R589" s="68"/>
      <c r="S589" s="68"/>
      <c r="T589" s="78"/>
    </row>
    <row r="590" spans="1:20" x14ac:dyDescent="0.2">
      <c r="A590" s="69" t="s">
        <v>314</v>
      </c>
      <c r="B590" s="85" t="s">
        <v>68</v>
      </c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6"/>
    </row>
    <row r="591" spans="1:20" x14ac:dyDescent="0.2">
      <c r="A591" s="70"/>
      <c r="B591" s="79" t="s">
        <v>219</v>
      </c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</row>
    <row r="592" spans="1:20" ht="45" customHeight="1" x14ac:dyDescent="0.2">
      <c r="A592" s="70"/>
      <c r="B592" s="81" t="s">
        <v>617</v>
      </c>
      <c r="C592" s="82"/>
      <c r="D592" s="82"/>
      <c r="E592" s="82"/>
      <c r="F592" s="82"/>
      <c r="G592" s="82"/>
      <c r="H592" s="83"/>
      <c r="I592" s="66"/>
      <c r="J592" s="66" t="s">
        <v>443</v>
      </c>
      <c r="K592" s="134" t="s">
        <v>407</v>
      </c>
      <c r="L592" s="66" t="s">
        <v>279</v>
      </c>
      <c r="M592" s="66" t="s">
        <v>68</v>
      </c>
      <c r="N592" s="66" t="s">
        <v>68</v>
      </c>
      <c r="O592" s="66" t="s">
        <v>78</v>
      </c>
      <c r="P592" s="66">
        <v>3309342.94</v>
      </c>
      <c r="Q592" s="66" t="s">
        <v>79</v>
      </c>
      <c r="R592" s="66" t="s">
        <v>8</v>
      </c>
      <c r="S592" s="66" t="s">
        <v>76</v>
      </c>
      <c r="T592" s="66"/>
    </row>
    <row r="593" spans="1:20" ht="12.75" customHeight="1" x14ac:dyDescent="0.2">
      <c r="A593" s="70"/>
      <c r="B593" s="14" t="s">
        <v>5</v>
      </c>
      <c r="C593" s="15">
        <f>SUM(D593:H593)</f>
        <v>307550</v>
      </c>
      <c r="D593" s="15">
        <f t="shared" ref="D593:F593" si="251">SUM(D594:D597)</f>
        <v>4500</v>
      </c>
      <c r="E593" s="15">
        <f t="shared" si="251"/>
        <v>0</v>
      </c>
      <c r="F593" s="15">
        <f t="shared" si="251"/>
        <v>0</v>
      </c>
      <c r="G593" s="15">
        <f t="shared" ref="G593" si="252">SUM(G594:G597)</f>
        <v>300000</v>
      </c>
      <c r="H593" s="16">
        <f t="shared" ref="H593" si="253">SUM(H594:H597)</f>
        <v>3050</v>
      </c>
      <c r="I593" s="67"/>
      <c r="J593" s="67"/>
      <c r="K593" s="135"/>
      <c r="L593" s="67"/>
      <c r="M593" s="67"/>
      <c r="N593" s="67"/>
      <c r="O593" s="67"/>
      <c r="P593" s="67"/>
      <c r="Q593" s="67"/>
      <c r="R593" s="67"/>
      <c r="S593" s="67"/>
      <c r="T593" s="67"/>
    </row>
    <row r="594" spans="1:20" ht="12.75" customHeight="1" x14ac:dyDescent="0.2">
      <c r="A594" s="70"/>
      <c r="B594" s="14" t="s">
        <v>0</v>
      </c>
      <c r="C594" s="15">
        <f t="shared" ref="C594:C597" si="254">SUM(D594:H594)</f>
        <v>0</v>
      </c>
      <c r="D594" s="16"/>
      <c r="E594" s="16"/>
      <c r="F594" s="16"/>
      <c r="G594" s="16"/>
      <c r="H594" s="16"/>
      <c r="I594" s="67"/>
      <c r="J594" s="67"/>
      <c r="K594" s="135"/>
      <c r="L594" s="67"/>
      <c r="M594" s="67"/>
      <c r="N594" s="67"/>
      <c r="O594" s="67"/>
      <c r="P594" s="67"/>
      <c r="Q594" s="67"/>
      <c r="R594" s="67"/>
      <c r="S594" s="67"/>
      <c r="T594" s="67"/>
    </row>
    <row r="595" spans="1:20" ht="12.75" customHeight="1" x14ac:dyDescent="0.2">
      <c r="A595" s="70"/>
      <c r="B595" s="14" t="s">
        <v>1</v>
      </c>
      <c r="C595" s="15">
        <f t="shared" si="254"/>
        <v>307550</v>
      </c>
      <c r="D595" s="32">
        <f>0+5000-500</f>
        <v>4500</v>
      </c>
      <c r="E595" s="16">
        <v>0</v>
      </c>
      <c r="F595" s="16">
        <v>0</v>
      </c>
      <c r="G595" s="16">
        <v>300000</v>
      </c>
      <c r="H595" s="16">
        <v>3050</v>
      </c>
      <c r="I595" s="67"/>
      <c r="J595" s="67"/>
      <c r="K595" s="135"/>
      <c r="L595" s="67"/>
      <c r="M595" s="67"/>
      <c r="N595" s="67"/>
      <c r="O595" s="67"/>
      <c r="P595" s="67"/>
      <c r="Q595" s="67"/>
      <c r="R595" s="67"/>
      <c r="S595" s="67"/>
      <c r="T595" s="67"/>
    </row>
    <row r="596" spans="1:20" ht="12.75" customHeight="1" x14ac:dyDescent="0.2">
      <c r="A596" s="70"/>
      <c r="B596" s="14" t="s">
        <v>2</v>
      </c>
      <c r="C596" s="15">
        <f t="shared" si="254"/>
        <v>0</v>
      </c>
      <c r="D596" s="16"/>
      <c r="E596" s="16"/>
      <c r="F596" s="16"/>
      <c r="G596" s="16"/>
      <c r="H596" s="16"/>
      <c r="I596" s="67"/>
      <c r="J596" s="67"/>
      <c r="K596" s="135"/>
      <c r="L596" s="67"/>
      <c r="M596" s="67"/>
      <c r="N596" s="67"/>
      <c r="O596" s="67"/>
      <c r="P596" s="67"/>
      <c r="Q596" s="67"/>
      <c r="R596" s="67"/>
      <c r="S596" s="67"/>
      <c r="T596" s="67"/>
    </row>
    <row r="597" spans="1:20" ht="12.75" customHeight="1" x14ac:dyDescent="0.2">
      <c r="A597" s="71"/>
      <c r="B597" s="14" t="s">
        <v>3</v>
      </c>
      <c r="C597" s="15">
        <f t="shared" si="254"/>
        <v>0</v>
      </c>
      <c r="D597" s="16"/>
      <c r="E597" s="16"/>
      <c r="F597" s="16"/>
      <c r="G597" s="16"/>
      <c r="H597" s="16"/>
      <c r="I597" s="68"/>
      <c r="J597" s="68"/>
      <c r="K597" s="136"/>
      <c r="L597" s="68"/>
      <c r="M597" s="68"/>
      <c r="N597" s="68"/>
      <c r="O597" s="68"/>
      <c r="P597" s="68"/>
      <c r="Q597" s="68"/>
      <c r="R597" s="68"/>
      <c r="S597" s="68"/>
      <c r="T597" s="68"/>
    </row>
    <row r="598" spans="1:20" ht="12.75" customHeight="1" x14ac:dyDescent="0.2">
      <c r="A598" s="69" t="s">
        <v>315</v>
      </c>
      <c r="B598" s="85" t="s">
        <v>68</v>
      </c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6"/>
    </row>
    <row r="599" spans="1:20" x14ac:dyDescent="0.2">
      <c r="A599" s="70"/>
      <c r="B599" s="80" t="s">
        <v>219</v>
      </c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</row>
    <row r="600" spans="1:20" ht="45" customHeight="1" x14ac:dyDescent="0.2">
      <c r="A600" s="70"/>
      <c r="B600" s="84" t="s">
        <v>281</v>
      </c>
      <c r="C600" s="85"/>
      <c r="D600" s="85"/>
      <c r="E600" s="85"/>
      <c r="F600" s="85"/>
      <c r="G600" s="85"/>
      <c r="H600" s="86"/>
      <c r="I600" s="66" t="s">
        <v>29</v>
      </c>
      <c r="J600" s="66"/>
      <c r="K600" s="66" t="s">
        <v>11</v>
      </c>
      <c r="L600" s="66" t="s">
        <v>89</v>
      </c>
      <c r="M600" s="66" t="s">
        <v>90</v>
      </c>
      <c r="N600" s="66" t="s">
        <v>91</v>
      </c>
      <c r="O600" s="66" t="s">
        <v>91</v>
      </c>
      <c r="P600" s="66">
        <v>224396.61</v>
      </c>
      <c r="Q600" s="66" t="s">
        <v>70</v>
      </c>
      <c r="R600" s="66" t="s">
        <v>90</v>
      </c>
      <c r="S600" s="66" t="s">
        <v>75</v>
      </c>
      <c r="T600" s="66" t="s">
        <v>335</v>
      </c>
    </row>
    <row r="601" spans="1:20" ht="12.75" customHeight="1" x14ac:dyDescent="0.2">
      <c r="A601" s="70"/>
      <c r="B601" s="19" t="s">
        <v>5</v>
      </c>
      <c r="C601" s="15">
        <f>SUM(D601:H601)</f>
        <v>158674.99</v>
      </c>
      <c r="D601" s="15">
        <f t="shared" ref="D601:F601" si="255">SUM(D602:D605)</f>
        <v>0</v>
      </c>
      <c r="E601" s="15">
        <f t="shared" si="255"/>
        <v>0</v>
      </c>
      <c r="F601" s="15">
        <f t="shared" si="255"/>
        <v>0</v>
      </c>
      <c r="G601" s="15">
        <f t="shared" ref="G601" si="256">SUM(G602:G605)</f>
        <v>65079.58</v>
      </c>
      <c r="H601" s="15">
        <f t="shared" ref="H601" si="257">SUM(H602:H605)</f>
        <v>93595.41</v>
      </c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</row>
    <row r="602" spans="1:20" ht="12.75" customHeight="1" x14ac:dyDescent="0.2">
      <c r="A602" s="70"/>
      <c r="B602" s="19" t="s">
        <v>0</v>
      </c>
      <c r="C602" s="15">
        <f t="shared" ref="C602:C605" si="258">SUM(D602:H602)</f>
        <v>0</v>
      </c>
      <c r="D602" s="16"/>
      <c r="E602" s="16"/>
      <c r="F602" s="16"/>
      <c r="G602" s="16"/>
      <c r="H602" s="20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</row>
    <row r="603" spans="1:20" ht="12.75" customHeight="1" x14ac:dyDescent="0.2">
      <c r="A603" s="70"/>
      <c r="B603" s="19" t="s">
        <v>1</v>
      </c>
      <c r="C603" s="15">
        <f t="shared" si="258"/>
        <v>158674.99</v>
      </c>
      <c r="D603" s="16">
        <v>0</v>
      </c>
      <c r="E603" s="16">
        <v>0</v>
      </c>
      <c r="F603" s="16">
        <v>0</v>
      </c>
      <c r="G603" s="16">
        <v>65079.58</v>
      </c>
      <c r="H603" s="20">
        <v>93595.41</v>
      </c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</row>
    <row r="604" spans="1:20" ht="12.75" customHeight="1" x14ac:dyDescent="0.2">
      <c r="A604" s="70"/>
      <c r="B604" s="19" t="s">
        <v>2</v>
      </c>
      <c r="C604" s="15">
        <f t="shared" si="258"/>
        <v>0</v>
      </c>
      <c r="D604" s="16"/>
      <c r="E604" s="16"/>
      <c r="F604" s="16"/>
      <c r="G604" s="16"/>
      <c r="H604" s="20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</row>
    <row r="605" spans="1:20" ht="12.75" customHeight="1" x14ac:dyDescent="0.2">
      <c r="A605" s="71"/>
      <c r="B605" s="19" t="s">
        <v>3</v>
      </c>
      <c r="C605" s="15">
        <f t="shared" si="258"/>
        <v>0</v>
      </c>
      <c r="D605" s="16"/>
      <c r="E605" s="16"/>
      <c r="F605" s="16"/>
      <c r="G605" s="16"/>
      <c r="H605" s="21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</row>
    <row r="606" spans="1:20" ht="12.75" customHeight="1" x14ac:dyDescent="0.2">
      <c r="A606" s="69" t="s">
        <v>365</v>
      </c>
      <c r="B606" s="84" t="s">
        <v>68</v>
      </c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6"/>
    </row>
    <row r="607" spans="1:20" x14ac:dyDescent="0.2">
      <c r="A607" s="70"/>
      <c r="B607" s="80" t="s">
        <v>219</v>
      </c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</row>
    <row r="608" spans="1:20" ht="45" customHeight="1" x14ac:dyDescent="0.2">
      <c r="A608" s="70"/>
      <c r="B608" s="84" t="s">
        <v>282</v>
      </c>
      <c r="C608" s="85"/>
      <c r="D608" s="85"/>
      <c r="E608" s="85"/>
      <c r="F608" s="85"/>
      <c r="G608" s="85"/>
      <c r="H608" s="86"/>
      <c r="I608" s="66" t="s">
        <v>24</v>
      </c>
      <c r="J608" s="66"/>
      <c r="K608" s="66" t="s">
        <v>11</v>
      </c>
      <c r="L608" s="66" t="s">
        <v>283</v>
      </c>
      <c r="M608" s="66" t="s">
        <v>93</v>
      </c>
      <c r="N608" s="66" t="s">
        <v>94</v>
      </c>
      <c r="O608" s="66" t="s">
        <v>94</v>
      </c>
      <c r="P608" s="66">
        <v>19000</v>
      </c>
      <c r="Q608" s="66" t="s">
        <v>70</v>
      </c>
      <c r="R608" s="66" t="s">
        <v>93</v>
      </c>
      <c r="S608" s="66" t="s">
        <v>76</v>
      </c>
      <c r="T608" s="106"/>
    </row>
    <row r="609" spans="1:20" ht="12.75" customHeight="1" x14ac:dyDescent="0.2">
      <c r="A609" s="70"/>
      <c r="B609" s="19" t="s">
        <v>5</v>
      </c>
      <c r="C609" s="15">
        <f>SUM(D609:H609)</f>
        <v>5000</v>
      </c>
      <c r="D609" s="15">
        <f t="shared" ref="D609:F609" si="259">SUM(D610:D613)</f>
        <v>0</v>
      </c>
      <c r="E609" s="15">
        <f t="shared" si="259"/>
        <v>0</v>
      </c>
      <c r="F609" s="15">
        <f t="shared" si="259"/>
        <v>0</v>
      </c>
      <c r="G609" s="15">
        <f t="shared" ref="G609" si="260">SUM(G610:G613)</f>
        <v>5000</v>
      </c>
      <c r="H609" s="15">
        <f t="shared" ref="H609" si="261">SUM(H610:H613)</f>
        <v>0</v>
      </c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107"/>
    </row>
    <row r="610" spans="1:20" ht="12.75" customHeight="1" x14ac:dyDescent="0.2">
      <c r="A610" s="70"/>
      <c r="B610" s="19" t="s">
        <v>0</v>
      </c>
      <c r="C610" s="15">
        <f t="shared" ref="C610:C613" si="262">SUM(D610:H610)</f>
        <v>0</v>
      </c>
      <c r="D610" s="16"/>
      <c r="E610" s="16"/>
      <c r="F610" s="16"/>
      <c r="G610" s="16"/>
      <c r="H610" s="16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107"/>
    </row>
    <row r="611" spans="1:20" ht="12.75" customHeight="1" x14ac:dyDescent="0.2">
      <c r="A611" s="70"/>
      <c r="B611" s="19" t="s">
        <v>1</v>
      </c>
      <c r="C611" s="15">
        <f t="shared" si="262"/>
        <v>4990</v>
      </c>
      <c r="D611" s="16">
        <v>0</v>
      </c>
      <c r="E611" s="16">
        <v>0</v>
      </c>
      <c r="F611" s="16">
        <v>0</v>
      </c>
      <c r="G611" s="16">
        <v>4990</v>
      </c>
      <c r="H611" s="16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107"/>
    </row>
    <row r="612" spans="1:20" ht="12.75" customHeight="1" x14ac:dyDescent="0.2">
      <c r="A612" s="70"/>
      <c r="B612" s="19" t="s">
        <v>2</v>
      </c>
      <c r="C612" s="15">
        <f t="shared" si="262"/>
        <v>10</v>
      </c>
      <c r="D612" s="16">
        <v>0</v>
      </c>
      <c r="E612" s="16">
        <v>0</v>
      </c>
      <c r="F612" s="16">
        <v>0</v>
      </c>
      <c r="G612" s="16">
        <v>10</v>
      </c>
      <c r="H612" s="16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107"/>
    </row>
    <row r="613" spans="1:20" ht="12.75" customHeight="1" x14ac:dyDescent="0.2">
      <c r="A613" s="71"/>
      <c r="B613" s="19" t="s">
        <v>3</v>
      </c>
      <c r="C613" s="15">
        <f t="shared" si="262"/>
        <v>0</v>
      </c>
      <c r="D613" s="16"/>
      <c r="E613" s="16"/>
      <c r="F613" s="16"/>
      <c r="G613" s="16"/>
      <c r="H613" s="16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108"/>
    </row>
    <row r="614" spans="1:20" ht="12.75" customHeight="1" x14ac:dyDescent="0.2">
      <c r="A614" s="69" t="s">
        <v>366</v>
      </c>
      <c r="B614" s="84" t="s">
        <v>68</v>
      </c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6"/>
    </row>
    <row r="615" spans="1:20" x14ac:dyDescent="0.2">
      <c r="A615" s="70"/>
      <c r="B615" s="80" t="s">
        <v>219</v>
      </c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</row>
    <row r="616" spans="1:20" ht="45" customHeight="1" x14ac:dyDescent="0.2">
      <c r="A616" s="70"/>
      <c r="B616" s="84" t="s">
        <v>411</v>
      </c>
      <c r="C616" s="85"/>
      <c r="D616" s="85"/>
      <c r="E616" s="85"/>
      <c r="F616" s="85"/>
      <c r="G616" s="85"/>
      <c r="H616" s="86"/>
      <c r="I616" s="66"/>
      <c r="J616" s="66" t="s">
        <v>21</v>
      </c>
      <c r="K616" s="66" t="s">
        <v>11</v>
      </c>
      <c r="L616" s="66"/>
      <c r="M616" s="66" t="s">
        <v>95</v>
      </c>
      <c r="N616" s="66" t="s">
        <v>96</v>
      </c>
      <c r="O616" s="66" t="s">
        <v>96</v>
      </c>
      <c r="P616" s="66">
        <v>12046.005999999999</v>
      </c>
      <c r="Q616" s="66" t="s">
        <v>70</v>
      </c>
      <c r="R616" s="66" t="s">
        <v>95</v>
      </c>
      <c r="S616" s="66" t="s">
        <v>76</v>
      </c>
      <c r="T616" s="106"/>
    </row>
    <row r="617" spans="1:20" ht="12.75" customHeight="1" x14ac:dyDescent="0.2">
      <c r="A617" s="70"/>
      <c r="B617" s="19" t="s">
        <v>5</v>
      </c>
      <c r="C617" s="15">
        <f>SUM(D617:H617)</f>
        <v>60000</v>
      </c>
      <c r="D617" s="15">
        <f t="shared" ref="D617:F617" si="263">SUM(D618:D621)</f>
        <v>0</v>
      </c>
      <c r="E617" s="15">
        <f t="shared" si="263"/>
        <v>0</v>
      </c>
      <c r="F617" s="15">
        <f t="shared" si="263"/>
        <v>0</v>
      </c>
      <c r="G617" s="15">
        <f t="shared" ref="G617" si="264">SUM(G618:G621)</f>
        <v>30000</v>
      </c>
      <c r="H617" s="15">
        <f t="shared" ref="H617" si="265">SUM(H618:H621)</f>
        <v>30000</v>
      </c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107"/>
    </row>
    <row r="618" spans="1:20" ht="12.75" customHeight="1" x14ac:dyDescent="0.2">
      <c r="A618" s="70"/>
      <c r="B618" s="19" t="s">
        <v>0</v>
      </c>
      <c r="C618" s="15">
        <f t="shared" ref="C618:C621" si="266">SUM(D618:H618)</f>
        <v>0</v>
      </c>
      <c r="D618" s="16"/>
      <c r="E618" s="16"/>
      <c r="F618" s="16"/>
      <c r="G618" s="16"/>
      <c r="H618" s="16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107"/>
    </row>
    <row r="619" spans="1:20" ht="12.75" customHeight="1" x14ac:dyDescent="0.2">
      <c r="A619" s="70"/>
      <c r="B619" s="19" t="s">
        <v>1</v>
      </c>
      <c r="C619" s="15">
        <f t="shared" si="266"/>
        <v>60000</v>
      </c>
      <c r="D619" s="16">
        <v>0</v>
      </c>
      <c r="E619" s="16">
        <v>0</v>
      </c>
      <c r="F619" s="16">
        <v>0</v>
      </c>
      <c r="G619" s="16">
        <v>30000</v>
      </c>
      <c r="H619" s="16">
        <v>30000</v>
      </c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107"/>
    </row>
    <row r="620" spans="1:20" ht="12.75" customHeight="1" x14ac:dyDescent="0.2">
      <c r="A620" s="70"/>
      <c r="B620" s="19" t="s">
        <v>2</v>
      </c>
      <c r="C620" s="15">
        <f t="shared" si="266"/>
        <v>0</v>
      </c>
      <c r="D620" s="16"/>
      <c r="E620" s="16"/>
      <c r="F620" s="16"/>
      <c r="G620" s="16"/>
      <c r="H620" s="16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107"/>
    </row>
    <row r="621" spans="1:20" ht="12.75" customHeight="1" x14ac:dyDescent="0.2">
      <c r="A621" s="71"/>
      <c r="B621" s="19" t="s">
        <v>3</v>
      </c>
      <c r="C621" s="15">
        <f t="shared" si="266"/>
        <v>0</v>
      </c>
      <c r="D621" s="16"/>
      <c r="E621" s="16"/>
      <c r="F621" s="16"/>
      <c r="G621" s="16"/>
      <c r="H621" s="16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108"/>
    </row>
    <row r="622" spans="1:20" ht="12.75" customHeight="1" x14ac:dyDescent="0.2">
      <c r="A622" s="69" t="s">
        <v>367</v>
      </c>
      <c r="B622" s="84" t="s">
        <v>68</v>
      </c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6"/>
    </row>
    <row r="623" spans="1:20" x14ac:dyDescent="0.2">
      <c r="A623" s="70"/>
      <c r="B623" s="80" t="s">
        <v>219</v>
      </c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</row>
    <row r="624" spans="1:20" ht="45" customHeight="1" x14ac:dyDescent="0.2">
      <c r="A624" s="70"/>
      <c r="B624" s="84" t="s">
        <v>97</v>
      </c>
      <c r="C624" s="85"/>
      <c r="D624" s="85"/>
      <c r="E624" s="85"/>
      <c r="F624" s="85"/>
      <c r="G624" s="85"/>
      <c r="H624" s="86"/>
      <c r="I624" s="66" t="s">
        <v>24</v>
      </c>
      <c r="J624" s="66" t="s">
        <v>22</v>
      </c>
      <c r="K624" s="66" t="s">
        <v>11</v>
      </c>
      <c r="L624" s="66" t="s">
        <v>284</v>
      </c>
      <c r="M624" s="66" t="s">
        <v>93</v>
      </c>
      <c r="N624" s="66" t="s">
        <v>94</v>
      </c>
      <c r="O624" s="66" t="s">
        <v>94</v>
      </c>
      <c r="P624" s="66">
        <v>34000</v>
      </c>
      <c r="Q624" s="66" t="s">
        <v>70</v>
      </c>
      <c r="R624" s="66" t="s">
        <v>93</v>
      </c>
      <c r="S624" s="66" t="s">
        <v>76</v>
      </c>
      <c r="T624" s="106"/>
    </row>
    <row r="625" spans="1:20" ht="12.75" customHeight="1" x14ac:dyDescent="0.2">
      <c r="A625" s="70"/>
      <c r="B625" s="19" t="s">
        <v>5</v>
      </c>
      <c r="C625" s="15">
        <f>SUM(D625:H625)</f>
        <v>7000</v>
      </c>
      <c r="D625" s="15">
        <f t="shared" ref="D625:F625" si="267">SUM(D626:D629)</f>
        <v>0</v>
      </c>
      <c r="E625" s="15">
        <f t="shared" si="267"/>
        <v>0</v>
      </c>
      <c r="F625" s="15">
        <f t="shared" si="267"/>
        <v>0</v>
      </c>
      <c r="G625" s="15">
        <f t="shared" ref="G625" si="268">SUM(G626:G629)</f>
        <v>7000</v>
      </c>
      <c r="H625" s="15">
        <f t="shared" ref="H625" si="269">SUM(H626:H629)</f>
        <v>0</v>
      </c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107"/>
    </row>
    <row r="626" spans="1:20" ht="12.75" customHeight="1" x14ac:dyDescent="0.2">
      <c r="A626" s="70"/>
      <c r="B626" s="19" t="s">
        <v>0</v>
      </c>
      <c r="C626" s="15">
        <f t="shared" ref="C626:C629" si="270">SUM(D626:H626)</f>
        <v>0</v>
      </c>
      <c r="D626" s="16"/>
      <c r="E626" s="16"/>
      <c r="F626" s="16"/>
      <c r="G626" s="16"/>
      <c r="H626" s="16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107"/>
    </row>
    <row r="627" spans="1:20" ht="12.75" customHeight="1" x14ac:dyDescent="0.2">
      <c r="A627" s="70"/>
      <c r="B627" s="19" t="s">
        <v>1</v>
      </c>
      <c r="C627" s="15">
        <f t="shared" si="270"/>
        <v>6986</v>
      </c>
      <c r="D627" s="16">
        <v>0</v>
      </c>
      <c r="E627" s="16">
        <v>0</v>
      </c>
      <c r="F627" s="16">
        <v>0</v>
      </c>
      <c r="G627" s="16">
        <v>6986</v>
      </c>
      <c r="H627" s="16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107"/>
    </row>
    <row r="628" spans="1:20" ht="12.75" customHeight="1" x14ac:dyDescent="0.2">
      <c r="A628" s="70"/>
      <c r="B628" s="19" t="s">
        <v>2</v>
      </c>
      <c r="C628" s="15">
        <f t="shared" si="270"/>
        <v>14</v>
      </c>
      <c r="D628" s="16">
        <v>0</v>
      </c>
      <c r="E628" s="16">
        <v>0</v>
      </c>
      <c r="F628" s="16">
        <v>0</v>
      </c>
      <c r="G628" s="16">
        <v>14</v>
      </c>
      <c r="H628" s="16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107"/>
    </row>
    <row r="629" spans="1:20" ht="12.75" customHeight="1" x14ac:dyDescent="0.2">
      <c r="A629" s="71"/>
      <c r="B629" s="19" t="s">
        <v>3</v>
      </c>
      <c r="C629" s="15">
        <f t="shared" si="270"/>
        <v>0</v>
      </c>
      <c r="D629" s="16"/>
      <c r="E629" s="16"/>
      <c r="F629" s="16"/>
      <c r="G629" s="16"/>
      <c r="H629" s="16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108"/>
    </row>
    <row r="630" spans="1:20" ht="12.75" customHeight="1" x14ac:dyDescent="0.2">
      <c r="A630" s="69" t="s">
        <v>368</v>
      </c>
      <c r="B630" s="84" t="s">
        <v>68</v>
      </c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6"/>
    </row>
    <row r="631" spans="1:20" ht="12.75" customHeight="1" x14ac:dyDescent="0.2">
      <c r="A631" s="70"/>
      <c r="B631" s="80" t="s">
        <v>219</v>
      </c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</row>
    <row r="632" spans="1:20" ht="45" customHeight="1" x14ac:dyDescent="0.2">
      <c r="A632" s="70"/>
      <c r="B632" s="84" t="s">
        <v>581</v>
      </c>
      <c r="C632" s="85"/>
      <c r="D632" s="85"/>
      <c r="E632" s="85"/>
      <c r="F632" s="85"/>
      <c r="G632" s="85"/>
      <c r="H632" s="86"/>
      <c r="I632" s="66" t="s">
        <v>443</v>
      </c>
      <c r="J632" s="66" t="s">
        <v>13</v>
      </c>
      <c r="K632" s="66" t="s">
        <v>625</v>
      </c>
      <c r="L632" s="66" t="s">
        <v>583</v>
      </c>
      <c r="M632" s="66" t="s">
        <v>584</v>
      </c>
      <c r="N632" s="66" t="s">
        <v>68</v>
      </c>
      <c r="O632" s="66" t="s">
        <v>624</v>
      </c>
      <c r="P632" s="66" t="s">
        <v>586</v>
      </c>
      <c r="Q632" s="66" t="s">
        <v>70</v>
      </c>
      <c r="R632" s="66" t="s">
        <v>584</v>
      </c>
      <c r="S632" s="66" t="s">
        <v>31</v>
      </c>
      <c r="T632" s="66" t="s">
        <v>585</v>
      </c>
    </row>
    <row r="633" spans="1:20" ht="12.75" customHeight="1" x14ac:dyDescent="0.2">
      <c r="A633" s="70"/>
      <c r="B633" s="19" t="s">
        <v>5</v>
      </c>
      <c r="C633" s="15">
        <f>SUM(D633:H633)</f>
        <v>517030.58199999999</v>
      </c>
      <c r="D633" s="16">
        <f>SUM(D634:D638)</f>
        <v>191343.98200000002</v>
      </c>
      <c r="E633" s="16">
        <f t="shared" ref="E633:H633" si="271">SUM(E634:E638)</f>
        <v>325686.59999999998</v>
      </c>
      <c r="F633" s="16">
        <f t="shared" si="271"/>
        <v>0</v>
      </c>
      <c r="G633" s="16">
        <f t="shared" si="271"/>
        <v>0</v>
      </c>
      <c r="H633" s="16">
        <f t="shared" si="271"/>
        <v>0</v>
      </c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</row>
    <row r="634" spans="1:20" ht="12.75" customHeight="1" x14ac:dyDescent="0.2">
      <c r="A634" s="70"/>
      <c r="B634" s="19" t="s">
        <v>0</v>
      </c>
      <c r="C634" s="15">
        <f t="shared" ref="C634:C638" si="272">SUM(D634:H634)</f>
        <v>0</v>
      </c>
      <c r="D634" s="16"/>
      <c r="E634" s="16"/>
      <c r="F634" s="16"/>
      <c r="G634" s="16"/>
      <c r="H634" s="16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</row>
    <row r="635" spans="1:20" ht="12.75" customHeight="1" x14ac:dyDescent="0.2">
      <c r="A635" s="70"/>
      <c r="B635" s="19" t="s">
        <v>1</v>
      </c>
      <c r="C635" s="15">
        <f t="shared" si="272"/>
        <v>9966.3719999999994</v>
      </c>
      <c r="D635" s="16">
        <f>0+9966.372</f>
        <v>9966.3719999999994</v>
      </c>
      <c r="E635" s="16"/>
      <c r="F635" s="16"/>
      <c r="G635" s="16"/>
      <c r="H635" s="16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</row>
    <row r="636" spans="1:20" ht="12.75" customHeight="1" x14ac:dyDescent="0.2">
      <c r="A636" s="70"/>
      <c r="B636" s="19" t="s">
        <v>2</v>
      </c>
      <c r="C636" s="15">
        <f t="shared" si="272"/>
        <v>100580.726</v>
      </c>
      <c r="D636" s="16">
        <f>0+36275.522</f>
        <v>36275.521999999997</v>
      </c>
      <c r="E636" s="16">
        <f>0+64305.204</f>
        <v>64305.203999999998</v>
      </c>
      <c r="F636" s="16"/>
      <c r="G636" s="16"/>
      <c r="H636" s="16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</row>
    <row r="637" spans="1:20" ht="54.95" customHeight="1" x14ac:dyDescent="0.2">
      <c r="A637" s="70"/>
      <c r="B637" s="19" t="s">
        <v>587</v>
      </c>
      <c r="C637" s="15">
        <f t="shared" si="272"/>
        <v>106483.484</v>
      </c>
      <c r="D637" s="16">
        <f>0+38089.298</f>
        <v>38089.298000000003</v>
      </c>
      <c r="E637" s="16">
        <f>0+68394.186</f>
        <v>68394.186000000002</v>
      </c>
      <c r="F637" s="16"/>
      <c r="G637" s="16"/>
      <c r="H637" s="16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</row>
    <row r="638" spans="1:20" ht="65.099999999999994" customHeight="1" x14ac:dyDescent="0.2">
      <c r="A638" s="71"/>
      <c r="B638" s="19" t="s">
        <v>402</v>
      </c>
      <c r="C638" s="15">
        <f t="shared" si="272"/>
        <v>300000</v>
      </c>
      <c r="D638" s="32">
        <f>0+107012.79-17012.79+17012.79</f>
        <v>107012.79000000001</v>
      </c>
      <c r="E638" s="16">
        <f>0+192987.21</f>
        <v>192987.21</v>
      </c>
      <c r="F638" s="16"/>
      <c r="G638" s="16"/>
      <c r="H638" s="16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</row>
    <row r="639" spans="1:20" ht="12.75" customHeight="1" x14ac:dyDescent="0.2">
      <c r="A639" s="69" t="s">
        <v>582</v>
      </c>
      <c r="B639" s="84" t="s">
        <v>68</v>
      </c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6"/>
    </row>
    <row r="640" spans="1:20" ht="12.75" customHeight="1" x14ac:dyDescent="0.2">
      <c r="A640" s="70"/>
      <c r="B640" s="80" t="s">
        <v>219</v>
      </c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</row>
    <row r="641" spans="1:20" ht="50.1" customHeight="1" x14ac:dyDescent="0.2">
      <c r="A641" s="70"/>
      <c r="B641" s="84" t="s">
        <v>619</v>
      </c>
      <c r="C641" s="85"/>
      <c r="D641" s="85"/>
      <c r="E641" s="85"/>
      <c r="F641" s="85"/>
      <c r="G641" s="85"/>
      <c r="H641" s="86"/>
      <c r="I641" s="66" t="s">
        <v>443</v>
      </c>
      <c r="J641" s="66" t="s">
        <v>22</v>
      </c>
      <c r="K641" s="66" t="s">
        <v>620</v>
      </c>
      <c r="L641" s="66" t="s">
        <v>621</v>
      </c>
      <c r="M641" s="66" t="s">
        <v>68</v>
      </c>
      <c r="N641" s="66" t="s">
        <v>68</v>
      </c>
      <c r="O641" s="66" t="s">
        <v>78</v>
      </c>
      <c r="P641" s="66" t="s">
        <v>622</v>
      </c>
      <c r="Q641" s="66" t="s">
        <v>79</v>
      </c>
      <c r="R641" s="66" t="s">
        <v>8</v>
      </c>
      <c r="S641" s="66" t="s">
        <v>76</v>
      </c>
      <c r="T641" s="66" t="s">
        <v>623</v>
      </c>
    </row>
    <row r="642" spans="1:20" ht="12.75" customHeight="1" x14ac:dyDescent="0.2">
      <c r="A642" s="70"/>
      <c r="B642" s="19" t="s">
        <v>5</v>
      </c>
      <c r="C642" s="15">
        <f>SUM(D642:H642)</f>
        <v>6338.6910500000004</v>
      </c>
      <c r="D642" s="15">
        <f t="shared" ref="D642:H642" si="273">SUM(D643:D646)</f>
        <v>6338.6910500000004</v>
      </c>
      <c r="E642" s="15">
        <f t="shared" si="273"/>
        <v>0</v>
      </c>
      <c r="F642" s="15">
        <f t="shared" si="273"/>
        <v>0</v>
      </c>
      <c r="G642" s="15">
        <f t="shared" si="273"/>
        <v>0</v>
      </c>
      <c r="H642" s="15">
        <f t="shared" si="273"/>
        <v>0</v>
      </c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</row>
    <row r="643" spans="1:20" ht="12.75" customHeight="1" x14ac:dyDescent="0.2">
      <c r="A643" s="70"/>
      <c r="B643" s="19" t="s">
        <v>0</v>
      </c>
      <c r="C643" s="15">
        <f t="shared" ref="C643:C646" si="274">SUM(D643:H643)</f>
        <v>0</v>
      </c>
      <c r="D643" s="16"/>
      <c r="E643" s="16"/>
      <c r="F643" s="16"/>
      <c r="G643" s="16"/>
      <c r="H643" s="16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</row>
    <row r="644" spans="1:20" ht="12.75" customHeight="1" x14ac:dyDescent="0.2">
      <c r="A644" s="70"/>
      <c r="B644" s="19" t="s">
        <v>1</v>
      </c>
      <c r="C644" s="15">
        <f t="shared" si="274"/>
        <v>6338.6910500000004</v>
      </c>
      <c r="D644" s="16">
        <f>0+6338.69105</f>
        <v>6338.6910500000004</v>
      </c>
      <c r="E644" s="16">
        <v>0</v>
      </c>
      <c r="F644" s="16">
        <v>0</v>
      </c>
      <c r="G644" s="16">
        <v>0</v>
      </c>
      <c r="H644" s="16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</row>
    <row r="645" spans="1:20" ht="12.75" customHeight="1" x14ac:dyDescent="0.2">
      <c r="A645" s="70"/>
      <c r="B645" s="19" t="s">
        <v>2</v>
      </c>
      <c r="C645" s="15">
        <f t="shared" si="274"/>
        <v>0</v>
      </c>
      <c r="D645" s="16">
        <v>0</v>
      </c>
      <c r="E645" s="16">
        <v>0</v>
      </c>
      <c r="F645" s="16">
        <v>0</v>
      </c>
      <c r="G645" s="16">
        <v>0</v>
      </c>
      <c r="H645" s="16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</row>
    <row r="646" spans="1:20" ht="12.75" customHeight="1" x14ac:dyDescent="0.2">
      <c r="A646" s="71"/>
      <c r="B646" s="19" t="s">
        <v>3</v>
      </c>
      <c r="C646" s="15">
        <f t="shared" si="274"/>
        <v>0</v>
      </c>
      <c r="D646" s="16"/>
      <c r="E646" s="16"/>
      <c r="F646" s="16"/>
      <c r="G646" s="16"/>
      <c r="H646" s="16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</row>
    <row r="647" spans="1:20" ht="12.75" customHeight="1" x14ac:dyDescent="0.2">
      <c r="A647" s="69" t="s">
        <v>618</v>
      </c>
      <c r="B647" s="144" t="s">
        <v>68</v>
      </c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45"/>
    </row>
    <row r="648" spans="1:20" ht="12.75" customHeight="1" x14ac:dyDescent="0.2">
      <c r="A648" s="70"/>
      <c r="B648" s="80" t="s">
        <v>219</v>
      </c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</row>
    <row r="649" spans="1:20" ht="50.1" customHeight="1" x14ac:dyDescent="0.2">
      <c r="A649" s="70"/>
      <c r="B649" s="84" t="s">
        <v>627</v>
      </c>
      <c r="C649" s="85"/>
      <c r="D649" s="85"/>
      <c r="E649" s="85"/>
      <c r="F649" s="85"/>
      <c r="G649" s="85"/>
      <c r="H649" s="86"/>
      <c r="I649" s="66" t="s">
        <v>22</v>
      </c>
      <c r="J649" s="66"/>
      <c r="K649" s="66" t="s">
        <v>625</v>
      </c>
      <c r="L649" s="66" t="s">
        <v>628</v>
      </c>
      <c r="M649" s="66" t="s">
        <v>410</v>
      </c>
      <c r="N649" s="66" t="s">
        <v>69</v>
      </c>
      <c r="O649" s="66" t="s">
        <v>69</v>
      </c>
      <c r="P649" s="66">
        <v>93718.464200000002</v>
      </c>
      <c r="Q649" s="66" t="s">
        <v>70</v>
      </c>
      <c r="R649" s="66" t="s">
        <v>69</v>
      </c>
      <c r="S649" s="66" t="s">
        <v>80</v>
      </c>
      <c r="T649" s="106" t="s">
        <v>629</v>
      </c>
    </row>
    <row r="650" spans="1:20" ht="12.75" customHeight="1" x14ac:dyDescent="0.2">
      <c r="A650" s="70"/>
      <c r="B650" s="19" t="s">
        <v>5</v>
      </c>
      <c r="C650" s="15">
        <f>SUM(D650:H650)</f>
        <v>24048.102129999999</v>
      </c>
      <c r="D650" s="16">
        <f>SUM(D651:D654)</f>
        <v>24048.102129999999</v>
      </c>
      <c r="E650" s="16">
        <f t="shared" ref="E650:H650" si="275">SUM(E651:E654)</f>
        <v>0</v>
      </c>
      <c r="F650" s="16">
        <f t="shared" si="275"/>
        <v>0</v>
      </c>
      <c r="G650" s="16">
        <f t="shared" si="275"/>
        <v>0</v>
      </c>
      <c r="H650" s="16">
        <f t="shared" si="275"/>
        <v>0</v>
      </c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107"/>
    </row>
    <row r="651" spans="1:20" ht="12.75" customHeight="1" x14ac:dyDescent="0.2">
      <c r="A651" s="70"/>
      <c r="B651" s="19" t="s">
        <v>0</v>
      </c>
      <c r="C651" s="15">
        <f t="shared" ref="C651:C654" si="276">SUM(D651:H651)</f>
        <v>0</v>
      </c>
      <c r="D651" s="16"/>
      <c r="E651" s="16"/>
      <c r="F651" s="16"/>
      <c r="G651" s="16"/>
      <c r="H651" s="16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107"/>
    </row>
    <row r="652" spans="1:20" ht="12.75" customHeight="1" x14ac:dyDescent="0.2">
      <c r="A652" s="70"/>
      <c r="B652" s="19" t="s">
        <v>1</v>
      </c>
      <c r="C652" s="15">
        <f t="shared" si="276"/>
        <v>23567.140090000001</v>
      </c>
      <c r="D652" s="16">
        <f>0+23567.14009</f>
        <v>23567.140090000001</v>
      </c>
      <c r="E652" s="16"/>
      <c r="F652" s="16"/>
      <c r="G652" s="16"/>
      <c r="H652" s="16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107"/>
    </row>
    <row r="653" spans="1:20" ht="12.75" customHeight="1" x14ac:dyDescent="0.2">
      <c r="A653" s="70"/>
      <c r="B653" s="19" t="s">
        <v>2</v>
      </c>
      <c r="C653" s="15">
        <f t="shared" si="276"/>
        <v>480.96204</v>
      </c>
      <c r="D653" s="16">
        <f>0+480.96204</f>
        <v>480.96204</v>
      </c>
      <c r="E653" s="16"/>
      <c r="F653" s="16"/>
      <c r="G653" s="16"/>
      <c r="H653" s="16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107"/>
    </row>
    <row r="654" spans="1:20" ht="12.75" customHeight="1" x14ac:dyDescent="0.2">
      <c r="A654" s="71"/>
      <c r="B654" s="19" t="s">
        <v>3</v>
      </c>
      <c r="C654" s="15">
        <f t="shared" si="276"/>
        <v>0</v>
      </c>
      <c r="D654" s="16"/>
      <c r="E654" s="16"/>
      <c r="F654" s="16"/>
      <c r="G654" s="16"/>
      <c r="H654" s="16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108"/>
    </row>
    <row r="655" spans="1:20" ht="12.75" customHeight="1" x14ac:dyDescent="0.2">
      <c r="A655" s="88" t="s">
        <v>120</v>
      </c>
      <c r="B655" s="79" t="s">
        <v>180</v>
      </c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</row>
    <row r="656" spans="1:20" x14ac:dyDescent="0.2">
      <c r="A656" s="89"/>
      <c r="B656" s="22" t="s">
        <v>5</v>
      </c>
      <c r="C656" s="13">
        <f>SUM(D656:H656)</f>
        <v>14991936.963392727</v>
      </c>
      <c r="D656" s="13">
        <f t="shared" ref="D656" si="277">SUM(D657:D660)</f>
        <v>2089485.3363927274</v>
      </c>
      <c r="E656" s="13">
        <f t="shared" ref="E656:F656" si="278">SUM(E657:E660)</f>
        <v>2843557.6740000001</v>
      </c>
      <c r="F656" s="13">
        <f t="shared" si="278"/>
        <v>0</v>
      </c>
      <c r="G656" s="13">
        <f t="shared" ref="G656:H656" si="279">SUM(G657:G660)</f>
        <v>4778873.7539999997</v>
      </c>
      <c r="H656" s="13">
        <f t="shared" si="279"/>
        <v>5280020.199</v>
      </c>
      <c r="I656" s="91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3"/>
    </row>
    <row r="657" spans="1:20" ht="12.75" customHeight="1" x14ac:dyDescent="0.2">
      <c r="A657" s="89"/>
      <c r="B657" s="22" t="s">
        <v>0</v>
      </c>
      <c r="C657" s="13">
        <f t="shared" ref="C657:C660" si="280">SUM(D657:H657)</f>
        <v>10191165.989</v>
      </c>
      <c r="D657" s="13">
        <f>D665+D673+D681+D697+D705+D713+D753+D761+D769+D777+D793+D801+D809+D817+D825+D833+D689+D721+D729+D737+D745+D785+D841+D849+D857+D865+D873+D881+D889+D897+D905+D913</f>
        <v>1411165.9890000001</v>
      </c>
      <c r="E657" s="13">
        <f t="shared" ref="E657:H657" si="281">E665+E673+E681+E697+E705+E713+E753+E761+E769+E777+E793+E801+E809+E817+E825+E833+E689+E721+E729+E737+E745+E785+E841+E849+E857+E865+E873+E881+E889+E897+E905+E913</f>
        <v>2700000</v>
      </c>
      <c r="F657" s="13">
        <f t="shared" si="281"/>
        <v>0</v>
      </c>
      <c r="G657" s="13">
        <f t="shared" si="281"/>
        <v>3040000</v>
      </c>
      <c r="H657" s="13">
        <f t="shared" si="281"/>
        <v>3040000</v>
      </c>
      <c r="I657" s="94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6"/>
    </row>
    <row r="658" spans="1:20" ht="12.75" customHeight="1" x14ac:dyDescent="0.2">
      <c r="A658" s="89"/>
      <c r="B658" s="22" t="s">
        <v>1</v>
      </c>
      <c r="C658" s="13">
        <f t="shared" si="280"/>
        <v>4783114.2057799995</v>
      </c>
      <c r="D658" s="13">
        <f t="shared" ref="D658:H660" si="282">D666+D674+D682+D698+D706+D714+D754+D762+D770+D778+D794+D802+D810+D818+D826+D834+D690+D722+D730+D738+D746+D786+D842+D850+D858+D866+D874+D882+D890+D898+D906+D914</f>
        <v>662239.77878000005</v>
      </c>
      <c r="E658" s="13">
        <f t="shared" si="282"/>
        <v>141980.47399999999</v>
      </c>
      <c r="F658" s="13">
        <f t="shared" si="282"/>
        <v>0</v>
      </c>
      <c r="G658" s="13">
        <f t="shared" si="282"/>
        <v>1738873.754</v>
      </c>
      <c r="H658" s="13">
        <f t="shared" si="282"/>
        <v>2240020.199</v>
      </c>
      <c r="I658" s="94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6"/>
    </row>
    <row r="659" spans="1:20" ht="12.75" customHeight="1" x14ac:dyDescent="0.2">
      <c r="A659" s="89"/>
      <c r="B659" s="22" t="s">
        <v>2</v>
      </c>
      <c r="C659" s="13">
        <f t="shared" si="280"/>
        <v>17656.768612727272</v>
      </c>
      <c r="D659" s="13">
        <f t="shared" si="282"/>
        <v>16079.568612727273</v>
      </c>
      <c r="E659" s="13">
        <f t="shared" si="282"/>
        <v>1577.2</v>
      </c>
      <c r="F659" s="13">
        <f t="shared" si="282"/>
        <v>0</v>
      </c>
      <c r="G659" s="13">
        <f t="shared" si="282"/>
        <v>0</v>
      </c>
      <c r="H659" s="13">
        <f t="shared" si="282"/>
        <v>0</v>
      </c>
      <c r="I659" s="94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6"/>
    </row>
    <row r="660" spans="1:20" ht="12.75" customHeight="1" x14ac:dyDescent="0.2">
      <c r="A660" s="90"/>
      <c r="B660" s="22" t="s">
        <v>3</v>
      </c>
      <c r="C660" s="13">
        <f t="shared" si="280"/>
        <v>0</v>
      </c>
      <c r="D660" s="13">
        <f t="shared" si="282"/>
        <v>0</v>
      </c>
      <c r="E660" s="13">
        <f t="shared" si="282"/>
        <v>0</v>
      </c>
      <c r="F660" s="13">
        <f t="shared" si="282"/>
        <v>0</v>
      </c>
      <c r="G660" s="13">
        <f t="shared" si="282"/>
        <v>0</v>
      </c>
      <c r="H660" s="13">
        <f t="shared" si="282"/>
        <v>0</v>
      </c>
      <c r="I660" s="97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9"/>
    </row>
    <row r="661" spans="1:20" ht="12.75" customHeight="1" x14ac:dyDescent="0.2">
      <c r="A661" s="69" t="s">
        <v>316</v>
      </c>
      <c r="B661" s="84" t="s">
        <v>125</v>
      </c>
      <c r="C661" s="85" t="s">
        <v>125</v>
      </c>
      <c r="D661" s="85"/>
      <c r="E661" s="85"/>
      <c r="F661" s="85"/>
      <c r="G661" s="85" t="s">
        <v>125</v>
      </c>
      <c r="H661" s="85"/>
      <c r="I661" s="85" t="s">
        <v>125</v>
      </c>
      <c r="J661" s="85" t="s">
        <v>125</v>
      </c>
      <c r="K661" s="85" t="s">
        <v>125</v>
      </c>
      <c r="L661" s="85" t="s">
        <v>125</v>
      </c>
      <c r="M661" s="85" t="s">
        <v>125</v>
      </c>
      <c r="N661" s="85" t="s">
        <v>125</v>
      </c>
      <c r="O661" s="85" t="s">
        <v>125</v>
      </c>
      <c r="P661" s="85" t="s">
        <v>125</v>
      </c>
      <c r="Q661" s="85" t="s">
        <v>125</v>
      </c>
      <c r="R661" s="85" t="s">
        <v>125</v>
      </c>
      <c r="S661" s="85" t="s">
        <v>125</v>
      </c>
      <c r="T661" s="86" t="s">
        <v>125</v>
      </c>
    </row>
    <row r="662" spans="1:20" x14ac:dyDescent="0.2">
      <c r="A662" s="70" t="s">
        <v>102</v>
      </c>
      <c r="B662" s="79" t="s">
        <v>181</v>
      </c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</row>
    <row r="663" spans="1:20" ht="50.1" customHeight="1" x14ac:dyDescent="0.2">
      <c r="A663" s="70"/>
      <c r="B663" s="100" t="s">
        <v>127</v>
      </c>
      <c r="C663" s="101"/>
      <c r="D663" s="101"/>
      <c r="E663" s="101"/>
      <c r="F663" s="101"/>
      <c r="G663" s="101"/>
      <c r="H663" s="102"/>
      <c r="I663" s="66" t="s">
        <v>242</v>
      </c>
      <c r="J663" s="66"/>
      <c r="K663" s="66" t="s">
        <v>40</v>
      </c>
      <c r="L663" s="66" t="s">
        <v>220</v>
      </c>
      <c r="M663" s="66" t="s">
        <v>126</v>
      </c>
      <c r="N663" s="66" t="s">
        <v>221</v>
      </c>
      <c r="O663" s="66" t="s">
        <v>126</v>
      </c>
      <c r="P663" s="103" t="s">
        <v>243</v>
      </c>
      <c r="Q663" s="66" t="s">
        <v>30</v>
      </c>
      <c r="R663" s="66" t="s">
        <v>35</v>
      </c>
      <c r="S663" s="66" t="s">
        <v>31</v>
      </c>
      <c r="T663" s="78"/>
    </row>
    <row r="664" spans="1:20" ht="12.75" customHeight="1" x14ac:dyDescent="0.2">
      <c r="A664" s="70"/>
      <c r="B664" s="14" t="s">
        <v>5</v>
      </c>
      <c r="C664" s="15">
        <f>SUM(D664:H664)</f>
        <v>4000000</v>
      </c>
      <c r="D664" s="16">
        <f t="shared" ref="D664:F664" si="283">SUM(D665:D668)</f>
        <v>0</v>
      </c>
      <c r="E664" s="16">
        <f t="shared" si="283"/>
        <v>0</v>
      </c>
      <c r="F664" s="16">
        <f t="shared" si="283"/>
        <v>0</v>
      </c>
      <c r="G664" s="16">
        <f t="shared" ref="G664" si="284">SUM(G665:G668)</f>
        <v>2000000</v>
      </c>
      <c r="H664" s="16">
        <f t="shared" ref="H664" si="285">SUM(H665:H668)</f>
        <v>2000000</v>
      </c>
      <c r="I664" s="67"/>
      <c r="J664" s="67"/>
      <c r="K664" s="67"/>
      <c r="L664" s="67"/>
      <c r="M664" s="67"/>
      <c r="N664" s="67"/>
      <c r="O664" s="67"/>
      <c r="P664" s="104"/>
      <c r="Q664" s="67"/>
      <c r="R664" s="67"/>
      <c r="S664" s="67"/>
      <c r="T664" s="78"/>
    </row>
    <row r="665" spans="1:20" ht="12.75" customHeight="1" x14ac:dyDescent="0.2">
      <c r="A665" s="70"/>
      <c r="B665" s="14" t="s">
        <v>0</v>
      </c>
      <c r="C665" s="15">
        <f t="shared" ref="C665:C668" si="286">SUM(D665:H665)</f>
        <v>3800000</v>
      </c>
      <c r="D665" s="16">
        <v>0</v>
      </c>
      <c r="E665" s="16">
        <v>0</v>
      </c>
      <c r="F665" s="16">
        <v>0</v>
      </c>
      <c r="G665" s="16">
        <v>1900000</v>
      </c>
      <c r="H665" s="16">
        <v>1900000</v>
      </c>
      <c r="I665" s="67"/>
      <c r="J665" s="67"/>
      <c r="K665" s="67"/>
      <c r="L665" s="67"/>
      <c r="M665" s="67"/>
      <c r="N665" s="67"/>
      <c r="O665" s="67"/>
      <c r="P665" s="104"/>
      <c r="Q665" s="67"/>
      <c r="R665" s="67"/>
      <c r="S665" s="67"/>
      <c r="T665" s="78"/>
    </row>
    <row r="666" spans="1:20" ht="12.75" customHeight="1" x14ac:dyDescent="0.2">
      <c r="A666" s="70"/>
      <c r="B666" s="14" t="s">
        <v>1</v>
      </c>
      <c r="C666" s="15">
        <f t="shared" si="286"/>
        <v>200000</v>
      </c>
      <c r="D666" s="16">
        <v>0</v>
      </c>
      <c r="E666" s="16">
        <v>0</v>
      </c>
      <c r="F666" s="16">
        <v>0</v>
      </c>
      <c r="G666" s="16">
        <v>100000</v>
      </c>
      <c r="H666" s="16">
        <v>100000</v>
      </c>
      <c r="I666" s="67"/>
      <c r="J666" s="67"/>
      <c r="K666" s="67"/>
      <c r="L666" s="67"/>
      <c r="M666" s="67"/>
      <c r="N666" s="67"/>
      <c r="O666" s="67"/>
      <c r="P666" s="104"/>
      <c r="Q666" s="67"/>
      <c r="R666" s="67"/>
      <c r="S666" s="67"/>
      <c r="T666" s="78"/>
    </row>
    <row r="667" spans="1:20" ht="12.75" customHeight="1" x14ac:dyDescent="0.2">
      <c r="A667" s="70"/>
      <c r="B667" s="14" t="s">
        <v>2</v>
      </c>
      <c r="C667" s="15">
        <f t="shared" si="286"/>
        <v>0</v>
      </c>
      <c r="D667" s="16"/>
      <c r="E667" s="16"/>
      <c r="F667" s="16"/>
      <c r="G667" s="16"/>
      <c r="H667" s="16"/>
      <c r="I667" s="67"/>
      <c r="J667" s="67"/>
      <c r="K667" s="67"/>
      <c r="L667" s="67"/>
      <c r="M667" s="67"/>
      <c r="N667" s="67"/>
      <c r="O667" s="67"/>
      <c r="P667" s="104"/>
      <c r="Q667" s="67"/>
      <c r="R667" s="67"/>
      <c r="S667" s="67"/>
      <c r="T667" s="78"/>
    </row>
    <row r="668" spans="1:20" ht="12.75" customHeight="1" x14ac:dyDescent="0.2">
      <c r="A668" s="71"/>
      <c r="B668" s="14" t="s">
        <v>3</v>
      </c>
      <c r="C668" s="15">
        <f t="shared" si="286"/>
        <v>0</v>
      </c>
      <c r="D668" s="16"/>
      <c r="E668" s="16"/>
      <c r="F668" s="16"/>
      <c r="G668" s="16"/>
      <c r="H668" s="16"/>
      <c r="I668" s="68"/>
      <c r="J668" s="68"/>
      <c r="K668" s="68"/>
      <c r="L668" s="68"/>
      <c r="M668" s="68"/>
      <c r="N668" s="68"/>
      <c r="O668" s="68"/>
      <c r="P668" s="105"/>
      <c r="Q668" s="68"/>
      <c r="R668" s="68"/>
      <c r="S668" s="68"/>
      <c r="T668" s="78"/>
    </row>
    <row r="669" spans="1:20" x14ac:dyDescent="0.2">
      <c r="A669" s="69" t="s">
        <v>317</v>
      </c>
      <c r="B669" s="85" t="s">
        <v>125</v>
      </c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6"/>
    </row>
    <row r="670" spans="1:20" x14ac:dyDescent="0.2">
      <c r="A670" s="70" t="s">
        <v>102</v>
      </c>
      <c r="B670" s="79" t="s">
        <v>181</v>
      </c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</row>
    <row r="671" spans="1:20" ht="50.1" customHeight="1" x14ac:dyDescent="0.2">
      <c r="A671" s="70"/>
      <c r="B671" s="100" t="s">
        <v>269</v>
      </c>
      <c r="C671" s="101"/>
      <c r="D671" s="101"/>
      <c r="E671" s="101"/>
      <c r="F671" s="101"/>
      <c r="G671" s="101"/>
      <c r="H671" s="102"/>
      <c r="I671" s="66" t="s">
        <v>22</v>
      </c>
      <c r="J671" s="66"/>
      <c r="K671" s="66" t="s">
        <v>11</v>
      </c>
      <c r="L671" s="66" t="s">
        <v>182</v>
      </c>
      <c r="M671" s="66" t="s">
        <v>23</v>
      </c>
      <c r="N671" s="66" t="s">
        <v>23</v>
      </c>
      <c r="O671" s="66" t="s">
        <v>23</v>
      </c>
      <c r="P671" s="103">
        <v>881281.65193000005</v>
      </c>
      <c r="Q671" s="66" t="s">
        <v>7</v>
      </c>
      <c r="R671" s="66" t="s">
        <v>8</v>
      </c>
      <c r="S671" s="66" t="s">
        <v>270</v>
      </c>
      <c r="T671" s="78" t="s">
        <v>436</v>
      </c>
    </row>
    <row r="672" spans="1:20" ht="12.75" customHeight="1" x14ac:dyDescent="0.2">
      <c r="A672" s="70"/>
      <c r="B672" s="14" t="s">
        <v>5</v>
      </c>
      <c r="C672" s="15">
        <f>SUM(D672:H672)</f>
        <v>138962.79096272727</v>
      </c>
      <c r="D672" s="16">
        <f t="shared" ref="D672" si="287">SUM(D673:D676)</f>
        <v>138962.79096272727</v>
      </c>
      <c r="E672" s="16">
        <f t="shared" ref="E672:G672" si="288">SUM(E673:E676)</f>
        <v>0</v>
      </c>
      <c r="F672" s="16">
        <f t="shared" si="288"/>
        <v>0</v>
      </c>
      <c r="G672" s="16">
        <f t="shared" si="288"/>
        <v>0</v>
      </c>
      <c r="H672" s="16">
        <f t="shared" ref="H672" si="289">SUM(H673:H676)</f>
        <v>0</v>
      </c>
      <c r="I672" s="67"/>
      <c r="J672" s="67"/>
      <c r="K672" s="67"/>
      <c r="L672" s="67"/>
      <c r="M672" s="67"/>
      <c r="N672" s="67"/>
      <c r="O672" s="67"/>
      <c r="P672" s="104"/>
      <c r="Q672" s="67"/>
      <c r="R672" s="67"/>
      <c r="S672" s="67"/>
      <c r="T672" s="78"/>
    </row>
    <row r="673" spans="1:20" ht="12.75" customHeight="1" x14ac:dyDescent="0.2">
      <c r="A673" s="70"/>
      <c r="B673" s="14" t="s">
        <v>0</v>
      </c>
      <c r="C673" s="15">
        <f t="shared" ref="C673:C676" si="290">SUM(D673:H673)</f>
        <v>0</v>
      </c>
      <c r="D673" s="16"/>
      <c r="E673" s="16"/>
      <c r="F673" s="16"/>
      <c r="G673" s="16"/>
      <c r="H673" s="16"/>
      <c r="I673" s="67"/>
      <c r="J673" s="67"/>
      <c r="K673" s="67"/>
      <c r="L673" s="67"/>
      <c r="M673" s="67"/>
      <c r="N673" s="67"/>
      <c r="O673" s="67"/>
      <c r="P673" s="104"/>
      <c r="Q673" s="67"/>
      <c r="R673" s="67"/>
      <c r="S673" s="67"/>
      <c r="T673" s="78"/>
    </row>
    <row r="674" spans="1:20" ht="12.75" customHeight="1" x14ac:dyDescent="0.2">
      <c r="A674" s="70"/>
      <c r="B674" s="14" t="s">
        <v>1</v>
      </c>
      <c r="C674" s="15">
        <f t="shared" si="290"/>
        <v>123483.22235</v>
      </c>
      <c r="D674" s="32">
        <f>154795.68613-23523.35027-7789.11351</f>
        <v>123483.22235</v>
      </c>
      <c r="E674" s="16"/>
      <c r="F674" s="16"/>
      <c r="G674" s="16"/>
      <c r="H674" s="16"/>
      <c r="I674" s="67"/>
      <c r="J674" s="67"/>
      <c r="K674" s="67"/>
      <c r="L674" s="67"/>
      <c r="M674" s="67"/>
      <c r="N674" s="67"/>
      <c r="O674" s="67"/>
      <c r="P674" s="104"/>
      <c r="Q674" s="67"/>
      <c r="R674" s="67"/>
      <c r="S674" s="67"/>
      <c r="T674" s="78"/>
    </row>
    <row r="675" spans="1:20" ht="12.75" customHeight="1" x14ac:dyDescent="0.2">
      <c r="A675" s="70"/>
      <c r="B675" s="14" t="s">
        <v>2</v>
      </c>
      <c r="C675" s="15">
        <f t="shared" si="290"/>
        <v>15479.568612727273</v>
      </c>
      <c r="D675" s="16">
        <v>15479.568612727273</v>
      </c>
      <c r="E675" s="16"/>
      <c r="F675" s="16"/>
      <c r="G675" s="16"/>
      <c r="H675" s="16"/>
      <c r="I675" s="67"/>
      <c r="J675" s="67"/>
      <c r="K675" s="67"/>
      <c r="L675" s="67"/>
      <c r="M675" s="67"/>
      <c r="N675" s="67"/>
      <c r="O675" s="67"/>
      <c r="P675" s="104"/>
      <c r="Q675" s="67"/>
      <c r="R675" s="67"/>
      <c r="S675" s="67"/>
      <c r="T675" s="78"/>
    </row>
    <row r="676" spans="1:20" ht="12.75" customHeight="1" x14ac:dyDescent="0.2">
      <c r="A676" s="71"/>
      <c r="B676" s="14" t="s">
        <v>3</v>
      </c>
      <c r="C676" s="15">
        <f t="shared" si="290"/>
        <v>0</v>
      </c>
      <c r="D676" s="16"/>
      <c r="E676" s="16"/>
      <c r="F676" s="16"/>
      <c r="G676" s="16"/>
      <c r="H676" s="16"/>
      <c r="I676" s="68"/>
      <c r="J676" s="68"/>
      <c r="K676" s="68"/>
      <c r="L676" s="68"/>
      <c r="M676" s="68"/>
      <c r="N676" s="68"/>
      <c r="O676" s="68"/>
      <c r="P676" s="105"/>
      <c r="Q676" s="68"/>
      <c r="R676" s="68"/>
      <c r="S676" s="68"/>
      <c r="T676" s="78"/>
    </row>
    <row r="677" spans="1:20" x14ac:dyDescent="0.2">
      <c r="A677" s="69" t="s">
        <v>318</v>
      </c>
      <c r="B677" s="85" t="s">
        <v>125</v>
      </c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6"/>
    </row>
    <row r="678" spans="1:20" x14ac:dyDescent="0.2">
      <c r="A678" s="70" t="s">
        <v>102</v>
      </c>
      <c r="B678" s="79" t="s">
        <v>181</v>
      </c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</row>
    <row r="679" spans="1:20" ht="50.1" customHeight="1" x14ac:dyDescent="0.2">
      <c r="A679" s="70"/>
      <c r="B679" s="100" t="s">
        <v>655</v>
      </c>
      <c r="C679" s="101"/>
      <c r="D679" s="101"/>
      <c r="E679" s="101"/>
      <c r="F679" s="101"/>
      <c r="G679" s="101"/>
      <c r="H679" s="102"/>
      <c r="I679" s="66" t="s">
        <v>369</v>
      </c>
      <c r="J679" s="66"/>
      <c r="K679" s="66" t="s">
        <v>40</v>
      </c>
      <c r="L679" s="66" t="s">
        <v>222</v>
      </c>
      <c r="M679" s="66" t="s">
        <v>126</v>
      </c>
      <c r="N679" s="66" t="s">
        <v>221</v>
      </c>
      <c r="O679" s="66" t="s">
        <v>126</v>
      </c>
      <c r="P679" s="103">
        <v>869769.848</v>
      </c>
      <c r="Q679" s="66" t="s">
        <v>30</v>
      </c>
      <c r="R679" s="66" t="s">
        <v>38</v>
      </c>
      <c r="S679" s="66" t="s">
        <v>32</v>
      </c>
      <c r="T679" s="78" t="s">
        <v>223</v>
      </c>
    </row>
    <row r="680" spans="1:20" ht="12.75" customHeight="1" x14ac:dyDescent="0.2">
      <c r="A680" s="70"/>
      <c r="B680" s="14" t="s">
        <v>5</v>
      </c>
      <c r="C680" s="15">
        <f>SUM(D680:H680)</f>
        <v>212981.32866999999</v>
      </c>
      <c r="D680" s="16">
        <f t="shared" ref="D680" si="291">SUM(D681:D684)</f>
        <v>212981.32866999999</v>
      </c>
      <c r="E680" s="16">
        <f t="shared" ref="E680:G680" si="292">SUM(E681:E684)</f>
        <v>0</v>
      </c>
      <c r="F680" s="16">
        <f t="shared" si="292"/>
        <v>0</v>
      </c>
      <c r="G680" s="16">
        <f t="shared" si="292"/>
        <v>0</v>
      </c>
      <c r="H680" s="16">
        <f t="shared" ref="H680" si="293">SUM(H681:H684)</f>
        <v>0</v>
      </c>
      <c r="I680" s="67"/>
      <c r="J680" s="67"/>
      <c r="K680" s="67"/>
      <c r="L680" s="67"/>
      <c r="M680" s="67"/>
      <c r="N680" s="67"/>
      <c r="O680" s="67"/>
      <c r="P680" s="104"/>
      <c r="Q680" s="67"/>
      <c r="R680" s="67"/>
      <c r="S680" s="67"/>
      <c r="T680" s="78"/>
    </row>
    <row r="681" spans="1:20" ht="12.75" customHeight="1" x14ac:dyDescent="0.2">
      <c r="A681" s="70"/>
      <c r="B681" s="14" t="s">
        <v>0</v>
      </c>
      <c r="C681" s="15">
        <f t="shared" ref="C681:C684" si="294">SUM(D681:H681)</f>
        <v>0</v>
      </c>
      <c r="D681" s="16"/>
      <c r="E681" s="16"/>
      <c r="F681" s="16"/>
      <c r="G681" s="16"/>
      <c r="H681" s="16"/>
      <c r="I681" s="67"/>
      <c r="J681" s="67"/>
      <c r="K681" s="67"/>
      <c r="L681" s="67"/>
      <c r="M681" s="67"/>
      <c r="N681" s="67"/>
      <c r="O681" s="67"/>
      <c r="P681" s="104"/>
      <c r="Q681" s="67"/>
      <c r="R681" s="67"/>
      <c r="S681" s="67"/>
      <c r="T681" s="78"/>
    </row>
    <row r="682" spans="1:20" ht="12.75" customHeight="1" x14ac:dyDescent="0.2">
      <c r="A682" s="70"/>
      <c r="B682" s="14" t="s">
        <v>1</v>
      </c>
      <c r="C682" s="15">
        <f t="shared" si="294"/>
        <v>212981.32866999999</v>
      </c>
      <c r="D682" s="16">
        <f>112692.6598+100000+288.66915-0.00028</f>
        <v>212981.32866999999</v>
      </c>
      <c r="E682" s="16"/>
      <c r="F682" s="16"/>
      <c r="G682" s="16"/>
      <c r="H682" s="16"/>
      <c r="I682" s="67"/>
      <c r="J682" s="67"/>
      <c r="K682" s="67"/>
      <c r="L682" s="67"/>
      <c r="M682" s="67"/>
      <c r="N682" s="67"/>
      <c r="O682" s="67"/>
      <c r="P682" s="104"/>
      <c r="Q682" s="67"/>
      <c r="R682" s="67"/>
      <c r="S682" s="67"/>
      <c r="T682" s="78"/>
    </row>
    <row r="683" spans="1:20" ht="12.75" customHeight="1" x14ac:dyDescent="0.2">
      <c r="A683" s="70"/>
      <c r="B683" s="14" t="s">
        <v>2</v>
      </c>
      <c r="C683" s="15">
        <f t="shared" si="294"/>
        <v>0</v>
      </c>
      <c r="D683" s="16"/>
      <c r="E683" s="16"/>
      <c r="F683" s="16"/>
      <c r="G683" s="16"/>
      <c r="H683" s="16"/>
      <c r="I683" s="67"/>
      <c r="J683" s="67"/>
      <c r="K683" s="67"/>
      <c r="L683" s="67"/>
      <c r="M683" s="67"/>
      <c r="N683" s="67"/>
      <c r="O683" s="67"/>
      <c r="P683" s="104"/>
      <c r="Q683" s="67"/>
      <c r="R683" s="67"/>
      <c r="S683" s="67"/>
      <c r="T683" s="78"/>
    </row>
    <row r="684" spans="1:20" ht="12.75" customHeight="1" x14ac:dyDescent="0.2">
      <c r="A684" s="71"/>
      <c r="B684" s="14" t="s">
        <v>3</v>
      </c>
      <c r="C684" s="15">
        <f t="shared" si="294"/>
        <v>0</v>
      </c>
      <c r="D684" s="16"/>
      <c r="E684" s="16"/>
      <c r="F684" s="16"/>
      <c r="G684" s="16"/>
      <c r="H684" s="16"/>
      <c r="I684" s="68"/>
      <c r="J684" s="68"/>
      <c r="K684" s="68"/>
      <c r="L684" s="68"/>
      <c r="M684" s="68"/>
      <c r="N684" s="68"/>
      <c r="O684" s="68"/>
      <c r="P684" s="105"/>
      <c r="Q684" s="68"/>
      <c r="R684" s="68"/>
      <c r="S684" s="68"/>
      <c r="T684" s="78"/>
    </row>
    <row r="685" spans="1:20" ht="12.75" customHeight="1" x14ac:dyDescent="0.2">
      <c r="A685" s="69" t="s">
        <v>319</v>
      </c>
      <c r="B685" s="85" t="s">
        <v>125</v>
      </c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6"/>
    </row>
    <row r="686" spans="1:20" ht="12.75" customHeight="1" x14ac:dyDescent="0.2">
      <c r="A686" s="70" t="s">
        <v>102</v>
      </c>
      <c r="B686" s="137" t="s">
        <v>181</v>
      </c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</row>
    <row r="687" spans="1:20" ht="50.1" customHeight="1" x14ac:dyDescent="0.2">
      <c r="A687" s="139"/>
      <c r="B687" s="100" t="s">
        <v>478</v>
      </c>
      <c r="C687" s="101"/>
      <c r="D687" s="101"/>
      <c r="E687" s="101"/>
      <c r="F687" s="101"/>
      <c r="G687" s="101"/>
      <c r="H687" s="102"/>
      <c r="I687" s="66" t="s">
        <v>447</v>
      </c>
      <c r="J687" s="66" t="s">
        <v>516</v>
      </c>
      <c r="K687" s="66" t="s">
        <v>40</v>
      </c>
      <c r="L687" s="66" t="s">
        <v>517</v>
      </c>
      <c r="M687" s="66" t="s">
        <v>126</v>
      </c>
      <c r="N687" s="66" t="s">
        <v>221</v>
      </c>
      <c r="O687" s="66" t="s">
        <v>126</v>
      </c>
      <c r="P687" s="103" t="s">
        <v>518</v>
      </c>
      <c r="Q687" s="66" t="s">
        <v>30</v>
      </c>
      <c r="R687" s="66" t="s">
        <v>35</v>
      </c>
      <c r="S687" s="66" t="s">
        <v>32</v>
      </c>
      <c r="T687" s="78" t="s">
        <v>519</v>
      </c>
    </row>
    <row r="688" spans="1:20" ht="12.75" customHeight="1" x14ac:dyDescent="0.2">
      <c r="A688" s="139"/>
      <c r="B688" s="14" t="s">
        <v>5</v>
      </c>
      <c r="C688" s="15">
        <f>SUM(D688:H688)</f>
        <v>299516.96337999997</v>
      </c>
      <c r="D688" s="16">
        <f t="shared" ref="D688:H688" si="295">SUM(D689:D692)</f>
        <v>299516.96337999997</v>
      </c>
      <c r="E688" s="16">
        <f t="shared" si="295"/>
        <v>0</v>
      </c>
      <c r="F688" s="16">
        <f t="shared" si="295"/>
        <v>0</v>
      </c>
      <c r="G688" s="16">
        <f t="shared" si="295"/>
        <v>0</v>
      </c>
      <c r="H688" s="16">
        <f t="shared" si="295"/>
        <v>0</v>
      </c>
      <c r="I688" s="67"/>
      <c r="J688" s="67"/>
      <c r="K688" s="67"/>
      <c r="L688" s="67"/>
      <c r="M688" s="67"/>
      <c r="N688" s="67"/>
      <c r="O688" s="67"/>
      <c r="P688" s="104"/>
      <c r="Q688" s="67"/>
      <c r="R688" s="67"/>
      <c r="S688" s="67"/>
      <c r="T688" s="78"/>
    </row>
    <row r="689" spans="1:20" ht="12.75" customHeight="1" x14ac:dyDescent="0.2">
      <c r="A689" s="139"/>
      <c r="B689" s="14" t="s">
        <v>0</v>
      </c>
      <c r="C689" s="15">
        <f t="shared" ref="C689:C692" si="296">SUM(D689:H689)</f>
        <v>211165.989</v>
      </c>
      <c r="D689" s="32">
        <f>0+100000+102100+9065.989</f>
        <v>211165.989</v>
      </c>
      <c r="E689" s="16"/>
      <c r="F689" s="16"/>
      <c r="G689" s="16"/>
      <c r="H689" s="16"/>
      <c r="I689" s="67"/>
      <c r="J689" s="67"/>
      <c r="K689" s="67"/>
      <c r="L689" s="67"/>
      <c r="M689" s="67"/>
      <c r="N689" s="67"/>
      <c r="O689" s="67"/>
      <c r="P689" s="104"/>
      <c r="Q689" s="67"/>
      <c r="R689" s="67"/>
      <c r="S689" s="67"/>
      <c r="T689" s="78"/>
    </row>
    <row r="690" spans="1:20" ht="12.75" customHeight="1" x14ac:dyDescent="0.2">
      <c r="A690" s="139"/>
      <c r="B690" s="14" t="s">
        <v>1</v>
      </c>
      <c r="C690" s="15">
        <f t="shared" si="296"/>
        <v>88350.97438</v>
      </c>
      <c r="D690" s="32">
        <f>0+95927.63797-7576.66359</f>
        <v>88350.97438</v>
      </c>
      <c r="E690" s="16"/>
      <c r="F690" s="16"/>
      <c r="G690" s="16"/>
      <c r="H690" s="16"/>
      <c r="I690" s="67"/>
      <c r="J690" s="67"/>
      <c r="K690" s="67"/>
      <c r="L690" s="67"/>
      <c r="M690" s="67"/>
      <c r="N690" s="67"/>
      <c r="O690" s="67"/>
      <c r="P690" s="104"/>
      <c r="Q690" s="67"/>
      <c r="R690" s="67"/>
      <c r="S690" s="67"/>
      <c r="T690" s="78"/>
    </row>
    <row r="691" spans="1:20" ht="12.75" customHeight="1" x14ac:dyDescent="0.2">
      <c r="A691" s="139"/>
      <c r="B691" s="14" t="s">
        <v>2</v>
      </c>
      <c r="C691" s="15">
        <f t="shared" si="296"/>
        <v>0</v>
      </c>
      <c r="D691" s="16"/>
      <c r="E691" s="16"/>
      <c r="F691" s="16"/>
      <c r="G691" s="16"/>
      <c r="H691" s="16"/>
      <c r="I691" s="67"/>
      <c r="J691" s="67"/>
      <c r="K691" s="67"/>
      <c r="L691" s="67"/>
      <c r="M691" s="67"/>
      <c r="N691" s="67"/>
      <c r="O691" s="67"/>
      <c r="P691" s="104"/>
      <c r="Q691" s="67"/>
      <c r="R691" s="67"/>
      <c r="S691" s="67"/>
      <c r="T691" s="78"/>
    </row>
    <row r="692" spans="1:20" ht="12.75" customHeight="1" x14ac:dyDescent="0.2">
      <c r="A692" s="140"/>
      <c r="B692" s="14" t="s">
        <v>3</v>
      </c>
      <c r="C692" s="15">
        <f t="shared" si="296"/>
        <v>0</v>
      </c>
      <c r="D692" s="16"/>
      <c r="E692" s="16"/>
      <c r="F692" s="16"/>
      <c r="G692" s="16"/>
      <c r="H692" s="16"/>
      <c r="I692" s="68"/>
      <c r="J692" s="68"/>
      <c r="K692" s="68"/>
      <c r="L692" s="68"/>
      <c r="M692" s="68"/>
      <c r="N692" s="68"/>
      <c r="O692" s="68"/>
      <c r="P692" s="105"/>
      <c r="Q692" s="68"/>
      <c r="R692" s="68"/>
      <c r="S692" s="68"/>
      <c r="T692" s="78"/>
    </row>
    <row r="693" spans="1:20" ht="12.75" customHeight="1" x14ac:dyDescent="0.2">
      <c r="A693" s="69" t="s">
        <v>320</v>
      </c>
      <c r="B693" s="85" t="s">
        <v>125</v>
      </c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6"/>
    </row>
    <row r="694" spans="1:20" ht="12.75" customHeight="1" x14ac:dyDescent="0.2">
      <c r="A694" s="70" t="s">
        <v>102</v>
      </c>
      <c r="B694" s="137" t="s">
        <v>181</v>
      </c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</row>
    <row r="695" spans="1:20" ht="50.1" customHeight="1" x14ac:dyDescent="0.2">
      <c r="A695" s="139"/>
      <c r="B695" s="100" t="s">
        <v>247</v>
      </c>
      <c r="C695" s="101"/>
      <c r="D695" s="101"/>
      <c r="E695" s="101"/>
      <c r="F695" s="101"/>
      <c r="G695" s="101"/>
      <c r="H695" s="102"/>
      <c r="I695" s="66" t="s">
        <v>244</v>
      </c>
      <c r="J695" s="66"/>
      <c r="K695" s="66" t="s">
        <v>40</v>
      </c>
      <c r="L695" s="66" t="s">
        <v>225</v>
      </c>
      <c r="M695" s="66" t="s">
        <v>126</v>
      </c>
      <c r="N695" s="66" t="s">
        <v>221</v>
      </c>
      <c r="O695" s="66" t="s">
        <v>126</v>
      </c>
      <c r="P695" s="103">
        <v>987971.09499999997</v>
      </c>
      <c r="Q695" s="66" t="s">
        <v>30</v>
      </c>
      <c r="R695" s="66" t="s">
        <v>35</v>
      </c>
      <c r="S695" s="66" t="s">
        <v>31</v>
      </c>
      <c r="T695" s="78" t="s">
        <v>226</v>
      </c>
    </row>
    <row r="696" spans="1:20" ht="12.75" customHeight="1" x14ac:dyDescent="0.2">
      <c r="A696" s="139"/>
      <c r="B696" s="14" t="s">
        <v>5</v>
      </c>
      <c r="C696" s="15">
        <f>SUM(D696:H696)</f>
        <v>600000</v>
      </c>
      <c r="D696" s="16">
        <f t="shared" ref="D696:G696" si="297">SUM(D697:D700)</f>
        <v>0</v>
      </c>
      <c r="E696" s="16">
        <f t="shared" si="297"/>
        <v>0</v>
      </c>
      <c r="F696" s="16">
        <f t="shared" si="297"/>
        <v>0</v>
      </c>
      <c r="G696" s="16">
        <f t="shared" si="297"/>
        <v>300000</v>
      </c>
      <c r="H696" s="16">
        <f t="shared" ref="H696" si="298">SUM(H697:H700)</f>
        <v>300000</v>
      </c>
      <c r="I696" s="67"/>
      <c r="J696" s="67"/>
      <c r="K696" s="67"/>
      <c r="L696" s="67"/>
      <c r="M696" s="67"/>
      <c r="N696" s="67"/>
      <c r="O696" s="67"/>
      <c r="P696" s="104"/>
      <c r="Q696" s="67"/>
      <c r="R696" s="67"/>
      <c r="S696" s="67"/>
      <c r="T696" s="78"/>
    </row>
    <row r="697" spans="1:20" ht="12.75" customHeight="1" x14ac:dyDescent="0.2">
      <c r="A697" s="139"/>
      <c r="B697" s="14" t="s">
        <v>0</v>
      </c>
      <c r="C697" s="15">
        <f t="shared" ref="C697:C700" si="299">SUM(D697:H697)</f>
        <v>570000</v>
      </c>
      <c r="D697" s="16">
        <v>0</v>
      </c>
      <c r="E697" s="16">
        <v>0</v>
      </c>
      <c r="F697" s="16">
        <v>0</v>
      </c>
      <c r="G697" s="16">
        <v>285000</v>
      </c>
      <c r="H697" s="16">
        <v>285000</v>
      </c>
      <c r="I697" s="67"/>
      <c r="J697" s="67"/>
      <c r="K697" s="67"/>
      <c r="L697" s="67"/>
      <c r="M697" s="67"/>
      <c r="N697" s="67"/>
      <c r="O697" s="67"/>
      <c r="P697" s="104"/>
      <c r="Q697" s="67"/>
      <c r="R697" s="67"/>
      <c r="S697" s="67"/>
      <c r="T697" s="78"/>
    </row>
    <row r="698" spans="1:20" ht="12.75" customHeight="1" x14ac:dyDescent="0.2">
      <c r="A698" s="139"/>
      <c r="B698" s="14" t="s">
        <v>1</v>
      </c>
      <c r="C698" s="15">
        <f t="shared" si="299"/>
        <v>30000</v>
      </c>
      <c r="D698" s="16">
        <v>0</v>
      </c>
      <c r="E698" s="16">
        <v>0</v>
      </c>
      <c r="F698" s="16">
        <v>0</v>
      </c>
      <c r="G698" s="16">
        <v>15000</v>
      </c>
      <c r="H698" s="16">
        <v>15000</v>
      </c>
      <c r="I698" s="67"/>
      <c r="J698" s="67"/>
      <c r="K698" s="67"/>
      <c r="L698" s="67"/>
      <c r="M698" s="67"/>
      <c r="N698" s="67"/>
      <c r="O698" s="67"/>
      <c r="P698" s="104"/>
      <c r="Q698" s="67"/>
      <c r="R698" s="67"/>
      <c r="S698" s="67"/>
      <c r="T698" s="78"/>
    </row>
    <row r="699" spans="1:20" ht="12.75" customHeight="1" x14ac:dyDescent="0.2">
      <c r="A699" s="139"/>
      <c r="B699" s="14" t="s">
        <v>2</v>
      </c>
      <c r="C699" s="15">
        <f t="shared" si="299"/>
        <v>0</v>
      </c>
      <c r="D699" s="16"/>
      <c r="E699" s="16"/>
      <c r="F699" s="16"/>
      <c r="G699" s="16"/>
      <c r="H699" s="16"/>
      <c r="I699" s="67"/>
      <c r="J699" s="67"/>
      <c r="K699" s="67"/>
      <c r="L699" s="67"/>
      <c r="M699" s="67"/>
      <c r="N699" s="67"/>
      <c r="O699" s="67"/>
      <c r="P699" s="104"/>
      <c r="Q699" s="67"/>
      <c r="R699" s="67"/>
      <c r="S699" s="67"/>
      <c r="T699" s="78"/>
    </row>
    <row r="700" spans="1:20" ht="12.75" customHeight="1" x14ac:dyDescent="0.2">
      <c r="A700" s="140"/>
      <c r="B700" s="14" t="s">
        <v>3</v>
      </c>
      <c r="C700" s="15">
        <f t="shared" si="299"/>
        <v>0</v>
      </c>
      <c r="D700" s="16"/>
      <c r="E700" s="16"/>
      <c r="F700" s="16"/>
      <c r="G700" s="16"/>
      <c r="H700" s="16"/>
      <c r="I700" s="68"/>
      <c r="J700" s="68"/>
      <c r="K700" s="68"/>
      <c r="L700" s="68"/>
      <c r="M700" s="68"/>
      <c r="N700" s="68"/>
      <c r="O700" s="68"/>
      <c r="P700" s="105"/>
      <c r="Q700" s="68"/>
      <c r="R700" s="68"/>
      <c r="S700" s="68"/>
      <c r="T700" s="78"/>
    </row>
    <row r="701" spans="1:20" x14ac:dyDescent="0.2">
      <c r="A701" s="69" t="s">
        <v>321</v>
      </c>
      <c r="B701" s="85" t="s">
        <v>125</v>
      </c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6"/>
    </row>
    <row r="702" spans="1:20" x14ac:dyDescent="0.2">
      <c r="A702" s="70" t="s">
        <v>102</v>
      </c>
      <c r="B702" s="79" t="s">
        <v>181</v>
      </c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</row>
    <row r="703" spans="1:20" ht="50.1" customHeight="1" x14ac:dyDescent="0.2">
      <c r="A703" s="70"/>
      <c r="B703" s="100" t="s">
        <v>248</v>
      </c>
      <c r="C703" s="101"/>
      <c r="D703" s="101"/>
      <c r="E703" s="101"/>
      <c r="F703" s="101"/>
      <c r="G703" s="101"/>
      <c r="H703" s="102"/>
      <c r="I703" s="66" t="s">
        <v>244</v>
      </c>
      <c r="J703" s="66"/>
      <c r="K703" s="66" t="s">
        <v>40</v>
      </c>
      <c r="L703" s="66" t="s">
        <v>249</v>
      </c>
      <c r="M703" s="66" t="s">
        <v>126</v>
      </c>
      <c r="N703" s="66" t="s">
        <v>221</v>
      </c>
      <c r="O703" s="66" t="s">
        <v>126</v>
      </c>
      <c r="P703" s="103">
        <v>836876.59400000004</v>
      </c>
      <c r="Q703" s="66" t="s">
        <v>30</v>
      </c>
      <c r="R703" s="66" t="s">
        <v>35</v>
      </c>
      <c r="S703" s="66" t="s">
        <v>31</v>
      </c>
      <c r="T703" s="78"/>
    </row>
    <row r="704" spans="1:20" ht="12.75" customHeight="1" x14ac:dyDescent="0.2">
      <c r="A704" s="70"/>
      <c r="B704" s="14" t="s">
        <v>5</v>
      </c>
      <c r="C704" s="15">
        <f>SUM(D704:H704)</f>
        <v>600000</v>
      </c>
      <c r="D704" s="16">
        <f t="shared" ref="D704:F704" si="300">SUM(D705:D708)</f>
        <v>0</v>
      </c>
      <c r="E704" s="16">
        <f t="shared" si="300"/>
        <v>0</v>
      </c>
      <c r="F704" s="16">
        <f t="shared" si="300"/>
        <v>0</v>
      </c>
      <c r="G704" s="16">
        <f t="shared" ref="G704" si="301">SUM(G705:G708)</f>
        <v>300000</v>
      </c>
      <c r="H704" s="16">
        <f t="shared" ref="H704" si="302">SUM(H705:H708)</f>
        <v>300000</v>
      </c>
      <c r="I704" s="67"/>
      <c r="J704" s="67"/>
      <c r="K704" s="67"/>
      <c r="L704" s="67"/>
      <c r="M704" s="67"/>
      <c r="N704" s="67"/>
      <c r="O704" s="67"/>
      <c r="P704" s="104"/>
      <c r="Q704" s="67"/>
      <c r="R704" s="67"/>
      <c r="S704" s="67"/>
      <c r="T704" s="78"/>
    </row>
    <row r="705" spans="1:20" ht="12.75" customHeight="1" x14ac:dyDescent="0.2">
      <c r="A705" s="70"/>
      <c r="B705" s="14" t="s">
        <v>0</v>
      </c>
      <c r="C705" s="15">
        <f t="shared" ref="C705:C708" si="303">SUM(D705:H705)</f>
        <v>570000</v>
      </c>
      <c r="D705" s="16">
        <v>0</v>
      </c>
      <c r="E705" s="16">
        <v>0</v>
      </c>
      <c r="F705" s="16">
        <v>0</v>
      </c>
      <c r="G705" s="16">
        <v>285000</v>
      </c>
      <c r="H705" s="16">
        <v>285000</v>
      </c>
      <c r="I705" s="67"/>
      <c r="J705" s="67"/>
      <c r="K705" s="67"/>
      <c r="L705" s="67"/>
      <c r="M705" s="67"/>
      <c r="N705" s="67"/>
      <c r="O705" s="67"/>
      <c r="P705" s="104"/>
      <c r="Q705" s="67"/>
      <c r="R705" s="67"/>
      <c r="S705" s="67"/>
      <c r="T705" s="78"/>
    </row>
    <row r="706" spans="1:20" ht="12.75" customHeight="1" x14ac:dyDescent="0.2">
      <c r="A706" s="70"/>
      <c r="B706" s="14" t="s">
        <v>1</v>
      </c>
      <c r="C706" s="15">
        <f t="shared" si="303"/>
        <v>30000</v>
      </c>
      <c r="D706" s="16">
        <v>0</v>
      </c>
      <c r="E706" s="16">
        <v>0</v>
      </c>
      <c r="F706" s="16">
        <v>0</v>
      </c>
      <c r="G706" s="16">
        <v>15000</v>
      </c>
      <c r="H706" s="16">
        <v>15000</v>
      </c>
      <c r="I706" s="67"/>
      <c r="J706" s="67"/>
      <c r="K706" s="67"/>
      <c r="L706" s="67"/>
      <c r="M706" s="67"/>
      <c r="N706" s="67"/>
      <c r="O706" s="67"/>
      <c r="P706" s="104"/>
      <c r="Q706" s="67"/>
      <c r="R706" s="67"/>
      <c r="S706" s="67"/>
      <c r="T706" s="78"/>
    </row>
    <row r="707" spans="1:20" ht="12.75" customHeight="1" x14ac:dyDescent="0.2">
      <c r="A707" s="70"/>
      <c r="B707" s="14" t="s">
        <v>2</v>
      </c>
      <c r="C707" s="15">
        <f t="shared" si="303"/>
        <v>0</v>
      </c>
      <c r="D707" s="16"/>
      <c r="E707" s="16"/>
      <c r="F707" s="16"/>
      <c r="G707" s="16"/>
      <c r="H707" s="16"/>
      <c r="I707" s="67"/>
      <c r="J707" s="67"/>
      <c r="K707" s="67"/>
      <c r="L707" s="67"/>
      <c r="M707" s="67"/>
      <c r="N707" s="67"/>
      <c r="O707" s="67"/>
      <c r="P707" s="104"/>
      <c r="Q707" s="67"/>
      <c r="R707" s="67"/>
      <c r="S707" s="67"/>
      <c r="T707" s="78"/>
    </row>
    <row r="708" spans="1:20" ht="12.75" customHeight="1" x14ac:dyDescent="0.2">
      <c r="A708" s="71"/>
      <c r="B708" s="14" t="s">
        <v>3</v>
      </c>
      <c r="C708" s="15">
        <f t="shared" si="303"/>
        <v>0</v>
      </c>
      <c r="D708" s="16"/>
      <c r="E708" s="16"/>
      <c r="F708" s="16"/>
      <c r="G708" s="16"/>
      <c r="H708" s="16"/>
      <c r="I708" s="68"/>
      <c r="J708" s="68"/>
      <c r="K708" s="68"/>
      <c r="L708" s="68"/>
      <c r="M708" s="68"/>
      <c r="N708" s="68"/>
      <c r="O708" s="68"/>
      <c r="P708" s="105"/>
      <c r="Q708" s="68"/>
      <c r="R708" s="68"/>
      <c r="S708" s="68"/>
      <c r="T708" s="78"/>
    </row>
    <row r="709" spans="1:20" x14ac:dyDescent="0.2">
      <c r="A709" s="69" t="s">
        <v>322</v>
      </c>
      <c r="B709" s="85" t="s">
        <v>125</v>
      </c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6"/>
    </row>
    <row r="710" spans="1:20" x14ac:dyDescent="0.2">
      <c r="A710" s="70" t="s">
        <v>102</v>
      </c>
      <c r="B710" s="79" t="s">
        <v>181</v>
      </c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</row>
    <row r="711" spans="1:20" ht="50.1" customHeight="1" x14ac:dyDescent="0.2">
      <c r="A711" s="70"/>
      <c r="B711" s="100" t="s">
        <v>250</v>
      </c>
      <c r="C711" s="101"/>
      <c r="D711" s="101"/>
      <c r="E711" s="101"/>
      <c r="F711" s="101"/>
      <c r="G711" s="101"/>
      <c r="H711" s="102"/>
      <c r="I711" s="66" t="s">
        <v>244</v>
      </c>
      <c r="J711" s="66"/>
      <c r="K711" s="66" t="s">
        <v>40</v>
      </c>
      <c r="L711" s="66" t="s">
        <v>251</v>
      </c>
      <c r="M711" s="66" t="s">
        <v>126</v>
      </c>
      <c r="N711" s="66" t="s">
        <v>221</v>
      </c>
      <c r="O711" s="66" t="s">
        <v>126</v>
      </c>
      <c r="P711" s="103" t="s">
        <v>252</v>
      </c>
      <c r="Q711" s="66" t="s">
        <v>30</v>
      </c>
      <c r="R711" s="66" t="s">
        <v>35</v>
      </c>
      <c r="S711" s="66" t="s">
        <v>31</v>
      </c>
      <c r="T711" s="78" t="s">
        <v>253</v>
      </c>
    </row>
    <row r="712" spans="1:20" ht="12.75" customHeight="1" x14ac:dyDescent="0.2">
      <c r="A712" s="70"/>
      <c r="B712" s="14" t="s">
        <v>5</v>
      </c>
      <c r="C712" s="15">
        <f>SUM(D712:H712)</f>
        <v>1200000</v>
      </c>
      <c r="D712" s="16">
        <f t="shared" ref="D712:F712" si="304">SUM(D713:D716)</f>
        <v>0</v>
      </c>
      <c r="E712" s="16">
        <f t="shared" si="304"/>
        <v>0</v>
      </c>
      <c r="F712" s="16">
        <f t="shared" si="304"/>
        <v>0</v>
      </c>
      <c r="G712" s="16">
        <f t="shared" ref="G712" si="305">SUM(G713:G716)</f>
        <v>600000</v>
      </c>
      <c r="H712" s="16">
        <f t="shared" ref="H712" si="306">SUM(H713:H716)</f>
        <v>600000</v>
      </c>
      <c r="I712" s="67"/>
      <c r="J712" s="67"/>
      <c r="K712" s="67"/>
      <c r="L712" s="67"/>
      <c r="M712" s="67"/>
      <c r="N712" s="67"/>
      <c r="O712" s="67"/>
      <c r="P712" s="104"/>
      <c r="Q712" s="67"/>
      <c r="R712" s="67"/>
      <c r="S712" s="67"/>
      <c r="T712" s="78"/>
    </row>
    <row r="713" spans="1:20" ht="12.75" customHeight="1" x14ac:dyDescent="0.2">
      <c r="A713" s="70"/>
      <c r="B713" s="14" t="s">
        <v>0</v>
      </c>
      <c r="C713" s="15">
        <f t="shared" ref="C713:C716" si="307">SUM(D713:H713)</f>
        <v>1140000</v>
      </c>
      <c r="D713" s="16">
        <v>0</v>
      </c>
      <c r="E713" s="16">
        <v>0</v>
      </c>
      <c r="F713" s="16">
        <v>0</v>
      </c>
      <c r="G713" s="16">
        <v>570000</v>
      </c>
      <c r="H713" s="16">
        <v>570000</v>
      </c>
      <c r="I713" s="67"/>
      <c r="J713" s="67"/>
      <c r="K713" s="67"/>
      <c r="L713" s="67"/>
      <c r="M713" s="67"/>
      <c r="N713" s="67"/>
      <c r="O713" s="67"/>
      <c r="P713" s="104"/>
      <c r="Q713" s="67"/>
      <c r="R713" s="67"/>
      <c r="S713" s="67"/>
      <c r="T713" s="78"/>
    </row>
    <row r="714" spans="1:20" ht="12.75" customHeight="1" x14ac:dyDescent="0.2">
      <c r="A714" s="70"/>
      <c r="B714" s="14" t="s">
        <v>1</v>
      </c>
      <c r="C714" s="15">
        <f t="shared" si="307"/>
        <v>60000</v>
      </c>
      <c r="D714" s="16">
        <v>0</v>
      </c>
      <c r="E714" s="16">
        <v>0</v>
      </c>
      <c r="F714" s="16">
        <v>0</v>
      </c>
      <c r="G714" s="16">
        <v>30000</v>
      </c>
      <c r="H714" s="16">
        <v>30000</v>
      </c>
      <c r="I714" s="67"/>
      <c r="J714" s="67"/>
      <c r="K714" s="67"/>
      <c r="L714" s="67"/>
      <c r="M714" s="67"/>
      <c r="N714" s="67"/>
      <c r="O714" s="67"/>
      <c r="P714" s="104"/>
      <c r="Q714" s="67"/>
      <c r="R714" s="67"/>
      <c r="S714" s="67"/>
      <c r="T714" s="78"/>
    </row>
    <row r="715" spans="1:20" ht="12.75" customHeight="1" x14ac:dyDescent="0.2">
      <c r="A715" s="70"/>
      <c r="B715" s="14" t="s">
        <v>2</v>
      </c>
      <c r="C715" s="15">
        <f t="shared" si="307"/>
        <v>0</v>
      </c>
      <c r="D715" s="16"/>
      <c r="E715" s="16"/>
      <c r="F715" s="16"/>
      <c r="G715" s="16"/>
      <c r="H715" s="16"/>
      <c r="I715" s="67"/>
      <c r="J715" s="67"/>
      <c r="K715" s="67"/>
      <c r="L715" s="67"/>
      <c r="M715" s="67"/>
      <c r="N715" s="67"/>
      <c r="O715" s="67"/>
      <c r="P715" s="104"/>
      <c r="Q715" s="67"/>
      <c r="R715" s="67"/>
      <c r="S715" s="67"/>
      <c r="T715" s="78"/>
    </row>
    <row r="716" spans="1:20" ht="12.75" customHeight="1" x14ac:dyDescent="0.2">
      <c r="A716" s="71"/>
      <c r="B716" s="14" t="s">
        <v>3</v>
      </c>
      <c r="C716" s="15">
        <f t="shared" si="307"/>
        <v>0</v>
      </c>
      <c r="D716" s="16"/>
      <c r="E716" s="16"/>
      <c r="F716" s="16"/>
      <c r="G716" s="16"/>
      <c r="H716" s="16"/>
      <c r="I716" s="68"/>
      <c r="J716" s="68"/>
      <c r="K716" s="68"/>
      <c r="L716" s="68"/>
      <c r="M716" s="68"/>
      <c r="N716" s="68"/>
      <c r="O716" s="68"/>
      <c r="P716" s="105"/>
      <c r="Q716" s="68"/>
      <c r="R716" s="68"/>
      <c r="S716" s="68"/>
      <c r="T716" s="78"/>
    </row>
    <row r="717" spans="1:20" ht="12.75" customHeight="1" x14ac:dyDescent="0.2">
      <c r="A717" s="69" t="s">
        <v>341</v>
      </c>
      <c r="B717" s="85" t="s">
        <v>125</v>
      </c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6"/>
    </row>
    <row r="718" spans="1:20" ht="12.75" customHeight="1" x14ac:dyDescent="0.2">
      <c r="A718" s="70" t="s">
        <v>102</v>
      </c>
      <c r="B718" s="79" t="s">
        <v>181</v>
      </c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</row>
    <row r="719" spans="1:20" ht="50.1" customHeight="1" x14ac:dyDescent="0.2">
      <c r="A719" s="70"/>
      <c r="B719" s="100" t="s">
        <v>479</v>
      </c>
      <c r="C719" s="101"/>
      <c r="D719" s="101"/>
      <c r="E719" s="101"/>
      <c r="F719" s="101"/>
      <c r="G719" s="101"/>
      <c r="H719" s="102"/>
      <c r="I719" s="66" t="s">
        <v>21</v>
      </c>
      <c r="J719" s="66" t="s">
        <v>516</v>
      </c>
      <c r="K719" s="66" t="s">
        <v>40</v>
      </c>
      <c r="L719" s="66" t="s">
        <v>520</v>
      </c>
      <c r="M719" s="66" t="s">
        <v>126</v>
      </c>
      <c r="N719" s="66" t="s">
        <v>221</v>
      </c>
      <c r="O719" s="66" t="s">
        <v>126</v>
      </c>
      <c r="P719" s="103" t="s">
        <v>521</v>
      </c>
      <c r="Q719" s="66" t="s">
        <v>30</v>
      </c>
      <c r="R719" s="66" t="s">
        <v>35</v>
      </c>
      <c r="S719" s="66" t="s">
        <v>32</v>
      </c>
      <c r="T719" s="78" t="s">
        <v>522</v>
      </c>
    </row>
    <row r="720" spans="1:20" ht="12.75" customHeight="1" x14ac:dyDescent="0.2">
      <c r="A720" s="70"/>
      <c r="B720" s="14" t="s">
        <v>5</v>
      </c>
      <c r="C720" s="15">
        <f>SUM(D720:H720)</f>
        <v>1041646.5260000001</v>
      </c>
      <c r="D720" s="16">
        <f t="shared" ref="D720:H720" si="308">SUM(D721:D724)</f>
        <v>301646.52600000001</v>
      </c>
      <c r="E720" s="16">
        <f t="shared" si="308"/>
        <v>740000</v>
      </c>
      <c r="F720" s="16">
        <f t="shared" si="308"/>
        <v>0</v>
      </c>
      <c r="G720" s="16">
        <f t="shared" si="308"/>
        <v>0</v>
      </c>
      <c r="H720" s="16">
        <f t="shared" si="308"/>
        <v>0</v>
      </c>
      <c r="I720" s="67"/>
      <c r="J720" s="67"/>
      <c r="K720" s="67"/>
      <c r="L720" s="67"/>
      <c r="M720" s="67"/>
      <c r="N720" s="67"/>
      <c r="O720" s="67"/>
      <c r="P720" s="104"/>
      <c r="Q720" s="67"/>
      <c r="R720" s="67"/>
      <c r="S720" s="67"/>
      <c r="T720" s="78"/>
    </row>
    <row r="721" spans="1:20" ht="12.75" customHeight="1" x14ac:dyDescent="0.2">
      <c r="A721" s="70"/>
      <c r="B721" s="14" t="s">
        <v>0</v>
      </c>
      <c r="C721" s="15">
        <f t="shared" ref="C721:C724" si="309">SUM(D721:H721)</f>
        <v>1040000</v>
      </c>
      <c r="D721" s="16">
        <f>0+25000+275000</f>
        <v>300000</v>
      </c>
      <c r="E721" s="16">
        <f>0+740000</f>
        <v>740000</v>
      </c>
      <c r="F721" s="16"/>
      <c r="G721" s="16"/>
      <c r="H721" s="16"/>
      <c r="I721" s="67"/>
      <c r="J721" s="67"/>
      <c r="K721" s="67"/>
      <c r="L721" s="67"/>
      <c r="M721" s="67"/>
      <c r="N721" s="67"/>
      <c r="O721" s="67"/>
      <c r="P721" s="104"/>
      <c r="Q721" s="67"/>
      <c r="R721" s="67"/>
      <c r="S721" s="67"/>
      <c r="T721" s="78"/>
    </row>
    <row r="722" spans="1:20" ht="12.75" customHeight="1" x14ac:dyDescent="0.2">
      <c r="A722" s="70"/>
      <c r="B722" s="14" t="s">
        <v>1</v>
      </c>
      <c r="C722" s="15">
        <f t="shared" si="309"/>
        <v>1646.5259999999998</v>
      </c>
      <c r="D722" s="16">
        <f>0+1371.908+274.618</f>
        <v>1646.5259999999998</v>
      </c>
      <c r="E722" s="16"/>
      <c r="F722" s="16"/>
      <c r="G722" s="16"/>
      <c r="H722" s="16"/>
      <c r="I722" s="67"/>
      <c r="J722" s="67"/>
      <c r="K722" s="67"/>
      <c r="L722" s="67"/>
      <c r="M722" s="67"/>
      <c r="N722" s="67"/>
      <c r="O722" s="67"/>
      <c r="P722" s="104"/>
      <c r="Q722" s="67"/>
      <c r="R722" s="67"/>
      <c r="S722" s="67"/>
      <c r="T722" s="78"/>
    </row>
    <row r="723" spans="1:20" ht="12.75" customHeight="1" x14ac:dyDescent="0.2">
      <c r="A723" s="70"/>
      <c r="B723" s="14" t="s">
        <v>2</v>
      </c>
      <c r="C723" s="15">
        <f t="shared" si="309"/>
        <v>0</v>
      </c>
      <c r="D723" s="16"/>
      <c r="E723" s="16"/>
      <c r="F723" s="16"/>
      <c r="G723" s="16"/>
      <c r="H723" s="16"/>
      <c r="I723" s="67"/>
      <c r="J723" s="67"/>
      <c r="K723" s="67"/>
      <c r="L723" s="67"/>
      <c r="M723" s="67"/>
      <c r="N723" s="67"/>
      <c r="O723" s="67"/>
      <c r="P723" s="104"/>
      <c r="Q723" s="67"/>
      <c r="R723" s="67"/>
      <c r="S723" s="67"/>
      <c r="T723" s="78"/>
    </row>
    <row r="724" spans="1:20" ht="12.75" customHeight="1" x14ac:dyDescent="0.2">
      <c r="A724" s="71"/>
      <c r="B724" s="14" t="s">
        <v>3</v>
      </c>
      <c r="C724" s="15">
        <f t="shared" si="309"/>
        <v>0</v>
      </c>
      <c r="D724" s="16"/>
      <c r="E724" s="16"/>
      <c r="F724" s="16"/>
      <c r="G724" s="16"/>
      <c r="H724" s="16"/>
      <c r="I724" s="68"/>
      <c r="J724" s="68"/>
      <c r="K724" s="68"/>
      <c r="L724" s="68"/>
      <c r="M724" s="68"/>
      <c r="N724" s="68"/>
      <c r="O724" s="68"/>
      <c r="P724" s="105"/>
      <c r="Q724" s="68"/>
      <c r="R724" s="68"/>
      <c r="S724" s="68"/>
      <c r="T724" s="78"/>
    </row>
    <row r="725" spans="1:20" ht="12.75" customHeight="1" x14ac:dyDescent="0.2">
      <c r="A725" s="69" t="s">
        <v>342</v>
      </c>
      <c r="B725" s="85" t="s">
        <v>125</v>
      </c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6"/>
    </row>
    <row r="726" spans="1:20" ht="12.75" customHeight="1" x14ac:dyDescent="0.2">
      <c r="A726" s="70" t="s">
        <v>102</v>
      </c>
      <c r="B726" s="79" t="s">
        <v>181</v>
      </c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</row>
    <row r="727" spans="1:20" ht="50.1" customHeight="1" x14ac:dyDescent="0.2">
      <c r="A727" s="70"/>
      <c r="B727" s="100" t="s">
        <v>480</v>
      </c>
      <c r="C727" s="101"/>
      <c r="D727" s="101"/>
      <c r="E727" s="101"/>
      <c r="F727" s="101"/>
      <c r="G727" s="101"/>
      <c r="H727" s="102"/>
      <c r="I727" s="66" t="s">
        <v>21</v>
      </c>
      <c r="J727" s="66" t="s">
        <v>516</v>
      </c>
      <c r="K727" s="66" t="s">
        <v>40</v>
      </c>
      <c r="L727" s="66" t="s">
        <v>523</v>
      </c>
      <c r="M727" s="66" t="s">
        <v>126</v>
      </c>
      <c r="N727" s="66" t="s">
        <v>221</v>
      </c>
      <c r="O727" s="66" t="s">
        <v>126</v>
      </c>
      <c r="P727" s="103" t="s">
        <v>524</v>
      </c>
      <c r="Q727" s="66" t="s">
        <v>30</v>
      </c>
      <c r="R727" s="66" t="s">
        <v>35</v>
      </c>
      <c r="S727" s="66" t="s">
        <v>32</v>
      </c>
      <c r="T727" s="78" t="s">
        <v>525</v>
      </c>
    </row>
    <row r="728" spans="1:20" ht="12.75" customHeight="1" x14ac:dyDescent="0.2">
      <c r="A728" s="70"/>
      <c r="B728" s="14" t="s">
        <v>5</v>
      </c>
      <c r="C728" s="15">
        <f>SUM(D728:H728)</f>
        <v>992883.13728000002</v>
      </c>
      <c r="D728" s="16">
        <f t="shared" ref="D728:H728" si="310">SUM(D729:D732)</f>
        <v>300883.13728000002</v>
      </c>
      <c r="E728" s="16">
        <f t="shared" si="310"/>
        <v>692000</v>
      </c>
      <c r="F728" s="16">
        <f t="shared" si="310"/>
        <v>0</v>
      </c>
      <c r="G728" s="16">
        <f t="shared" si="310"/>
        <v>0</v>
      </c>
      <c r="H728" s="16">
        <f t="shared" si="310"/>
        <v>0</v>
      </c>
      <c r="I728" s="67"/>
      <c r="J728" s="67"/>
      <c r="K728" s="67"/>
      <c r="L728" s="67"/>
      <c r="M728" s="67"/>
      <c r="N728" s="67"/>
      <c r="O728" s="67"/>
      <c r="P728" s="104"/>
      <c r="Q728" s="67"/>
      <c r="R728" s="67"/>
      <c r="S728" s="67"/>
      <c r="T728" s="78"/>
    </row>
    <row r="729" spans="1:20" ht="12.75" customHeight="1" x14ac:dyDescent="0.2">
      <c r="A729" s="70"/>
      <c r="B729" s="14" t="s">
        <v>0</v>
      </c>
      <c r="C729" s="15">
        <f t="shared" ref="C729:C732" si="311">SUM(D729:H729)</f>
        <v>992000</v>
      </c>
      <c r="D729" s="16">
        <f>0+25000+275000</f>
        <v>300000</v>
      </c>
      <c r="E729" s="16">
        <f>0+692000</f>
        <v>692000</v>
      </c>
      <c r="F729" s="16"/>
      <c r="G729" s="16"/>
      <c r="H729" s="16"/>
      <c r="I729" s="67"/>
      <c r="J729" s="67"/>
      <c r="K729" s="67"/>
      <c r="L729" s="67"/>
      <c r="M729" s="67"/>
      <c r="N729" s="67"/>
      <c r="O729" s="67"/>
      <c r="P729" s="104"/>
      <c r="Q729" s="67"/>
      <c r="R729" s="67"/>
      <c r="S729" s="67"/>
      <c r="T729" s="78"/>
    </row>
    <row r="730" spans="1:20" ht="12.75" customHeight="1" x14ac:dyDescent="0.2">
      <c r="A730" s="70"/>
      <c r="B730" s="14" t="s">
        <v>1</v>
      </c>
      <c r="C730" s="15">
        <f t="shared" si="311"/>
        <v>883.13727999999992</v>
      </c>
      <c r="D730" s="16">
        <f>0+587.82528+295.31172+0.00028</f>
        <v>883.13727999999992</v>
      </c>
      <c r="E730" s="16"/>
      <c r="F730" s="16"/>
      <c r="G730" s="16"/>
      <c r="H730" s="16"/>
      <c r="I730" s="67"/>
      <c r="J730" s="67"/>
      <c r="K730" s="67"/>
      <c r="L730" s="67"/>
      <c r="M730" s="67"/>
      <c r="N730" s="67"/>
      <c r="O730" s="67"/>
      <c r="P730" s="104"/>
      <c r="Q730" s="67"/>
      <c r="R730" s="67"/>
      <c r="S730" s="67"/>
      <c r="T730" s="78"/>
    </row>
    <row r="731" spans="1:20" ht="12.75" customHeight="1" x14ac:dyDescent="0.2">
      <c r="A731" s="70"/>
      <c r="B731" s="14" t="s">
        <v>2</v>
      </c>
      <c r="C731" s="15">
        <f t="shared" si="311"/>
        <v>0</v>
      </c>
      <c r="D731" s="16"/>
      <c r="E731" s="16"/>
      <c r="F731" s="16"/>
      <c r="G731" s="16"/>
      <c r="H731" s="16"/>
      <c r="I731" s="67"/>
      <c r="J731" s="67"/>
      <c r="K731" s="67"/>
      <c r="L731" s="67"/>
      <c r="M731" s="67"/>
      <c r="N731" s="67"/>
      <c r="O731" s="67"/>
      <c r="P731" s="104"/>
      <c r="Q731" s="67"/>
      <c r="R731" s="67"/>
      <c r="S731" s="67"/>
      <c r="T731" s="78"/>
    </row>
    <row r="732" spans="1:20" ht="12.75" customHeight="1" x14ac:dyDescent="0.2">
      <c r="A732" s="71"/>
      <c r="B732" s="14" t="s">
        <v>3</v>
      </c>
      <c r="C732" s="15">
        <f t="shared" si="311"/>
        <v>0</v>
      </c>
      <c r="D732" s="16"/>
      <c r="E732" s="16"/>
      <c r="F732" s="16"/>
      <c r="G732" s="16"/>
      <c r="H732" s="16"/>
      <c r="I732" s="68"/>
      <c r="J732" s="68"/>
      <c r="K732" s="68"/>
      <c r="L732" s="68"/>
      <c r="M732" s="68"/>
      <c r="N732" s="68"/>
      <c r="O732" s="68"/>
      <c r="P732" s="105"/>
      <c r="Q732" s="68"/>
      <c r="R732" s="68"/>
      <c r="S732" s="68"/>
      <c r="T732" s="78"/>
    </row>
    <row r="733" spans="1:20" ht="12.75" customHeight="1" x14ac:dyDescent="0.2">
      <c r="A733" s="69" t="s">
        <v>343</v>
      </c>
      <c r="B733" s="85" t="s">
        <v>125</v>
      </c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6"/>
    </row>
    <row r="734" spans="1:20" ht="12.75" customHeight="1" x14ac:dyDescent="0.2">
      <c r="A734" s="70" t="s">
        <v>102</v>
      </c>
      <c r="B734" s="79" t="s">
        <v>181</v>
      </c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</row>
    <row r="735" spans="1:20" ht="50.1" customHeight="1" x14ac:dyDescent="0.2">
      <c r="A735" s="70"/>
      <c r="B735" s="100" t="s">
        <v>481</v>
      </c>
      <c r="C735" s="101"/>
      <c r="D735" s="101"/>
      <c r="E735" s="101"/>
      <c r="F735" s="101"/>
      <c r="G735" s="101"/>
      <c r="H735" s="102"/>
      <c r="I735" s="66" t="s">
        <v>21</v>
      </c>
      <c r="J735" s="66" t="s">
        <v>516</v>
      </c>
      <c r="K735" s="66" t="s">
        <v>40</v>
      </c>
      <c r="L735" s="66" t="s">
        <v>526</v>
      </c>
      <c r="M735" s="66" t="s">
        <v>126</v>
      </c>
      <c r="N735" s="66" t="s">
        <v>221</v>
      </c>
      <c r="O735" s="66" t="s">
        <v>126</v>
      </c>
      <c r="P735" s="103" t="s">
        <v>527</v>
      </c>
      <c r="Q735" s="66" t="s">
        <v>30</v>
      </c>
      <c r="R735" s="66" t="s">
        <v>35</v>
      </c>
      <c r="S735" s="66" t="s">
        <v>32</v>
      </c>
      <c r="T735" s="78" t="s">
        <v>528</v>
      </c>
    </row>
    <row r="736" spans="1:20" ht="12.75" customHeight="1" x14ac:dyDescent="0.2">
      <c r="A736" s="70"/>
      <c r="B736" s="14" t="s">
        <v>5</v>
      </c>
      <c r="C736" s="15">
        <f>SUM(D736:H736)</f>
        <v>952746.96574999997</v>
      </c>
      <c r="D736" s="16">
        <f t="shared" ref="D736:H736" si="312">SUM(D737:D740)</f>
        <v>300746.96574999997</v>
      </c>
      <c r="E736" s="16">
        <f t="shared" si="312"/>
        <v>652000</v>
      </c>
      <c r="F736" s="16">
        <f t="shared" si="312"/>
        <v>0</v>
      </c>
      <c r="G736" s="16">
        <f t="shared" si="312"/>
        <v>0</v>
      </c>
      <c r="H736" s="16">
        <f t="shared" si="312"/>
        <v>0</v>
      </c>
      <c r="I736" s="67"/>
      <c r="J736" s="67"/>
      <c r="K736" s="67"/>
      <c r="L736" s="67"/>
      <c r="M736" s="67"/>
      <c r="N736" s="67"/>
      <c r="O736" s="67"/>
      <c r="P736" s="104"/>
      <c r="Q736" s="67"/>
      <c r="R736" s="67"/>
      <c r="S736" s="67"/>
      <c r="T736" s="78"/>
    </row>
    <row r="737" spans="1:20" ht="12.75" customHeight="1" x14ac:dyDescent="0.2">
      <c r="A737" s="70"/>
      <c r="B737" s="14" t="s">
        <v>0</v>
      </c>
      <c r="C737" s="15">
        <f t="shared" ref="C737:C740" si="313">SUM(D737:H737)</f>
        <v>952000</v>
      </c>
      <c r="D737" s="16">
        <f>0+25000+275000</f>
        <v>300000</v>
      </c>
      <c r="E737" s="16">
        <f>0+652000</f>
        <v>652000</v>
      </c>
      <c r="F737" s="16"/>
      <c r="G737" s="16"/>
      <c r="H737" s="16"/>
      <c r="I737" s="67"/>
      <c r="J737" s="67"/>
      <c r="K737" s="67"/>
      <c r="L737" s="67"/>
      <c r="M737" s="67"/>
      <c r="N737" s="67"/>
      <c r="O737" s="67"/>
      <c r="P737" s="104"/>
      <c r="Q737" s="67"/>
      <c r="R737" s="67"/>
      <c r="S737" s="67"/>
      <c r="T737" s="78"/>
    </row>
    <row r="738" spans="1:20" ht="12.75" customHeight="1" x14ac:dyDescent="0.2">
      <c r="A738" s="70"/>
      <c r="B738" s="14" t="s">
        <v>1</v>
      </c>
      <c r="C738" s="15">
        <f t="shared" si="313"/>
        <v>746.96574999999996</v>
      </c>
      <c r="D738" s="32">
        <f>0+485.65175+261.31425-0.00025</f>
        <v>746.96574999999996</v>
      </c>
      <c r="E738" s="16"/>
      <c r="F738" s="16"/>
      <c r="G738" s="16"/>
      <c r="H738" s="16"/>
      <c r="I738" s="67"/>
      <c r="J738" s="67"/>
      <c r="K738" s="67"/>
      <c r="L738" s="67"/>
      <c r="M738" s="67"/>
      <c r="N738" s="67"/>
      <c r="O738" s="67"/>
      <c r="P738" s="104"/>
      <c r="Q738" s="67"/>
      <c r="R738" s="67"/>
      <c r="S738" s="67"/>
      <c r="T738" s="78"/>
    </row>
    <row r="739" spans="1:20" ht="12.75" customHeight="1" x14ac:dyDescent="0.2">
      <c r="A739" s="70"/>
      <c r="B739" s="14" t="s">
        <v>2</v>
      </c>
      <c r="C739" s="15">
        <f t="shared" si="313"/>
        <v>0</v>
      </c>
      <c r="D739" s="16"/>
      <c r="E739" s="16"/>
      <c r="F739" s="16"/>
      <c r="G739" s="16"/>
      <c r="H739" s="16"/>
      <c r="I739" s="67"/>
      <c r="J739" s="67"/>
      <c r="K739" s="67"/>
      <c r="L739" s="67"/>
      <c r="M739" s="67"/>
      <c r="N739" s="67"/>
      <c r="O739" s="67"/>
      <c r="P739" s="104"/>
      <c r="Q739" s="67"/>
      <c r="R739" s="67"/>
      <c r="S739" s="67"/>
      <c r="T739" s="78"/>
    </row>
    <row r="740" spans="1:20" ht="12.75" customHeight="1" x14ac:dyDescent="0.2">
      <c r="A740" s="71"/>
      <c r="B740" s="14" t="s">
        <v>3</v>
      </c>
      <c r="C740" s="15">
        <f t="shared" si="313"/>
        <v>0</v>
      </c>
      <c r="D740" s="16"/>
      <c r="E740" s="16"/>
      <c r="F740" s="16"/>
      <c r="G740" s="16"/>
      <c r="H740" s="16"/>
      <c r="I740" s="68"/>
      <c r="J740" s="68"/>
      <c r="K740" s="68"/>
      <c r="L740" s="68"/>
      <c r="M740" s="68"/>
      <c r="N740" s="68"/>
      <c r="O740" s="68"/>
      <c r="P740" s="105"/>
      <c r="Q740" s="68"/>
      <c r="R740" s="68"/>
      <c r="S740" s="68"/>
      <c r="T740" s="78"/>
    </row>
    <row r="741" spans="1:20" ht="12.75" customHeight="1" x14ac:dyDescent="0.2">
      <c r="A741" s="69" t="s">
        <v>344</v>
      </c>
      <c r="B741" s="85" t="s">
        <v>125</v>
      </c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6"/>
    </row>
    <row r="742" spans="1:20" ht="12.75" customHeight="1" x14ac:dyDescent="0.2">
      <c r="A742" s="70" t="s">
        <v>102</v>
      </c>
      <c r="B742" s="79" t="s">
        <v>181</v>
      </c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</row>
    <row r="743" spans="1:20" ht="42.95" customHeight="1" x14ac:dyDescent="0.2">
      <c r="A743" s="70"/>
      <c r="B743" s="100" t="s">
        <v>482</v>
      </c>
      <c r="C743" s="101"/>
      <c r="D743" s="101"/>
      <c r="E743" s="101"/>
      <c r="F743" s="101"/>
      <c r="G743" s="101"/>
      <c r="H743" s="102"/>
      <c r="I743" s="66" t="s">
        <v>21</v>
      </c>
      <c r="J743" s="66" t="s">
        <v>516</v>
      </c>
      <c r="K743" s="66" t="s">
        <v>40</v>
      </c>
      <c r="L743" s="66" t="s">
        <v>529</v>
      </c>
      <c r="M743" s="66" t="s">
        <v>126</v>
      </c>
      <c r="N743" s="66" t="s">
        <v>221</v>
      </c>
      <c r="O743" s="66" t="s">
        <v>126</v>
      </c>
      <c r="P743" s="103" t="s">
        <v>530</v>
      </c>
      <c r="Q743" s="66" t="s">
        <v>30</v>
      </c>
      <c r="R743" s="66" t="s">
        <v>35</v>
      </c>
      <c r="S743" s="66" t="s">
        <v>32</v>
      </c>
      <c r="T743" s="78" t="s">
        <v>531</v>
      </c>
    </row>
    <row r="744" spans="1:20" ht="12.75" customHeight="1" x14ac:dyDescent="0.2">
      <c r="A744" s="70"/>
      <c r="B744" s="14" t="s">
        <v>5</v>
      </c>
      <c r="C744" s="15">
        <f>SUM(D744:H744)</f>
        <v>917626.97699999996</v>
      </c>
      <c r="D744" s="16">
        <f t="shared" ref="D744:H744" si="314">SUM(D745:D748)</f>
        <v>301626.97700000001</v>
      </c>
      <c r="E744" s="16">
        <f t="shared" si="314"/>
        <v>616000</v>
      </c>
      <c r="F744" s="16">
        <f t="shared" si="314"/>
        <v>0</v>
      </c>
      <c r="G744" s="16">
        <f t="shared" si="314"/>
        <v>0</v>
      </c>
      <c r="H744" s="16">
        <f t="shared" si="314"/>
        <v>0</v>
      </c>
      <c r="I744" s="67"/>
      <c r="J744" s="67"/>
      <c r="K744" s="67"/>
      <c r="L744" s="67"/>
      <c r="M744" s="67"/>
      <c r="N744" s="67"/>
      <c r="O744" s="67"/>
      <c r="P744" s="104"/>
      <c r="Q744" s="67"/>
      <c r="R744" s="67"/>
      <c r="S744" s="67"/>
      <c r="T744" s="78"/>
    </row>
    <row r="745" spans="1:20" ht="12.75" customHeight="1" x14ac:dyDescent="0.2">
      <c r="A745" s="70"/>
      <c r="B745" s="14" t="s">
        <v>0</v>
      </c>
      <c r="C745" s="15">
        <f t="shared" ref="C745:C748" si="315">SUM(D745:H745)</f>
        <v>916000</v>
      </c>
      <c r="D745" s="16">
        <f>0+25000+275000</f>
        <v>300000</v>
      </c>
      <c r="E745" s="16">
        <f>0+616000</f>
        <v>616000</v>
      </c>
      <c r="F745" s="16"/>
      <c r="G745" s="16"/>
      <c r="H745" s="16"/>
      <c r="I745" s="67"/>
      <c r="J745" s="67"/>
      <c r="K745" s="67"/>
      <c r="L745" s="67"/>
      <c r="M745" s="67"/>
      <c r="N745" s="67"/>
      <c r="O745" s="67"/>
      <c r="P745" s="104"/>
      <c r="Q745" s="67"/>
      <c r="R745" s="67"/>
      <c r="S745" s="67"/>
      <c r="T745" s="78"/>
    </row>
    <row r="746" spans="1:20" ht="12.75" customHeight="1" x14ac:dyDescent="0.2">
      <c r="A746" s="70"/>
      <c r="B746" s="14" t="s">
        <v>1</v>
      </c>
      <c r="C746" s="15">
        <f t="shared" si="315"/>
        <v>1626.9770000000001</v>
      </c>
      <c r="D746" s="16">
        <f>0+1626.977</f>
        <v>1626.9770000000001</v>
      </c>
      <c r="E746" s="16"/>
      <c r="F746" s="16"/>
      <c r="G746" s="16"/>
      <c r="H746" s="16"/>
      <c r="I746" s="67"/>
      <c r="J746" s="67"/>
      <c r="K746" s="67"/>
      <c r="L746" s="67"/>
      <c r="M746" s="67"/>
      <c r="N746" s="67"/>
      <c r="O746" s="67"/>
      <c r="P746" s="104"/>
      <c r="Q746" s="67"/>
      <c r="R746" s="67"/>
      <c r="S746" s="67"/>
      <c r="T746" s="78"/>
    </row>
    <row r="747" spans="1:20" ht="12.75" customHeight="1" x14ac:dyDescent="0.2">
      <c r="A747" s="70"/>
      <c r="B747" s="14" t="s">
        <v>2</v>
      </c>
      <c r="C747" s="15">
        <f t="shared" si="315"/>
        <v>0</v>
      </c>
      <c r="D747" s="16"/>
      <c r="E747" s="16"/>
      <c r="F747" s="16"/>
      <c r="G747" s="16"/>
      <c r="H747" s="16"/>
      <c r="I747" s="67"/>
      <c r="J747" s="67"/>
      <c r="K747" s="67"/>
      <c r="L747" s="67"/>
      <c r="M747" s="67"/>
      <c r="N747" s="67"/>
      <c r="O747" s="67"/>
      <c r="P747" s="104"/>
      <c r="Q747" s="67"/>
      <c r="R747" s="67"/>
      <c r="S747" s="67"/>
      <c r="T747" s="78"/>
    </row>
    <row r="748" spans="1:20" ht="12.75" customHeight="1" x14ac:dyDescent="0.2">
      <c r="A748" s="71"/>
      <c r="B748" s="14" t="s">
        <v>3</v>
      </c>
      <c r="C748" s="15">
        <f t="shared" si="315"/>
        <v>0</v>
      </c>
      <c r="D748" s="16"/>
      <c r="E748" s="16"/>
      <c r="F748" s="16"/>
      <c r="G748" s="16"/>
      <c r="H748" s="16"/>
      <c r="I748" s="68"/>
      <c r="J748" s="68"/>
      <c r="K748" s="68"/>
      <c r="L748" s="68"/>
      <c r="M748" s="68"/>
      <c r="N748" s="68"/>
      <c r="O748" s="68"/>
      <c r="P748" s="105"/>
      <c r="Q748" s="68"/>
      <c r="R748" s="68"/>
      <c r="S748" s="68"/>
      <c r="T748" s="78"/>
    </row>
    <row r="749" spans="1:20" x14ac:dyDescent="0.2">
      <c r="A749" s="69" t="s">
        <v>345</v>
      </c>
      <c r="B749" s="85" t="s">
        <v>125</v>
      </c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6"/>
    </row>
    <row r="750" spans="1:20" x14ac:dyDescent="0.2">
      <c r="A750" s="70" t="s">
        <v>102</v>
      </c>
      <c r="B750" s="79" t="s">
        <v>181</v>
      </c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</row>
    <row r="751" spans="1:20" ht="50.1" customHeight="1" x14ac:dyDescent="0.2">
      <c r="A751" s="70"/>
      <c r="B751" s="100" t="s">
        <v>265</v>
      </c>
      <c r="C751" s="101"/>
      <c r="D751" s="101"/>
      <c r="E751" s="101"/>
      <c r="F751" s="101"/>
      <c r="G751" s="101"/>
      <c r="H751" s="102"/>
      <c r="I751" s="66" t="s">
        <v>244</v>
      </c>
      <c r="J751" s="66" t="s">
        <v>116</v>
      </c>
      <c r="K751" s="66" t="s">
        <v>40</v>
      </c>
      <c r="L751" s="66" t="s">
        <v>228</v>
      </c>
      <c r="M751" s="66" t="s">
        <v>126</v>
      </c>
      <c r="N751" s="66" t="s">
        <v>221</v>
      </c>
      <c r="O751" s="66" t="s">
        <v>126</v>
      </c>
      <c r="P751" s="103">
        <v>811804.62300000002</v>
      </c>
      <c r="Q751" s="66" t="s">
        <v>30</v>
      </c>
      <c r="R751" s="66" t="s">
        <v>35</v>
      </c>
      <c r="S751" s="66" t="s">
        <v>31</v>
      </c>
      <c r="T751" s="78" t="s">
        <v>437</v>
      </c>
    </row>
    <row r="752" spans="1:20" ht="12.75" customHeight="1" x14ac:dyDescent="0.2">
      <c r="A752" s="70"/>
      <c r="B752" s="14" t="s">
        <v>5</v>
      </c>
      <c r="C752" s="15">
        <f>SUM(D752:H752)</f>
        <v>400000</v>
      </c>
      <c r="D752" s="16">
        <f t="shared" ref="D752:F752" si="316">SUM(D753:D756)</f>
        <v>0</v>
      </c>
      <c r="E752" s="16">
        <f t="shared" si="316"/>
        <v>0</v>
      </c>
      <c r="F752" s="16">
        <f t="shared" si="316"/>
        <v>0</v>
      </c>
      <c r="G752" s="16">
        <f t="shared" ref="G752" si="317">SUM(G753:G756)</f>
        <v>200000</v>
      </c>
      <c r="H752" s="16">
        <f t="shared" ref="H752" si="318">SUM(H753:H756)</f>
        <v>200000</v>
      </c>
      <c r="I752" s="67"/>
      <c r="J752" s="67"/>
      <c r="K752" s="67"/>
      <c r="L752" s="67"/>
      <c r="M752" s="67"/>
      <c r="N752" s="67"/>
      <c r="O752" s="67"/>
      <c r="P752" s="104"/>
      <c r="Q752" s="67"/>
      <c r="R752" s="67"/>
      <c r="S752" s="67"/>
      <c r="T752" s="78"/>
    </row>
    <row r="753" spans="1:20" ht="12.75" customHeight="1" x14ac:dyDescent="0.2">
      <c r="A753" s="70"/>
      <c r="B753" s="14" t="s">
        <v>0</v>
      </c>
      <c r="C753" s="15">
        <f t="shared" ref="C753:C756" si="319">SUM(D753:H753)</f>
        <v>0</v>
      </c>
      <c r="D753" s="16"/>
      <c r="E753" s="16"/>
      <c r="F753" s="16"/>
      <c r="G753" s="16"/>
      <c r="H753" s="16"/>
      <c r="I753" s="67"/>
      <c r="J753" s="67"/>
      <c r="K753" s="67"/>
      <c r="L753" s="67"/>
      <c r="M753" s="67"/>
      <c r="N753" s="67"/>
      <c r="O753" s="67"/>
      <c r="P753" s="104"/>
      <c r="Q753" s="67"/>
      <c r="R753" s="67"/>
      <c r="S753" s="67"/>
      <c r="T753" s="78"/>
    </row>
    <row r="754" spans="1:20" ht="12.75" customHeight="1" x14ac:dyDescent="0.2">
      <c r="A754" s="70"/>
      <c r="B754" s="14" t="s">
        <v>1</v>
      </c>
      <c r="C754" s="15">
        <f t="shared" si="319"/>
        <v>400000</v>
      </c>
      <c r="D754" s="16">
        <v>0</v>
      </c>
      <c r="E754" s="16">
        <v>0</v>
      </c>
      <c r="F754" s="16">
        <v>0</v>
      </c>
      <c r="G754" s="16">
        <v>200000</v>
      </c>
      <c r="H754" s="16">
        <v>200000</v>
      </c>
      <c r="I754" s="67"/>
      <c r="J754" s="67"/>
      <c r="K754" s="67"/>
      <c r="L754" s="67"/>
      <c r="M754" s="67"/>
      <c r="N754" s="67"/>
      <c r="O754" s="67"/>
      <c r="P754" s="104"/>
      <c r="Q754" s="67"/>
      <c r="R754" s="67"/>
      <c r="S754" s="67"/>
      <c r="T754" s="78"/>
    </row>
    <row r="755" spans="1:20" ht="12.75" customHeight="1" x14ac:dyDescent="0.2">
      <c r="A755" s="70"/>
      <c r="B755" s="14" t="s">
        <v>2</v>
      </c>
      <c r="C755" s="15">
        <f t="shared" si="319"/>
        <v>0</v>
      </c>
      <c r="D755" s="16"/>
      <c r="E755" s="16"/>
      <c r="F755" s="16"/>
      <c r="G755" s="16"/>
      <c r="H755" s="16"/>
      <c r="I755" s="67"/>
      <c r="J755" s="67"/>
      <c r="K755" s="67"/>
      <c r="L755" s="67"/>
      <c r="M755" s="67"/>
      <c r="N755" s="67"/>
      <c r="O755" s="67"/>
      <c r="P755" s="104"/>
      <c r="Q755" s="67"/>
      <c r="R755" s="67"/>
      <c r="S755" s="67"/>
      <c r="T755" s="78"/>
    </row>
    <row r="756" spans="1:20" ht="12.75" customHeight="1" x14ac:dyDescent="0.2">
      <c r="A756" s="71"/>
      <c r="B756" s="14" t="s">
        <v>3</v>
      </c>
      <c r="C756" s="15">
        <f t="shared" si="319"/>
        <v>0</v>
      </c>
      <c r="D756" s="16"/>
      <c r="E756" s="16"/>
      <c r="F756" s="16"/>
      <c r="G756" s="16"/>
      <c r="H756" s="16"/>
      <c r="I756" s="68"/>
      <c r="J756" s="68"/>
      <c r="K756" s="68"/>
      <c r="L756" s="68"/>
      <c r="M756" s="68"/>
      <c r="N756" s="68"/>
      <c r="O756" s="68"/>
      <c r="P756" s="105"/>
      <c r="Q756" s="68"/>
      <c r="R756" s="68"/>
      <c r="S756" s="68"/>
      <c r="T756" s="78"/>
    </row>
    <row r="757" spans="1:20" x14ac:dyDescent="0.2">
      <c r="A757" s="69" t="s">
        <v>346</v>
      </c>
      <c r="B757" s="85" t="s">
        <v>125</v>
      </c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6"/>
    </row>
    <row r="758" spans="1:20" x14ac:dyDescent="0.2">
      <c r="A758" s="70" t="s">
        <v>102</v>
      </c>
      <c r="B758" s="79" t="s">
        <v>181</v>
      </c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</row>
    <row r="759" spans="1:20" ht="50.1" customHeight="1" x14ac:dyDescent="0.2">
      <c r="A759" s="70"/>
      <c r="B759" s="100" t="s">
        <v>266</v>
      </c>
      <c r="C759" s="101"/>
      <c r="D759" s="101"/>
      <c r="E759" s="101"/>
      <c r="F759" s="101"/>
      <c r="G759" s="101"/>
      <c r="H759" s="102"/>
      <c r="I759" s="66" t="s">
        <v>267</v>
      </c>
      <c r="J759" s="66" t="s">
        <v>116</v>
      </c>
      <c r="K759" s="66" t="s">
        <v>40</v>
      </c>
      <c r="L759" s="66" t="s">
        <v>228</v>
      </c>
      <c r="M759" s="66" t="s">
        <v>126</v>
      </c>
      <c r="N759" s="66" t="s">
        <v>221</v>
      </c>
      <c r="O759" s="66" t="s">
        <v>126</v>
      </c>
      <c r="P759" s="103">
        <v>300201.23800000001</v>
      </c>
      <c r="Q759" s="66" t="s">
        <v>30</v>
      </c>
      <c r="R759" s="66" t="s">
        <v>35</v>
      </c>
      <c r="S759" s="66" t="s">
        <v>31</v>
      </c>
      <c r="T759" s="78" t="s">
        <v>438</v>
      </c>
    </row>
    <row r="760" spans="1:20" ht="12.75" customHeight="1" x14ac:dyDescent="0.2">
      <c r="A760" s="70"/>
      <c r="B760" s="14" t="s">
        <v>5</v>
      </c>
      <c r="C760" s="15">
        <f>SUM(D760:H760)</f>
        <v>170000</v>
      </c>
      <c r="D760" s="16">
        <f t="shared" ref="D760:F760" si="320">SUM(D761:D764)</f>
        <v>0</v>
      </c>
      <c r="E760" s="16">
        <f t="shared" si="320"/>
        <v>0</v>
      </c>
      <c r="F760" s="16">
        <f t="shared" si="320"/>
        <v>0</v>
      </c>
      <c r="G760" s="16">
        <f t="shared" ref="G760" si="321">SUM(G761:G764)</f>
        <v>70000</v>
      </c>
      <c r="H760" s="16">
        <f t="shared" ref="H760" si="322">SUM(H761:H764)</f>
        <v>100000</v>
      </c>
      <c r="I760" s="67"/>
      <c r="J760" s="67"/>
      <c r="K760" s="67"/>
      <c r="L760" s="67"/>
      <c r="M760" s="67"/>
      <c r="N760" s="67"/>
      <c r="O760" s="67"/>
      <c r="P760" s="104"/>
      <c r="Q760" s="67"/>
      <c r="R760" s="67"/>
      <c r="S760" s="67"/>
      <c r="T760" s="78"/>
    </row>
    <row r="761" spans="1:20" ht="12.75" customHeight="1" x14ac:dyDescent="0.2">
      <c r="A761" s="70"/>
      <c r="B761" s="14" t="s">
        <v>0</v>
      </c>
      <c r="C761" s="15">
        <f t="shared" ref="C761:C764" si="323">SUM(D761:H761)</f>
        <v>0</v>
      </c>
      <c r="D761" s="16"/>
      <c r="E761" s="16"/>
      <c r="F761" s="16"/>
      <c r="G761" s="16"/>
      <c r="H761" s="16"/>
      <c r="I761" s="67"/>
      <c r="J761" s="67"/>
      <c r="K761" s="67"/>
      <c r="L761" s="67"/>
      <c r="M761" s="67"/>
      <c r="N761" s="67"/>
      <c r="O761" s="67"/>
      <c r="P761" s="104"/>
      <c r="Q761" s="67"/>
      <c r="R761" s="67"/>
      <c r="S761" s="67"/>
      <c r="T761" s="78"/>
    </row>
    <row r="762" spans="1:20" ht="12.75" customHeight="1" x14ac:dyDescent="0.2">
      <c r="A762" s="70"/>
      <c r="B762" s="14" t="s">
        <v>1</v>
      </c>
      <c r="C762" s="15">
        <f t="shared" si="323"/>
        <v>170000</v>
      </c>
      <c r="D762" s="16">
        <v>0</v>
      </c>
      <c r="E762" s="16">
        <v>0</v>
      </c>
      <c r="F762" s="16">
        <v>0</v>
      </c>
      <c r="G762" s="16">
        <v>70000</v>
      </c>
      <c r="H762" s="16">
        <v>100000</v>
      </c>
      <c r="I762" s="67"/>
      <c r="J762" s="67"/>
      <c r="K762" s="67"/>
      <c r="L762" s="67"/>
      <c r="M762" s="67"/>
      <c r="N762" s="67"/>
      <c r="O762" s="67"/>
      <c r="P762" s="104"/>
      <c r="Q762" s="67"/>
      <c r="R762" s="67"/>
      <c r="S762" s="67"/>
      <c r="T762" s="78"/>
    </row>
    <row r="763" spans="1:20" ht="12.75" customHeight="1" x14ac:dyDescent="0.2">
      <c r="A763" s="70"/>
      <c r="B763" s="14" t="s">
        <v>2</v>
      </c>
      <c r="C763" s="15">
        <f t="shared" si="323"/>
        <v>0</v>
      </c>
      <c r="D763" s="16"/>
      <c r="E763" s="16"/>
      <c r="F763" s="16"/>
      <c r="G763" s="16"/>
      <c r="H763" s="16"/>
      <c r="I763" s="67"/>
      <c r="J763" s="67"/>
      <c r="K763" s="67"/>
      <c r="L763" s="67"/>
      <c r="M763" s="67"/>
      <c r="N763" s="67"/>
      <c r="O763" s="67"/>
      <c r="P763" s="104"/>
      <c r="Q763" s="67"/>
      <c r="R763" s="67"/>
      <c r="S763" s="67"/>
      <c r="T763" s="78"/>
    </row>
    <row r="764" spans="1:20" ht="12.75" customHeight="1" x14ac:dyDescent="0.2">
      <c r="A764" s="71"/>
      <c r="B764" s="14" t="s">
        <v>3</v>
      </c>
      <c r="C764" s="15">
        <f t="shared" si="323"/>
        <v>0</v>
      </c>
      <c r="D764" s="16"/>
      <c r="E764" s="16"/>
      <c r="F764" s="16"/>
      <c r="G764" s="16"/>
      <c r="H764" s="16"/>
      <c r="I764" s="68"/>
      <c r="J764" s="68"/>
      <c r="K764" s="68"/>
      <c r="L764" s="68"/>
      <c r="M764" s="68"/>
      <c r="N764" s="68"/>
      <c r="O764" s="68"/>
      <c r="P764" s="105"/>
      <c r="Q764" s="68"/>
      <c r="R764" s="68"/>
      <c r="S764" s="68"/>
      <c r="T764" s="78"/>
    </row>
    <row r="765" spans="1:20" x14ac:dyDescent="0.2">
      <c r="A765" s="69" t="s">
        <v>347</v>
      </c>
      <c r="B765" s="85" t="s">
        <v>125</v>
      </c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6"/>
    </row>
    <row r="766" spans="1:20" x14ac:dyDescent="0.2">
      <c r="A766" s="70" t="s">
        <v>102</v>
      </c>
      <c r="B766" s="79" t="s">
        <v>181</v>
      </c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</row>
    <row r="767" spans="1:20" ht="50.1" customHeight="1" x14ac:dyDescent="0.2">
      <c r="A767" s="70"/>
      <c r="B767" s="100" t="s">
        <v>268</v>
      </c>
      <c r="C767" s="101"/>
      <c r="D767" s="101"/>
      <c r="E767" s="101"/>
      <c r="F767" s="101"/>
      <c r="G767" s="101"/>
      <c r="H767" s="102"/>
      <c r="I767" s="66" t="s">
        <v>267</v>
      </c>
      <c r="J767" s="66" t="s">
        <v>116</v>
      </c>
      <c r="K767" s="66" t="s">
        <v>40</v>
      </c>
      <c r="L767" s="66" t="s">
        <v>228</v>
      </c>
      <c r="M767" s="66" t="s">
        <v>126</v>
      </c>
      <c r="N767" s="66" t="s">
        <v>221</v>
      </c>
      <c r="O767" s="66" t="s">
        <v>126</v>
      </c>
      <c r="P767" s="103">
        <v>4543901.5130000003</v>
      </c>
      <c r="Q767" s="66" t="s">
        <v>30</v>
      </c>
      <c r="R767" s="66" t="s">
        <v>35</v>
      </c>
      <c r="S767" s="66" t="s">
        <v>31</v>
      </c>
      <c r="T767" s="78" t="s">
        <v>439</v>
      </c>
    </row>
    <row r="768" spans="1:20" ht="12.75" customHeight="1" x14ac:dyDescent="0.2">
      <c r="A768" s="70"/>
      <c r="B768" s="14" t="s">
        <v>5</v>
      </c>
      <c r="C768" s="15">
        <f>SUM(D768:H768)</f>
        <v>300000</v>
      </c>
      <c r="D768" s="16">
        <f t="shared" ref="D768:F768" si="324">SUM(D769:D772)</f>
        <v>0</v>
      </c>
      <c r="E768" s="16">
        <f t="shared" si="324"/>
        <v>0</v>
      </c>
      <c r="F768" s="16">
        <f t="shared" si="324"/>
        <v>0</v>
      </c>
      <c r="G768" s="16">
        <f t="shared" ref="G768" si="325">SUM(G769:G772)</f>
        <v>150000</v>
      </c>
      <c r="H768" s="16">
        <f t="shared" ref="H768" si="326">SUM(H769:H772)</f>
        <v>150000</v>
      </c>
      <c r="I768" s="67"/>
      <c r="J768" s="67"/>
      <c r="K768" s="67"/>
      <c r="L768" s="67"/>
      <c r="M768" s="67"/>
      <c r="N768" s="67"/>
      <c r="O768" s="67"/>
      <c r="P768" s="104"/>
      <c r="Q768" s="67"/>
      <c r="R768" s="67"/>
      <c r="S768" s="67"/>
      <c r="T768" s="78"/>
    </row>
    <row r="769" spans="1:20" ht="12.75" customHeight="1" x14ac:dyDescent="0.2">
      <c r="A769" s="70"/>
      <c r="B769" s="14" t="s">
        <v>0</v>
      </c>
      <c r="C769" s="15">
        <f t="shared" ref="C769:C772" si="327">SUM(D769:H769)</f>
        <v>0</v>
      </c>
      <c r="D769" s="16"/>
      <c r="E769" s="16"/>
      <c r="F769" s="16"/>
      <c r="G769" s="16"/>
      <c r="H769" s="16"/>
      <c r="I769" s="67"/>
      <c r="J769" s="67"/>
      <c r="K769" s="67"/>
      <c r="L769" s="67"/>
      <c r="M769" s="67"/>
      <c r="N769" s="67"/>
      <c r="O769" s="67"/>
      <c r="P769" s="104"/>
      <c r="Q769" s="67"/>
      <c r="R769" s="67"/>
      <c r="S769" s="67"/>
      <c r="T769" s="78"/>
    </row>
    <row r="770" spans="1:20" ht="12.75" customHeight="1" x14ac:dyDescent="0.2">
      <c r="A770" s="70"/>
      <c r="B770" s="14" t="s">
        <v>1</v>
      </c>
      <c r="C770" s="15">
        <f t="shared" si="327"/>
        <v>300000</v>
      </c>
      <c r="D770" s="16">
        <v>0</v>
      </c>
      <c r="E770" s="16">
        <v>0</v>
      </c>
      <c r="F770" s="16">
        <v>0</v>
      </c>
      <c r="G770" s="16">
        <v>150000</v>
      </c>
      <c r="H770" s="16">
        <v>150000</v>
      </c>
      <c r="I770" s="67"/>
      <c r="J770" s="67"/>
      <c r="K770" s="67"/>
      <c r="L770" s="67"/>
      <c r="M770" s="67"/>
      <c r="N770" s="67"/>
      <c r="O770" s="67"/>
      <c r="P770" s="104"/>
      <c r="Q770" s="67"/>
      <c r="R770" s="67"/>
      <c r="S770" s="67"/>
      <c r="T770" s="78"/>
    </row>
    <row r="771" spans="1:20" ht="12.75" customHeight="1" x14ac:dyDescent="0.2">
      <c r="A771" s="70"/>
      <c r="B771" s="14" t="s">
        <v>2</v>
      </c>
      <c r="C771" s="15">
        <f t="shared" si="327"/>
        <v>0</v>
      </c>
      <c r="D771" s="16"/>
      <c r="E771" s="16"/>
      <c r="F771" s="16"/>
      <c r="G771" s="16"/>
      <c r="H771" s="16"/>
      <c r="I771" s="67"/>
      <c r="J771" s="67"/>
      <c r="K771" s="67"/>
      <c r="L771" s="67"/>
      <c r="M771" s="67"/>
      <c r="N771" s="67"/>
      <c r="O771" s="67"/>
      <c r="P771" s="104"/>
      <c r="Q771" s="67"/>
      <c r="R771" s="67"/>
      <c r="S771" s="67"/>
      <c r="T771" s="78"/>
    </row>
    <row r="772" spans="1:20" ht="12.75" customHeight="1" x14ac:dyDescent="0.2">
      <c r="A772" s="71"/>
      <c r="B772" s="14" t="s">
        <v>3</v>
      </c>
      <c r="C772" s="15">
        <f t="shared" si="327"/>
        <v>0</v>
      </c>
      <c r="D772" s="16"/>
      <c r="E772" s="16"/>
      <c r="F772" s="16"/>
      <c r="G772" s="16"/>
      <c r="H772" s="16"/>
      <c r="I772" s="68"/>
      <c r="J772" s="68"/>
      <c r="K772" s="68"/>
      <c r="L772" s="68"/>
      <c r="M772" s="68"/>
      <c r="N772" s="68"/>
      <c r="O772" s="68"/>
      <c r="P772" s="105"/>
      <c r="Q772" s="68"/>
      <c r="R772" s="68"/>
      <c r="S772" s="68"/>
      <c r="T772" s="78"/>
    </row>
    <row r="773" spans="1:20" x14ac:dyDescent="0.2">
      <c r="A773" s="69" t="s">
        <v>348</v>
      </c>
      <c r="B773" s="85" t="s">
        <v>125</v>
      </c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6"/>
    </row>
    <row r="774" spans="1:20" x14ac:dyDescent="0.2">
      <c r="A774" s="70" t="s">
        <v>102</v>
      </c>
      <c r="B774" s="79" t="s">
        <v>181</v>
      </c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</row>
    <row r="775" spans="1:20" ht="50.1" customHeight="1" x14ac:dyDescent="0.2">
      <c r="A775" s="70"/>
      <c r="B775" s="100" t="s">
        <v>377</v>
      </c>
      <c r="C775" s="101"/>
      <c r="D775" s="101"/>
      <c r="E775" s="101"/>
      <c r="F775" s="101"/>
      <c r="G775" s="101"/>
      <c r="H775" s="102"/>
      <c r="I775" s="66" t="s">
        <v>244</v>
      </c>
      <c r="J775" s="66"/>
      <c r="K775" s="66" t="s">
        <v>40</v>
      </c>
      <c r="L775" s="66" t="s">
        <v>245</v>
      </c>
      <c r="M775" s="66" t="s">
        <v>126</v>
      </c>
      <c r="N775" s="66" t="s">
        <v>221</v>
      </c>
      <c r="O775" s="66" t="s">
        <v>126</v>
      </c>
      <c r="P775" s="103">
        <v>1600204.1270000001</v>
      </c>
      <c r="Q775" s="66" t="s">
        <v>30</v>
      </c>
      <c r="R775" s="66" t="s">
        <v>48</v>
      </c>
      <c r="S775" s="66" t="s">
        <v>31</v>
      </c>
      <c r="T775" s="78" t="s">
        <v>246</v>
      </c>
    </row>
    <row r="776" spans="1:20" ht="12.75" customHeight="1" x14ac:dyDescent="0.2">
      <c r="A776" s="70"/>
      <c r="B776" s="14" t="s">
        <v>5</v>
      </c>
      <c r="C776" s="15">
        <f>SUM(D776:H776)</f>
        <v>1000000</v>
      </c>
      <c r="D776" s="16">
        <f t="shared" ref="D776:F776" si="328">SUM(D777:D780)</f>
        <v>0</v>
      </c>
      <c r="E776" s="16">
        <f t="shared" si="328"/>
        <v>0</v>
      </c>
      <c r="F776" s="16">
        <f t="shared" si="328"/>
        <v>0</v>
      </c>
      <c r="G776" s="16">
        <f t="shared" ref="G776" si="329">SUM(G777:G780)</f>
        <v>500000</v>
      </c>
      <c r="H776" s="16">
        <f t="shared" ref="H776" si="330">SUM(H777:H780)</f>
        <v>500000</v>
      </c>
      <c r="I776" s="67"/>
      <c r="J776" s="67"/>
      <c r="K776" s="67"/>
      <c r="L776" s="67"/>
      <c r="M776" s="67"/>
      <c r="N776" s="67"/>
      <c r="O776" s="67"/>
      <c r="P776" s="104"/>
      <c r="Q776" s="67"/>
      <c r="R776" s="67"/>
      <c r="S776" s="67"/>
      <c r="T776" s="78"/>
    </row>
    <row r="777" spans="1:20" ht="12.75" customHeight="1" x14ac:dyDescent="0.2">
      <c r="A777" s="70"/>
      <c r="B777" s="14" t="s">
        <v>0</v>
      </c>
      <c r="C777" s="15">
        <f t="shared" ref="C777:C780" si="331">SUM(D777:H777)</f>
        <v>0</v>
      </c>
      <c r="D777" s="16"/>
      <c r="E777" s="16"/>
      <c r="F777" s="16"/>
      <c r="G777" s="16"/>
      <c r="H777" s="16"/>
      <c r="I777" s="67"/>
      <c r="J777" s="67"/>
      <c r="K777" s="67"/>
      <c r="L777" s="67"/>
      <c r="M777" s="67"/>
      <c r="N777" s="67"/>
      <c r="O777" s="67"/>
      <c r="P777" s="104"/>
      <c r="Q777" s="67"/>
      <c r="R777" s="67"/>
      <c r="S777" s="67"/>
      <c r="T777" s="78"/>
    </row>
    <row r="778" spans="1:20" ht="12.75" customHeight="1" x14ac:dyDescent="0.2">
      <c r="A778" s="70"/>
      <c r="B778" s="14" t="s">
        <v>1</v>
      </c>
      <c r="C778" s="15">
        <f t="shared" si="331"/>
        <v>1000000</v>
      </c>
      <c r="D778" s="16">
        <v>0</v>
      </c>
      <c r="E778" s="16">
        <v>0</v>
      </c>
      <c r="F778" s="16">
        <v>0</v>
      </c>
      <c r="G778" s="16">
        <v>500000</v>
      </c>
      <c r="H778" s="16">
        <v>500000</v>
      </c>
      <c r="I778" s="67"/>
      <c r="J778" s="67"/>
      <c r="K778" s="67"/>
      <c r="L778" s="67"/>
      <c r="M778" s="67"/>
      <c r="N778" s="67"/>
      <c r="O778" s="67"/>
      <c r="P778" s="104"/>
      <c r="Q778" s="67"/>
      <c r="R778" s="67"/>
      <c r="S778" s="67"/>
      <c r="T778" s="78"/>
    </row>
    <row r="779" spans="1:20" ht="12.75" customHeight="1" x14ac:dyDescent="0.2">
      <c r="A779" s="70"/>
      <c r="B779" s="14" t="s">
        <v>2</v>
      </c>
      <c r="C779" s="15">
        <f t="shared" si="331"/>
        <v>0</v>
      </c>
      <c r="D779" s="16"/>
      <c r="E779" s="16"/>
      <c r="F779" s="16"/>
      <c r="G779" s="16"/>
      <c r="H779" s="16"/>
      <c r="I779" s="67"/>
      <c r="J779" s="67"/>
      <c r="K779" s="67"/>
      <c r="L779" s="67"/>
      <c r="M779" s="67"/>
      <c r="N779" s="67"/>
      <c r="O779" s="67"/>
      <c r="P779" s="104"/>
      <c r="Q779" s="67"/>
      <c r="R779" s="67"/>
      <c r="S779" s="67"/>
      <c r="T779" s="78"/>
    </row>
    <row r="780" spans="1:20" ht="12.75" customHeight="1" x14ac:dyDescent="0.2">
      <c r="A780" s="71"/>
      <c r="B780" s="14" t="s">
        <v>3</v>
      </c>
      <c r="C780" s="15">
        <f t="shared" si="331"/>
        <v>0</v>
      </c>
      <c r="D780" s="16"/>
      <c r="E780" s="16"/>
      <c r="F780" s="16"/>
      <c r="G780" s="16"/>
      <c r="H780" s="16"/>
      <c r="I780" s="68"/>
      <c r="J780" s="68"/>
      <c r="K780" s="68"/>
      <c r="L780" s="68"/>
      <c r="M780" s="68"/>
      <c r="N780" s="68"/>
      <c r="O780" s="68"/>
      <c r="P780" s="105"/>
      <c r="Q780" s="68"/>
      <c r="R780" s="68"/>
      <c r="S780" s="68"/>
      <c r="T780" s="78"/>
    </row>
    <row r="781" spans="1:20" ht="12.75" customHeight="1" x14ac:dyDescent="0.2">
      <c r="A781" s="69" t="s">
        <v>370</v>
      </c>
      <c r="B781" s="85" t="s">
        <v>125</v>
      </c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6"/>
    </row>
    <row r="782" spans="1:20" ht="12.75" customHeight="1" x14ac:dyDescent="0.2">
      <c r="A782" s="70" t="s">
        <v>102</v>
      </c>
      <c r="B782" s="138" t="s">
        <v>181</v>
      </c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ht="50.1" customHeight="1" x14ac:dyDescent="0.2">
      <c r="A783" s="70"/>
      <c r="B783" s="100" t="s">
        <v>496</v>
      </c>
      <c r="C783" s="101"/>
      <c r="D783" s="101"/>
      <c r="E783" s="101"/>
      <c r="F783" s="101"/>
      <c r="G783" s="101"/>
      <c r="H783" s="102"/>
      <c r="I783" s="66" t="s">
        <v>443</v>
      </c>
      <c r="J783" s="66" t="s">
        <v>116</v>
      </c>
      <c r="K783" s="66" t="s">
        <v>40</v>
      </c>
      <c r="L783" s="66" t="s">
        <v>532</v>
      </c>
      <c r="M783" s="66" t="s">
        <v>126</v>
      </c>
      <c r="N783" s="66" t="s">
        <v>221</v>
      </c>
      <c r="O783" s="66" t="s">
        <v>126</v>
      </c>
      <c r="P783" s="103" t="s">
        <v>533</v>
      </c>
      <c r="Q783" s="66" t="s">
        <v>30</v>
      </c>
      <c r="R783" s="66" t="s">
        <v>34</v>
      </c>
      <c r="S783" s="66" t="s">
        <v>32</v>
      </c>
      <c r="T783" s="78" t="s">
        <v>534</v>
      </c>
    </row>
    <row r="784" spans="1:20" ht="12.75" customHeight="1" x14ac:dyDescent="0.2">
      <c r="A784" s="70"/>
      <c r="B784" s="14" t="s">
        <v>5</v>
      </c>
      <c r="C784" s="15">
        <f>SUM(D784:H784)</f>
        <v>189552.674</v>
      </c>
      <c r="D784" s="16">
        <f t="shared" ref="D784:H784" si="332">SUM(D785:D788)</f>
        <v>189552.674</v>
      </c>
      <c r="E784" s="16">
        <f t="shared" si="332"/>
        <v>0</v>
      </c>
      <c r="F784" s="16">
        <f t="shared" si="332"/>
        <v>0</v>
      </c>
      <c r="G784" s="16">
        <f t="shared" si="332"/>
        <v>0</v>
      </c>
      <c r="H784" s="16">
        <f t="shared" si="332"/>
        <v>0</v>
      </c>
      <c r="I784" s="67"/>
      <c r="J784" s="67"/>
      <c r="K784" s="67"/>
      <c r="L784" s="67"/>
      <c r="M784" s="67"/>
      <c r="N784" s="67"/>
      <c r="O784" s="67"/>
      <c r="P784" s="104"/>
      <c r="Q784" s="67"/>
      <c r="R784" s="67"/>
      <c r="S784" s="67"/>
      <c r="T784" s="78"/>
    </row>
    <row r="785" spans="1:20" ht="12.75" customHeight="1" x14ac:dyDescent="0.2">
      <c r="A785" s="70"/>
      <c r="B785" s="14" t="s">
        <v>0</v>
      </c>
      <c r="C785" s="15">
        <f t="shared" ref="C785:C788" si="333">SUM(D785:H785)</f>
        <v>0</v>
      </c>
      <c r="D785" s="16"/>
      <c r="E785" s="16"/>
      <c r="F785" s="16"/>
      <c r="G785" s="16"/>
      <c r="H785" s="16"/>
      <c r="I785" s="67"/>
      <c r="J785" s="67"/>
      <c r="K785" s="67"/>
      <c r="L785" s="67"/>
      <c r="M785" s="67"/>
      <c r="N785" s="67"/>
      <c r="O785" s="67"/>
      <c r="P785" s="104"/>
      <c r="Q785" s="67"/>
      <c r="R785" s="67"/>
      <c r="S785" s="67"/>
      <c r="T785" s="78"/>
    </row>
    <row r="786" spans="1:20" ht="12.75" customHeight="1" x14ac:dyDescent="0.2">
      <c r="A786" s="70"/>
      <c r="B786" s="14" t="s">
        <v>1</v>
      </c>
      <c r="C786" s="15">
        <f t="shared" si="333"/>
        <v>189552.674</v>
      </c>
      <c r="D786" s="16">
        <f>0+190672.58712-1119.91312</f>
        <v>189552.674</v>
      </c>
      <c r="E786" s="16"/>
      <c r="F786" s="16"/>
      <c r="G786" s="16"/>
      <c r="H786" s="16"/>
      <c r="I786" s="67"/>
      <c r="J786" s="67"/>
      <c r="K786" s="67"/>
      <c r="L786" s="67"/>
      <c r="M786" s="67"/>
      <c r="N786" s="67"/>
      <c r="O786" s="67"/>
      <c r="P786" s="104"/>
      <c r="Q786" s="67"/>
      <c r="R786" s="67"/>
      <c r="S786" s="67"/>
      <c r="T786" s="78"/>
    </row>
    <row r="787" spans="1:20" ht="12.75" customHeight="1" x14ac:dyDescent="0.2">
      <c r="A787" s="70"/>
      <c r="B787" s="14" t="s">
        <v>2</v>
      </c>
      <c r="C787" s="15">
        <f t="shared" si="333"/>
        <v>0</v>
      </c>
      <c r="D787" s="16"/>
      <c r="E787" s="16"/>
      <c r="F787" s="16"/>
      <c r="G787" s="16"/>
      <c r="H787" s="16"/>
      <c r="I787" s="67"/>
      <c r="J787" s="67"/>
      <c r="K787" s="67"/>
      <c r="L787" s="67"/>
      <c r="M787" s="67"/>
      <c r="N787" s="67"/>
      <c r="O787" s="67"/>
      <c r="P787" s="104"/>
      <c r="Q787" s="67"/>
      <c r="R787" s="67"/>
      <c r="S787" s="67"/>
      <c r="T787" s="78"/>
    </row>
    <row r="788" spans="1:20" ht="12.75" customHeight="1" x14ac:dyDescent="0.2">
      <c r="A788" s="71"/>
      <c r="B788" s="14" t="s">
        <v>3</v>
      </c>
      <c r="C788" s="15">
        <f t="shared" si="333"/>
        <v>0</v>
      </c>
      <c r="D788" s="16"/>
      <c r="E788" s="16"/>
      <c r="F788" s="16"/>
      <c r="G788" s="16"/>
      <c r="H788" s="16"/>
      <c r="I788" s="68"/>
      <c r="J788" s="68"/>
      <c r="K788" s="68"/>
      <c r="L788" s="68"/>
      <c r="M788" s="68"/>
      <c r="N788" s="68"/>
      <c r="O788" s="68"/>
      <c r="P788" s="105"/>
      <c r="Q788" s="68"/>
      <c r="R788" s="68"/>
      <c r="S788" s="68"/>
      <c r="T788" s="78"/>
    </row>
    <row r="789" spans="1:20" ht="12.75" customHeight="1" x14ac:dyDescent="0.2">
      <c r="A789" s="69" t="s">
        <v>371</v>
      </c>
      <c r="B789" s="85" t="s">
        <v>125</v>
      </c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6"/>
    </row>
    <row r="790" spans="1:20" x14ac:dyDescent="0.2">
      <c r="A790" s="70" t="s">
        <v>102</v>
      </c>
      <c r="B790" s="138" t="s">
        <v>181</v>
      </c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ht="50.1" customHeight="1" x14ac:dyDescent="0.2">
      <c r="A791" s="70"/>
      <c r="B791" s="100" t="s">
        <v>412</v>
      </c>
      <c r="C791" s="101"/>
      <c r="D791" s="101"/>
      <c r="E791" s="101"/>
      <c r="F791" s="101"/>
      <c r="G791" s="101"/>
      <c r="H791" s="102"/>
      <c r="I791" s="66" t="s">
        <v>254</v>
      </c>
      <c r="J791" s="66" t="s">
        <v>22</v>
      </c>
      <c r="K791" s="66" t="s">
        <v>40</v>
      </c>
      <c r="L791" s="66" t="s">
        <v>255</v>
      </c>
      <c r="M791" s="66" t="s">
        <v>126</v>
      </c>
      <c r="N791" s="66" t="s">
        <v>221</v>
      </c>
      <c r="O791" s="66" t="s">
        <v>126</v>
      </c>
      <c r="P791" s="103" t="s">
        <v>256</v>
      </c>
      <c r="Q791" s="66" t="s">
        <v>30</v>
      </c>
      <c r="R791" s="66" t="s">
        <v>34</v>
      </c>
      <c r="S791" s="66" t="s">
        <v>25</v>
      </c>
      <c r="T791" s="78"/>
    </row>
    <row r="792" spans="1:20" ht="12.75" customHeight="1" x14ac:dyDescent="0.2">
      <c r="A792" s="70"/>
      <c r="B792" s="14" t="s">
        <v>5</v>
      </c>
      <c r="C792" s="15">
        <f>SUM(D792:H792)</f>
        <v>780020.19900000002</v>
      </c>
      <c r="D792" s="16">
        <f t="shared" ref="D792:F792" si="334">SUM(D793:D796)</f>
        <v>0</v>
      </c>
      <c r="E792" s="16">
        <f t="shared" si="334"/>
        <v>0</v>
      </c>
      <c r="F792" s="16">
        <f t="shared" si="334"/>
        <v>0</v>
      </c>
      <c r="G792" s="16">
        <f t="shared" ref="G792" si="335">SUM(G793:G796)</f>
        <v>350000</v>
      </c>
      <c r="H792" s="16">
        <f t="shared" ref="H792" si="336">SUM(H793:H796)</f>
        <v>430020.19900000002</v>
      </c>
      <c r="I792" s="67"/>
      <c r="J792" s="67"/>
      <c r="K792" s="67"/>
      <c r="L792" s="67"/>
      <c r="M792" s="67"/>
      <c r="N792" s="67"/>
      <c r="O792" s="67"/>
      <c r="P792" s="104"/>
      <c r="Q792" s="67"/>
      <c r="R792" s="67"/>
      <c r="S792" s="67"/>
      <c r="T792" s="78"/>
    </row>
    <row r="793" spans="1:20" ht="12.75" customHeight="1" x14ac:dyDescent="0.2">
      <c r="A793" s="70"/>
      <c r="B793" s="14" t="s">
        <v>0</v>
      </c>
      <c r="C793" s="15">
        <f t="shared" ref="C793:C796" si="337">SUM(D793:H793)</f>
        <v>0</v>
      </c>
      <c r="D793" s="16"/>
      <c r="E793" s="16"/>
      <c r="F793" s="16"/>
      <c r="G793" s="16"/>
      <c r="H793" s="16"/>
      <c r="I793" s="67"/>
      <c r="J793" s="67"/>
      <c r="K793" s="67"/>
      <c r="L793" s="67"/>
      <c r="M793" s="67"/>
      <c r="N793" s="67"/>
      <c r="O793" s="67"/>
      <c r="P793" s="104"/>
      <c r="Q793" s="67"/>
      <c r="R793" s="67"/>
      <c r="S793" s="67"/>
      <c r="T793" s="78"/>
    </row>
    <row r="794" spans="1:20" ht="12.75" customHeight="1" x14ac:dyDescent="0.2">
      <c r="A794" s="70"/>
      <c r="B794" s="14" t="s">
        <v>1</v>
      </c>
      <c r="C794" s="15">
        <f t="shared" si="337"/>
        <v>780020.19900000002</v>
      </c>
      <c r="D794" s="16">
        <v>0</v>
      </c>
      <c r="E794" s="16">
        <v>0</v>
      </c>
      <c r="F794" s="16">
        <v>0</v>
      </c>
      <c r="G794" s="16">
        <v>350000</v>
      </c>
      <c r="H794" s="16">
        <v>430020.19900000002</v>
      </c>
      <c r="I794" s="67"/>
      <c r="J794" s="67"/>
      <c r="K794" s="67"/>
      <c r="L794" s="67"/>
      <c r="M794" s="67"/>
      <c r="N794" s="67"/>
      <c r="O794" s="67"/>
      <c r="P794" s="104"/>
      <c r="Q794" s="67"/>
      <c r="R794" s="67"/>
      <c r="S794" s="67"/>
      <c r="T794" s="78"/>
    </row>
    <row r="795" spans="1:20" ht="12.75" customHeight="1" x14ac:dyDescent="0.2">
      <c r="A795" s="70"/>
      <c r="B795" s="14" t="s">
        <v>2</v>
      </c>
      <c r="C795" s="15">
        <f t="shared" si="337"/>
        <v>0</v>
      </c>
      <c r="D795" s="16"/>
      <c r="E795" s="16"/>
      <c r="F795" s="16"/>
      <c r="G795" s="16"/>
      <c r="H795" s="16"/>
      <c r="I795" s="67"/>
      <c r="J795" s="67"/>
      <c r="K795" s="67"/>
      <c r="L795" s="67"/>
      <c r="M795" s="67"/>
      <c r="N795" s="67"/>
      <c r="O795" s="67"/>
      <c r="P795" s="104"/>
      <c r="Q795" s="67"/>
      <c r="R795" s="67"/>
      <c r="S795" s="67"/>
      <c r="T795" s="78"/>
    </row>
    <row r="796" spans="1:20" ht="12.75" customHeight="1" x14ac:dyDescent="0.2">
      <c r="A796" s="71"/>
      <c r="B796" s="14" t="s">
        <v>3</v>
      </c>
      <c r="C796" s="15">
        <f t="shared" si="337"/>
        <v>0</v>
      </c>
      <c r="D796" s="16"/>
      <c r="E796" s="16"/>
      <c r="F796" s="16"/>
      <c r="G796" s="16"/>
      <c r="H796" s="16"/>
      <c r="I796" s="68"/>
      <c r="J796" s="68"/>
      <c r="K796" s="68"/>
      <c r="L796" s="68"/>
      <c r="M796" s="68"/>
      <c r="N796" s="68"/>
      <c r="O796" s="68"/>
      <c r="P796" s="105"/>
      <c r="Q796" s="68"/>
      <c r="R796" s="68"/>
      <c r="S796" s="68"/>
      <c r="T796" s="78"/>
    </row>
    <row r="797" spans="1:20" ht="12.75" customHeight="1" x14ac:dyDescent="0.2">
      <c r="A797" s="69" t="s">
        <v>477</v>
      </c>
      <c r="B797" s="85" t="s">
        <v>125</v>
      </c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6"/>
    </row>
    <row r="798" spans="1:20" x14ac:dyDescent="0.2">
      <c r="A798" s="70" t="s">
        <v>102</v>
      </c>
      <c r="B798" s="138" t="s">
        <v>181</v>
      </c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ht="50.1" customHeight="1" x14ac:dyDescent="0.2">
      <c r="A799" s="70"/>
      <c r="B799" s="100" t="s">
        <v>257</v>
      </c>
      <c r="C799" s="101"/>
      <c r="D799" s="101"/>
      <c r="E799" s="101"/>
      <c r="F799" s="101"/>
      <c r="G799" s="101"/>
      <c r="H799" s="102"/>
      <c r="I799" s="66" t="s">
        <v>258</v>
      </c>
      <c r="J799" s="66" t="s">
        <v>21</v>
      </c>
      <c r="K799" s="66" t="s">
        <v>40</v>
      </c>
      <c r="L799" s="66" t="s">
        <v>255</v>
      </c>
      <c r="M799" s="66" t="s">
        <v>126</v>
      </c>
      <c r="N799" s="66" t="s">
        <v>221</v>
      </c>
      <c r="O799" s="66" t="s">
        <v>126</v>
      </c>
      <c r="P799" s="103" t="s">
        <v>259</v>
      </c>
      <c r="Q799" s="66" t="s">
        <v>30</v>
      </c>
      <c r="R799" s="66" t="s">
        <v>34</v>
      </c>
      <c r="S799" s="66" t="s">
        <v>25</v>
      </c>
      <c r="T799" s="78"/>
    </row>
    <row r="800" spans="1:20" ht="12.75" customHeight="1" x14ac:dyDescent="0.2">
      <c r="A800" s="70"/>
      <c r="B800" s="14" t="s">
        <v>5</v>
      </c>
      <c r="C800" s="15">
        <f>SUM(D800:H800)</f>
        <v>350000</v>
      </c>
      <c r="D800" s="16">
        <f t="shared" ref="D800:F800" si="338">SUM(D801:D804)</f>
        <v>0</v>
      </c>
      <c r="E800" s="16">
        <f t="shared" si="338"/>
        <v>0</v>
      </c>
      <c r="F800" s="16">
        <f t="shared" si="338"/>
        <v>0</v>
      </c>
      <c r="G800" s="16">
        <f t="shared" ref="G800" si="339">SUM(G801:G804)</f>
        <v>0</v>
      </c>
      <c r="H800" s="16">
        <f t="shared" ref="H800" si="340">SUM(H801:H804)</f>
        <v>350000</v>
      </c>
      <c r="I800" s="67"/>
      <c r="J800" s="67"/>
      <c r="K800" s="67"/>
      <c r="L800" s="67"/>
      <c r="M800" s="67"/>
      <c r="N800" s="67"/>
      <c r="O800" s="67"/>
      <c r="P800" s="104"/>
      <c r="Q800" s="67"/>
      <c r="R800" s="67"/>
      <c r="S800" s="67"/>
      <c r="T800" s="78"/>
    </row>
    <row r="801" spans="1:20" ht="12.75" customHeight="1" x14ac:dyDescent="0.2">
      <c r="A801" s="70"/>
      <c r="B801" s="14" t="s">
        <v>0</v>
      </c>
      <c r="C801" s="15">
        <f t="shared" ref="C801:C804" si="341">SUM(D801:H801)</f>
        <v>0</v>
      </c>
      <c r="D801" s="16"/>
      <c r="E801" s="16"/>
      <c r="F801" s="16"/>
      <c r="G801" s="16"/>
      <c r="H801" s="16"/>
      <c r="I801" s="67"/>
      <c r="J801" s="67"/>
      <c r="K801" s="67"/>
      <c r="L801" s="67"/>
      <c r="M801" s="67"/>
      <c r="N801" s="67"/>
      <c r="O801" s="67"/>
      <c r="P801" s="104"/>
      <c r="Q801" s="67"/>
      <c r="R801" s="67"/>
      <c r="S801" s="67"/>
      <c r="T801" s="78"/>
    </row>
    <row r="802" spans="1:20" ht="12.75" customHeight="1" x14ac:dyDescent="0.2">
      <c r="A802" s="70"/>
      <c r="B802" s="14" t="s">
        <v>1</v>
      </c>
      <c r="C802" s="15">
        <f t="shared" si="341"/>
        <v>350000</v>
      </c>
      <c r="D802" s="16">
        <v>0</v>
      </c>
      <c r="E802" s="16">
        <v>0</v>
      </c>
      <c r="F802" s="16">
        <v>0</v>
      </c>
      <c r="G802" s="16">
        <v>0</v>
      </c>
      <c r="H802" s="16">
        <v>350000</v>
      </c>
      <c r="I802" s="67"/>
      <c r="J802" s="67"/>
      <c r="K802" s="67"/>
      <c r="L802" s="67"/>
      <c r="M802" s="67"/>
      <c r="N802" s="67"/>
      <c r="O802" s="67"/>
      <c r="P802" s="104"/>
      <c r="Q802" s="67"/>
      <c r="R802" s="67"/>
      <c r="S802" s="67"/>
      <c r="T802" s="78"/>
    </row>
    <row r="803" spans="1:20" ht="12.75" customHeight="1" x14ac:dyDescent="0.2">
      <c r="A803" s="70"/>
      <c r="B803" s="14" t="s">
        <v>2</v>
      </c>
      <c r="C803" s="15">
        <f t="shared" si="341"/>
        <v>0</v>
      </c>
      <c r="D803" s="16"/>
      <c r="E803" s="16"/>
      <c r="F803" s="16"/>
      <c r="G803" s="16"/>
      <c r="H803" s="16"/>
      <c r="I803" s="67"/>
      <c r="J803" s="67"/>
      <c r="K803" s="67"/>
      <c r="L803" s="67"/>
      <c r="M803" s="67"/>
      <c r="N803" s="67"/>
      <c r="O803" s="67"/>
      <c r="P803" s="104"/>
      <c r="Q803" s="67"/>
      <c r="R803" s="67"/>
      <c r="S803" s="67"/>
      <c r="T803" s="78"/>
    </row>
    <row r="804" spans="1:20" ht="12.75" customHeight="1" x14ac:dyDescent="0.2">
      <c r="A804" s="71"/>
      <c r="B804" s="14" t="s">
        <v>3</v>
      </c>
      <c r="C804" s="15">
        <f t="shared" si="341"/>
        <v>0</v>
      </c>
      <c r="D804" s="16"/>
      <c r="E804" s="16"/>
      <c r="F804" s="16"/>
      <c r="G804" s="16"/>
      <c r="H804" s="16"/>
      <c r="I804" s="68"/>
      <c r="J804" s="68"/>
      <c r="K804" s="68"/>
      <c r="L804" s="68"/>
      <c r="M804" s="68"/>
      <c r="N804" s="68"/>
      <c r="O804" s="68"/>
      <c r="P804" s="105"/>
      <c r="Q804" s="68"/>
      <c r="R804" s="68"/>
      <c r="S804" s="68"/>
      <c r="T804" s="78"/>
    </row>
    <row r="805" spans="1:20" ht="12.75" customHeight="1" x14ac:dyDescent="0.2">
      <c r="A805" s="69" t="s">
        <v>483</v>
      </c>
      <c r="B805" s="85" t="s">
        <v>125</v>
      </c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6"/>
    </row>
    <row r="806" spans="1:20" x14ac:dyDescent="0.2">
      <c r="A806" s="70" t="s">
        <v>102</v>
      </c>
      <c r="B806" s="79" t="s">
        <v>181</v>
      </c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</row>
    <row r="807" spans="1:20" ht="50.1" customHeight="1" x14ac:dyDescent="0.2">
      <c r="A807" s="70"/>
      <c r="B807" s="100" t="s">
        <v>260</v>
      </c>
      <c r="C807" s="101"/>
      <c r="D807" s="101"/>
      <c r="E807" s="101"/>
      <c r="F807" s="101"/>
      <c r="G807" s="101"/>
      <c r="H807" s="102"/>
      <c r="I807" s="66" t="s">
        <v>261</v>
      </c>
      <c r="J807" s="66" t="s">
        <v>21</v>
      </c>
      <c r="K807" s="66" t="s">
        <v>40</v>
      </c>
      <c r="L807" s="66" t="s">
        <v>224</v>
      </c>
      <c r="M807" s="66" t="s">
        <v>126</v>
      </c>
      <c r="N807" s="66" t="s">
        <v>221</v>
      </c>
      <c r="O807" s="66" t="s">
        <v>126</v>
      </c>
      <c r="P807" s="103" t="s">
        <v>262</v>
      </c>
      <c r="Q807" s="66" t="s">
        <v>30</v>
      </c>
      <c r="R807" s="66" t="s">
        <v>34</v>
      </c>
      <c r="S807" s="66" t="s">
        <v>25</v>
      </c>
      <c r="T807" s="78"/>
    </row>
    <row r="808" spans="1:20" ht="12.75" customHeight="1" x14ac:dyDescent="0.2">
      <c r="A808" s="70"/>
      <c r="B808" s="14" t="s">
        <v>5</v>
      </c>
      <c r="C808" s="15">
        <f>SUM(D808:H808)</f>
        <v>358273.696</v>
      </c>
      <c r="D808" s="16">
        <f t="shared" ref="D808:F808" si="342">SUM(D809:D812)</f>
        <v>0</v>
      </c>
      <c r="E808" s="16">
        <f t="shared" si="342"/>
        <v>0</v>
      </c>
      <c r="F808" s="16">
        <f t="shared" si="342"/>
        <v>0</v>
      </c>
      <c r="G808" s="16">
        <f t="shared" ref="G808" si="343">SUM(G809:G812)</f>
        <v>8273.6959999999999</v>
      </c>
      <c r="H808" s="16">
        <f t="shared" ref="H808" si="344">SUM(H809:H812)</f>
        <v>350000</v>
      </c>
      <c r="I808" s="67"/>
      <c r="J808" s="67"/>
      <c r="K808" s="67"/>
      <c r="L808" s="67"/>
      <c r="M808" s="67"/>
      <c r="N808" s="67"/>
      <c r="O808" s="67"/>
      <c r="P808" s="104"/>
      <c r="Q808" s="67"/>
      <c r="R808" s="67"/>
      <c r="S808" s="67"/>
      <c r="T808" s="78"/>
    </row>
    <row r="809" spans="1:20" ht="12.75" customHeight="1" x14ac:dyDescent="0.2">
      <c r="A809" s="70"/>
      <c r="B809" s="14" t="s">
        <v>0</v>
      </c>
      <c r="C809" s="15">
        <f t="shared" ref="C809:C812" si="345">SUM(D809:H809)</f>
        <v>0</v>
      </c>
      <c r="D809" s="16"/>
      <c r="E809" s="16"/>
      <c r="F809" s="16"/>
      <c r="G809" s="16"/>
      <c r="H809" s="16"/>
      <c r="I809" s="67"/>
      <c r="J809" s="67"/>
      <c r="K809" s="67"/>
      <c r="L809" s="67"/>
      <c r="M809" s="67"/>
      <c r="N809" s="67"/>
      <c r="O809" s="67"/>
      <c r="P809" s="104"/>
      <c r="Q809" s="67"/>
      <c r="R809" s="67"/>
      <c r="S809" s="67"/>
      <c r="T809" s="78"/>
    </row>
    <row r="810" spans="1:20" ht="12.75" customHeight="1" x14ac:dyDescent="0.2">
      <c r="A810" s="70"/>
      <c r="B810" s="14" t="s">
        <v>1</v>
      </c>
      <c r="C810" s="15">
        <f t="shared" si="345"/>
        <v>358273.696</v>
      </c>
      <c r="D810" s="16">
        <v>0</v>
      </c>
      <c r="E810" s="16">
        <v>0</v>
      </c>
      <c r="F810" s="16">
        <v>0</v>
      </c>
      <c r="G810" s="16">
        <v>8273.6959999999999</v>
      </c>
      <c r="H810" s="16">
        <v>350000</v>
      </c>
      <c r="I810" s="67"/>
      <c r="J810" s="67"/>
      <c r="K810" s="67"/>
      <c r="L810" s="67"/>
      <c r="M810" s="67"/>
      <c r="N810" s="67"/>
      <c r="O810" s="67"/>
      <c r="P810" s="104"/>
      <c r="Q810" s="67"/>
      <c r="R810" s="67"/>
      <c r="S810" s="67"/>
      <c r="T810" s="78"/>
    </row>
    <row r="811" spans="1:20" ht="12.75" customHeight="1" x14ac:dyDescent="0.2">
      <c r="A811" s="70"/>
      <c r="B811" s="14" t="s">
        <v>2</v>
      </c>
      <c r="C811" s="15">
        <f t="shared" si="345"/>
        <v>0</v>
      </c>
      <c r="D811" s="16"/>
      <c r="E811" s="16"/>
      <c r="F811" s="16"/>
      <c r="G811" s="16"/>
      <c r="H811" s="16"/>
      <c r="I811" s="67"/>
      <c r="J811" s="67"/>
      <c r="K811" s="67"/>
      <c r="L811" s="67"/>
      <c r="M811" s="67"/>
      <c r="N811" s="67"/>
      <c r="O811" s="67"/>
      <c r="P811" s="104"/>
      <c r="Q811" s="67"/>
      <c r="R811" s="67"/>
      <c r="S811" s="67"/>
      <c r="T811" s="78"/>
    </row>
    <row r="812" spans="1:20" ht="12.75" customHeight="1" x14ac:dyDescent="0.2">
      <c r="A812" s="71"/>
      <c r="B812" s="14" t="s">
        <v>3</v>
      </c>
      <c r="C812" s="15">
        <f t="shared" si="345"/>
        <v>0</v>
      </c>
      <c r="D812" s="16"/>
      <c r="E812" s="16"/>
      <c r="F812" s="16"/>
      <c r="G812" s="16"/>
      <c r="H812" s="16"/>
      <c r="I812" s="68"/>
      <c r="J812" s="68"/>
      <c r="K812" s="68"/>
      <c r="L812" s="68"/>
      <c r="M812" s="68"/>
      <c r="N812" s="68"/>
      <c r="O812" s="68"/>
      <c r="P812" s="105"/>
      <c r="Q812" s="68"/>
      <c r="R812" s="68"/>
      <c r="S812" s="68"/>
      <c r="T812" s="78"/>
    </row>
    <row r="813" spans="1:20" ht="12.75" customHeight="1" x14ac:dyDescent="0.2">
      <c r="A813" s="69" t="s">
        <v>484</v>
      </c>
      <c r="B813" s="85" t="s">
        <v>125</v>
      </c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6"/>
    </row>
    <row r="814" spans="1:20" x14ac:dyDescent="0.2">
      <c r="A814" s="70" t="s">
        <v>102</v>
      </c>
      <c r="B814" s="79" t="s">
        <v>181</v>
      </c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</row>
    <row r="815" spans="1:20" ht="50.1" customHeight="1" x14ac:dyDescent="0.2">
      <c r="A815" s="70"/>
      <c r="B815" s="100" t="s">
        <v>227</v>
      </c>
      <c r="C815" s="101"/>
      <c r="D815" s="101"/>
      <c r="E815" s="101"/>
      <c r="F815" s="101"/>
      <c r="G815" s="101"/>
      <c r="H815" s="102"/>
      <c r="I815" s="66" t="s">
        <v>263</v>
      </c>
      <c r="J815" s="66" t="s">
        <v>116</v>
      </c>
      <c r="K815" s="66" t="s">
        <v>40</v>
      </c>
      <c r="L815" s="66" t="s">
        <v>264</v>
      </c>
      <c r="M815" s="66" t="s">
        <v>126</v>
      </c>
      <c r="N815" s="66" t="s">
        <v>221</v>
      </c>
      <c r="O815" s="66" t="s">
        <v>126</v>
      </c>
      <c r="P815" s="103">
        <v>562631.16</v>
      </c>
      <c r="Q815" s="66" t="s">
        <v>30</v>
      </c>
      <c r="R815" s="66" t="s">
        <v>8</v>
      </c>
      <c r="S815" s="66" t="s">
        <v>31</v>
      </c>
      <c r="T815" s="78" t="s">
        <v>440</v>
      </c>
    </row>
    <row r="816" spans="1:20" ht="12.75" customHeight="1" x14ac:dyDescent="0.2">
      <c r="A816" s="70"/>
      <c r="B816" s="14" t="s">
        <v>5</v>
      </c>
      <c r="C816" s="15">
        <f>SUM(D816:H816)</f>
        <v>300600.05800000002</v>
      </c>
      <c r="D816" s="16">
        <f t="shared" ref="D816:F816" si="346">SUM(D817:D820)</f>
        <v>0</v>
      </c>
      <c r="E816" s="16">
        <f t="shared" si="346"/>
        <v>0</v>
      </c>
      <c r="F816" s="16">
        <f t="shared" si="346"/>
        <v>0</v>
      </c>
      <c r="G816" s="16">
        <f t="shared" ref="G816" si="347">SUM(G817:G820)</f>
        <v>300600.05800000002</v>
      </c>
      <c r="H816" s="16">
        <f t="shared" ref="H816" si="348">SUM(H817:H820)</f>
        <v>0</v>
      </c>
      <c r="I816" s="67"/>
      <c r="J816" s="67"/>
      <c r="K816" s="67"/>
      <c r="L816" s="67"/>
      <c r="M816" s="67"/>
      <c r="N816" s="67"/>
      <c r="O816" s="67"/>
      <c r="P816" s="104"/>
      <c r="Q816" s="67"/>
      <c r="R816" s="67"/>
      <c r="S816" s="67"/>
      <c r="T816" s="78"/>
    </row>
    <row r="817" spans="1:20" ht="12.75" customHeight="1" x14ac:dyDescent="0.2">
      <c r="A817" s="70"/>
      <c r="B817" s="14" t="s">
        <v>0</v>
      </c>
      <c r="C817" s="15">
        <f t="shared" ref="C817:C820" si="349">SUM(D817:H817)</f>
        <v>0</v>
      </c>
      <c r="D817" s="16"/>
      <c r="E817" s="16"/>
      <c r="F817" s="16"/>
      <c r="G817" s="16"/>
      <c r="H817" s="16"/>
      <c r="I817" s="67"/>
      <c r="J817" s="67"/>
      <c r="K817" s="67"/>
      <c r="L817" s="67"/>
      <c r="M817" s="67"/>
      <c r="N817" s="67"/>
      <c r="O817" s="67"/>
      <c r="P817" s="104"/>
      <c r="Q817" s="67"/>
      <c r="R817" s="67"/>
      <c r="S817" s="67"/>
      <c r="T817" s="78"/>
    </row>
    <row r="818" spans="1:20" ht="12.75" customHeight="1" x14ac:dyDescent="0.2">
      <c r="A818" s="70"/>
      <c r="B818" s="14" t="s">
        <v>1</v>
      </c>
      <c r="C818" s="15">
        <f t="shared" si="349"/>
        <v>300600.05800000002</v>
      </c>
      <c r="D818" s="16">
        <v>0</v>
      </c>
      <c r="E818" s="16">
        <v>0</v>
      </c>
      <c r="F818" s="16">
        <v>0</v>
      </c>
      <c r="G818" s="16">
        <v>300600.05800000002</v>
      </c>
      <c r="H818" s="16"/>
      <c r="I818" s="67"/>
      <c r="J818" s="67"/>
      <c r="K818" s="67"/>
      <c r="L818" s="67"/>
      <c r="M818" s="67"/>
      <c r="N818" s="67"/>
      <c r="O818" s="67"/>
      <c r="P818" s="104"/>
      <c r="Q818" s="67"/>
      <c r="R818" s="67"/>
      <c r="S818" s="67"/>
      <c r="T818" s="78"/>
    </row>
    <row r="819" spans="1:20" ht="12.75" customHeight="1" x14ac:dyDescent="0.2">
      <c r="A819" s="70"/>
      <c r="B819" s="14" t="s">
        <v>2</v>
      </c>
      <c r="C819" s="15">
        <f t="shared" si="349"/>
        <v>0</v>
      </c>
      <c r="D819" s="16"/>
      <c r="E819" s="16"/>
      <c r="F819" s="16"/>
      <c r="G819" s="16"/>
      <c r="H819" s="16"/>
      <c r="I819" s="67"/>
      <c r="J819" s="67"/>
      <c r="K819" s="67"/>
      <c r="L819" s="67"/>
      <c r="M819" s="67"/>
      <c r="N819" s="67"/>
      <c r="O819" s="67"/>
      <c r="P819" s="104"/>
      <c r="Q819" s="67"/>
      <c r="R819" s="67"/>
      <c r="S819" s="67"/>
      <c r="T819" s="78"/>
    </row>
    <row r="820" spans="1:20" ht="12.75" customHeight="1" x14ac:dyDescent="0.2">
      <c r="A820" s="71"/>
      <c r="B820" s="14" t="s">
        <v>3</v>
      </c>
      <c r="C820" s="15">
        <f t="shared" si="349"/>
        <v>0</v>
      </c>
      <c r="D820" s="16"/>
      <c r="E820" s="16"/>
      <c r="F820" s="16"/>
      <c r="G820" s="16"/>
      <c r="H820" s="16"/>
      <c r="I820" s="68"/>
      <c r="J820" s="68"/>
      <c r="K820" s="68"/>
      <c r="L820" s="68"/>
      <c r="M820" s="68"/>
      <c r="N820" s="68"/>
      <c r="O820" s="68"/>
      <c r="P820" s="105"/>
      <c r="Q820" s="68"/>
      <c r="R820" s="68"/>
      <c r="S820" s="68"/>
      <c r="T820" s="78"/>
    </row>
    <row r="821" spans="1:20" x14ac:dyDescent="0.2">
      <c r="A821" s="69" t="s">
        <v>485</v>
      </c>
      <c r="B821" s="85" t="s">
        <v>125</v>
      </c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6"/>
    </row>
    <row r="822" spans="1:20" x14ac:dyDescent="0.2">
      <c r="A822" s="70" t="s">
        <v>102</v>
      </c>
      <c r="B822" s="79" t="s">
        <v>183</v>
      </c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</row>
    <row r="823" spans="1:20" ht="50.1" customHeight="1" x14ac:dyDescent="0.2">
      <c r="A823" s="70"/>
      <c r="B823" s="100" t="s">
        <v>184</v>
      </c>
      <c r="C823" s="101"/>
      <c r="D823" s="101"/>
      <c r="E823" s="101"/>
      <c r="F823" s="101"/>
      <c r="G823" s="101"/>
      <c r="H823" s="102"/>
      <c r="I823" s="66" t="s">
        <v>21</v>
      </c>
      <c r="J823" s="66"/>
      <c r="K823" s="66" t="s">
        <v>99</v>
      </c>
      <c r="L823" s="66" t="s">
        <v>241</v>
      </c>
      <c r="M823" s="66" t="s">
        <v>125</v>
      </c>
      <c r="N823" s="66" t="s">
        <v>125</v>
      </c>
      <c r="O823" s="66" t="s">
        <v>125</v>
      </c>
      <c r="P823" s="103">
        <v>115000</v>
      </c>
      <c r="Q823" s="66" t="s">
        <v>30</v>
      </c>
      <c r="R823" s="66" t="s">
        <v>34</v>
      </c>
      <c r="S823" s="66" t="s">
        <v>131</v>
      </c>
      <c r="T823" s="78"/>
    </row>
    <row r="824" spans="1:20" ht="12.75" customHeight="1" x14ac:dyDescent="0.2">
      <c r="A824" s="70"/>
      <c r="B824" s="14" t="s">
        <v>5</v>
      </c>
      <c r="C824" s="15">
        <f>SUM(D824:H824)</f>
        <v>88931.25</v>
      </c>
      <c r="D824" s="16">
        <f t="shared" ref="D824" si="350">SUM(D825:D828)</f>
        <v>26679.375</v>
      </c>
      <c r="E824" s="16">
        <f t="shared" ref="E824" si="351">SUM(E825:E828)</f>
        <v>62251.875</v>
      </c>
      <c r="F824" s="16">
        <f t="shared" ref="F824:G824" si="352">SUM(F825:F828)</f>
        <v>0</v>
      </c>
      <c r="G824" s="16">
        <f t="shared" si="352"/>
        <v>0</v>
      </c>
      <c r="H824" s="16">
        <f t="shared" ref="H824" si="353">SUM(H825:H828)</f>
        <v>0</v>
      </c>
      <c r="I824" s="67"/>
      <c r="J824" s="67"/>
      <c r="K824" s="67"/>
      <c r="L824" s="67"/>
      <c r="M824" s="67"/>
      <c r="N824" s="67"/>
      <c r="O824" s="67"/>
      <c r="P824" s="104"/>
      <c r="Q824" s="67"/>
      <c r="R824" s="67"/>
      <c r="S824" s="67"/>
      <c r="T824" s="78"/>
    </row>
    <row r="825" spans="1:20" ht="12.75" customHeight="1" x14ac:dyDescent="0.2">
      <c r="A825" s="70"/>
      <c r="B825" s="14" t="s">
        <v>0</v>
      </c>
      <c r="C825" s="15">
        <f t="shared" ref="C825:C828" si="354">SUM(D825:H825)</f>
        <v>0</v>
      </c>
      <c r="D825" s="16"/>
      <c r="E825" s="16"/>
      <c r="F825" s="16"/>
      <c r="G825" s="16"/>
      <c r="H825" s="16"/>
      <c r="I825" s="67"/>
      <c r="J825" s="67"/>
      <c r="K825" s="67"/>
      <c r="L825" s="67"/>
      <c r="M825" s="67"/>
      <c r="N825" s="67"/>
      <c r="O825" s="67"/>
      <c r="P825" s="104"/>
      <c r="Q825" s="67"/>
      <c r="R825" s="67"/>
      <c r="S825" s="67"/>
      <c r="T825" s="78"/>
    </row>
    <row r="826" spans="1:20" ht="12.75" customHeight="1" x14ac:dyDescent="0.2">
      <c r="A826" s="70"/>
      <c r="B826" s="14" t="s">
        <v>1</v>
      </c>
      <c r="C826" s="15">
        <f t="shared" si="354"/>
        <v>88931.25</v>
      </c>
      <c r="D826" s="16">
        <f>64500-37820.625</f>
        <v>26679.375</v>
      </c>
      <c r="E826" s="16">
        <f>80500+70000-88248.125</f>
        <v>62251.875</v>
      </c>
      <c r="F826" s="16"/>
      <c r="G826" s="16"/>
      <c r="H826" s="16"/>
      <c r="I826" s="67"/>
      <c r="J826" s="67"/>
      <c r="K826" s="67"/>
      <c r="L826" s="67"/>
      <c r="M826" s="67"/>
      <c r="N826" s="67"/>
      <c r="O826" s="67"/>
      <c r="P826" s="104"/>
      <c r="Q826" s="67"/>
      <c r="R826" s="67"/>
      <c r="S826" s="67"/>
      <c r="T826" s="78"/>
    </row>
    <row r="827" spans="1:20" ht="12.75" customHeight="1" x14ac:dyDescent="0.2">
      <c r="A827" s="70"/>
      <c r="B827" s="14" t="s">
        <v>2</v>
      </c>
      <c r="C827" s="15">
        <f t="shared" si="354"/>
        <v>0</v>
      </c>
      <c r="D827" s="16"/>
      <c r="E827" s="16"/>
      <c r="F827" s="16"/>
      <c r="G827" s="16"/>
      <c r="H827" s="16"/>
      <c r="I827" s="67"/>
      <c r="J827" s="67"/>
      <c r="K827" s="67"/>
      <c r="L827" s="67"/>
      <c r="M827" s="67"/>
      <c r="N827" s="67"/>
      <c r="O827" s="67"/>
      <c r="P827" s="104"/>
      <c r="Q827" s="67"/>
      <c r="R827" s="67"/>
      <c r="S827" s="67"/>
      <c r="T827" s="78"/>
    </row>
    <row r="828" spans="1:20" ht="12.75" customHeight="1" x14ac:dyDescent="0.2">
      <c r="A828" s="71"/>
      <c r="B828" s="14" t="s">
        <v>3</v>
      </c>
      <c r="C828" s="15">
        <f t="shared" si="354"/>
        <v>0</v>
      </c>
      <c r="D828" s="16"/>
      <c r="E828" s="16"/>
      <c r="F828" s="16"/>
      <c r="G828" s="16"/>
      <c r="H828" s="16"/>
      <c r="I828" s="68"/>
      <c r="J828" s="68"/>
      <c r="K828" s="68"/>
      <c r="L828" s="68"/>
      <c r="M828" s="68"/>
      <c r="N828" s="68"/>
      <c r="O828" s="68"/>
      <c r="P828" s="105"/>
      <c r="Q828" s="68"/>
      <c r="R828" s="68"/>
      <c r="S828" s="68"/>
      <c r="T828" s="78"/>
    </row>
    <row r="829" spans="1:20" ht="12.75" customHeight="1" x14ac:dyDescent="0.2">
      <c r="A829" s="69" t="s">
        <v>486</v>
      </c>
      <c r="B829" s="85" t="s">
        <v>125</v>
      </c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6"/>
    </row>
    <row r="830" spans="1:20" x14ac:dyDescent="0.2">
      <c r="A830" s="70" t="s">
        <v>102</v>
      </c>
      <c r="B830" s="79" t="s">
        <v>183</v>
      </c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</row>
    <row r="831" spans="1:20" ht="50.1" customHeight="1" x14ac:dyDescent="0.2">
      <c r="A831" s="70"/>
      <c r="B831" s="100" t="s">
        <v>275</v>
      </c>
      <c r="C831" s="101"/>
      <c r="D831" s="101"/>
      <c r="E831" s="101"/>
      <c r="F831" s="101"/>
      <c r="G831" s="101"/>
      <c r="H831" s="102"/>
      <c r="I831" s="66" t="s">
        <v>21</v>
      </c>
      <c r="J831" s="66"/>
      <c r="K831" s="66" t="s">
        <v>99</v>
      </c>
      <c r="L831" s="66" t="s">
        <v>185</v>
      </c>
      <c r="M831" s="66" t="s">
        <v>125</v>
      </c>
      <c r="N831" s="66" t="s">
        <v>125</v>
      </c>
      <c r="O831" s="66" t="s">
        <v>125</v>
      </c>
      <c r="P831" s="103">
        <v>20000</v>
      </c>
      <c r="Q831" s="66" t="s">
        <v>30</v>
      </c>
      <c r="R831" s="66" t="s">
        <v>8</v>
      </c>
      <c r="S831" s="66" t="s">
        <v>131</v>
      </c>
      <c r="T831" s="78"/>
    </row>
    <row r="832" spans="1:20" ht="12.75" customHeight="1" x14ac:dyDescent="0.2">
      <c r="A832" s="70"/>
      <c r="B832" s="14" t="s">
        <v>5</v>
      </c>
      <c r="C832" s="15">
        <f>SUM(D832:H832)</f>
        <v>20000</v>
      </c>
      <c r="D832" s="16">
        <f t="shared" ref="D832:E832" si="355">SUM(D833:D836)</f>
        <v>6000</v>
      </c>
      <c r="E832" s="16">
        <f t="shared" si="355"/>
        <v>14000</v>
      </c>
      <c r="F832" s="16">
        <f t="shared" ref="F832:G832" si="356">SUM(F833:F836)</f>
        <v>0</v>
      </c>
      <c r="G832" s="16">
        <f t="shared" si="356"/>
        <v>0</v>
      </c>
      <c r="H832" s="16">
        <f t="shared" ref="H832" si="357">SUM(H833:H836)</f>
        <v>0</v>
      </c>
      <c r="I832" s="67"/>
      <c r="J832" s="67"/>
      <c r="K832" s="67"/>
      <c r="L832" s="67"/>
      <c r="M832" s="67"/>
      <c r="N832" s="67"/>
      <c r="O832" s="67"/>
      <c r="P832" s="104"/>
      <c r="Q832" s="67"/>
      <c r="R832" s="67"/>
      <c r="S832" s="67"/>
      <c r="T832" s="78"/>
    </row>
    <row r="833" spans="1:20" ht="12.75" customHeight="1" x14ac:dyDescent="0.2">
      <c r="A833" s="70"/>
      <c r="B833" s="14" t="s">
        <v>0</v>
      </c>
      <c r="C833" s="15">
        <f t="shared" ref="C833:C836" si="358">SUM(D833:H833)</f>
        <v>0</v>
      </c>
      <c r="D833" s="16"/>
      <c r="E833" s="16"/>
      <c r="F833" s="16"/>
      <c r="G833" s="16"/>
      <c r="H833" s="16"/>
      <c r="I833" s="67"/>
      <c r="J833" s="67"/>
      <c r="K833" s="67"/>
      <c r="L833" s="67"/>
      <c r="M833" s="67"/>
      <c r="N833" s="67"/>
      <c r="O833" s="67"/>
      <c r="P833" s="104"/>
      <c r="Q833" s="67"/>
      <c r="R833" s="67"/>
      <c r="S833" s="67"/>
      <c r="T833" s="78"/>
    </row>
    <row r="834" spans="1:20" ht="12.75" customHeight="1" x14ac:dyDescent="0.2">
      <c r="A834" s="70"/>
      <c r="B834" s="14" t="s">
        <v>1</v>
      </c>
      <c r="C834" s="15">
        <f t="shared" si="358"/>
        <v>20000</v>
      </c>
      <c r="D834" s="16">
        <f>10000-4000</f>
        <v>6000</v>
      </c>
      <c r="E834" s="16">
        <f>10000+4000</f>
        <v>14000</v>
      </c>
      <c r="F834" s="16"/>
      <c r="G834" s="16"/>
      <c r="H834" s="16"/>
      <c r="I834" s="67"/>
      <c r="J834" s="67"/>
      <c r="K834" s="67"/>
      <c r="L834" s="67"/>
      <c r="M834" s="67"/>
      <c r="N834" s="67"/>
      <c r="O834" s="67"/>
      <c r="P834" s="104"/>
      <c r="Q834" s="67"/>
      <c r="R834" s="67"/>
      <c r="S834" s="67"/>
      <c r="T834" s="78"/>
    </row>
    <row r="835" spans="1:20" ht="12.75" customHeight="1" x14ac:dyDescent="0.2">
      <c r="A835" s="70"/>
      <c r="B835" s="14" t="s">
        <v>2</v>
      </c>
      <c r="C835" s="15">
        <f t="shared" si="358"/>
        <v>0</v>
      </c>
      <c r="D835" s="16"/>
      <c r="E835" s="16"/>
      <c r="F835" s="16"/>
      <c r="G835" s="16"/>
      <c r="H835" s="16"/>
      <c r="I835" s="67"/>
      <c r="J835" s="67"/>
      <c r="K835" s="67"/>
      <c r="L835" s="67"/>
      <c r="M835" s="67"/>
      <c r="N835" s="67"/>
      <c r="O835" s="67"/>
      <c r="P835" s="104"/>
      <c r="Q835" s="67"/>
      <c r="R835" s="67"/>
      <c r="S835" s="67"/>
      <c r="T835" s="78"/>
    </row>
    <row r="836" spans="1:20" ht="12.75" customHeight="1" x14ac:dyDescent="0.2">
      <c r="A836" s="71"/>
      <c r="B836" s="14" t="s">
        <v>3</v>
      </c>
      <c r="C836" s="15">
        <f t="shared" si="358"/>
        <v>0</v>
      </c>
      <c r="D836" s="16"/>
      <c r="E836" s="16"/>
      <c r="F836" s="16"/>
      <c r="G836" s="16"/>
      <c r="H836" s="16"/>
      <c r="I836" s="68"/>
      <c r="J836" s="68"/>
      <c r="K836" s="68"/>
      <c r="L836" s="68"/>
      <c r="M836" s="68"/>
      <c r="N836" s="68"/>
      <c r="O836" s="68"/>
      <c r="P836" s="105"/>
      <c r="Q836" s="68"/>
      <c r="R836" s="68"/>
      <c r="S836" s="68"/>
      <c r="T836" s="78"/>
    </row>
    <row r="837" spans="1:20" ht="12.75" customHeight="1" x14ac:dyDescent="0.2">
      <c r="A837" s="69" t="s">
        <v>495</v>
      </c>
      <c r="B837" s="85" t="s">
        <v>125</v>
      </c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6"/>
    </row>
    <row r="838" spans="1:20" ht="12.75" customHeight="1" x14ac:dyDescent="0.2">
      <c r="A838" s="70" t="s">
        <v>102</v>
      </c>
      <c r="B838" s="79" t="s">
        <v>181</v>
      </c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</row>
    <row r="839" spans="1:20" ht="50.1" customHeight="1" x14ac:dyDescent="0.2">
      <c r="A839" s="70"/>
      <c r="B839" s="100" t="s">
        <v>498</v>
      </c>
      <c r="C839" s="101"/>
      <c r="D839" s="101"/>
      <c r="E839" s="101"/>
      <c r="F839" s="101"/>
      <c r="G839" s="101"/>
      <c r="H839" s="102"/>
      <c r="I839" s="66" t="s">
        <v>21</v>
      </c>
      <c r="J839" s="66" t="s">
        <v>22</v>
      </c>
      <c r="K839" s="66" t="s">
        <v>40</v>
      </c>
      <c r="L839" s="66" t="s">
        <v>535</v>
      </c>
      <c r="M839" s="66" t="s">
        <v>126</v>
      </c>
      <c r="N839" s="66" t="s">
        <v>221</v>
      </c>
      <c r="O839" s="66" t="s">
        <v>126</v>
      </c>
      <c r="P839" s="103" t="s">
        <v>536</v>
      </c>
      <c r="Q839" s="66" t="s">
        <v>30</v>
      </c>
      <c r="R839" s="66" t="s">
        <v>8</v>
      </c>
      <c r="S839" s="66" t="s">
        <v>25</v>
      </c>
      <c r="T839" s="78"/>
    </row>
    <row r="840" spans="1:20" ht="12.75" customHeight="1" x14ac:dyDescent="0.2">
      <c r="A840" s="70"/>
      <c r="B840" s="14" t="s">
        <v>5</v>
      </c>
      <c r="C840" s="15">
        <f>SUM(D840:H840)</f>
        <v>559.952</v>
      </c>
      <c r="D840" s="16">
        <f t="shared" ref="D840" si="359">SUM(D841:D844)</f>
        <v>559.952</v>
      </c>
      <c r="E840" s="16">
        <f t="shared" ref="E840:H840" si="360">SUM(E841:E844)</f>
        <v>0</v>
      </c>
      <c r="F840" s="16">
        <f t="shared" si="360"/>
        <v>0</v>
      </c>
      <c r="G840" s="16">
        <f t="shared" si="360"/>
        <v>0</v>
      </c>
      <c r="H840" s="16">
        <f t="shared" si="360"/>
        <v>0</v>
      </c>
      <c r="I840" s="67"/>
      <c r="J840" s="67"/>
      <c r="K840" s="67"/>
      <c r="L840" s="67"/>
      <c r="M840" s="67"/>
      <c r="N840" s="67"/>
      <c r="O840" s="67"/>
      <c r="P840" s="104"/>
      <c r="Q840" s="67"/>
      <c r="R840" s="67"/>
      <c r="S840" s="67"/>
      <c r="T840" s="78"/>
    </row>
    <row r="841" spans="1:20" ht="12.75" customHeight="1" x14ac:dyDescent="0.2">
      <c r="A841" s="70"/>
      <c r="B841" s="14" t="s">
        <v>0</v>
      </c>
      <c r="C841" s="15">
        <f t="shared" ref="C841:C844" si="361">SUM(D841:H841)</f>
        <v>0</v>
      </c>
      <c r="D841" s="16"/>
      <c r="E841" s="16"/>
      <c r="F841" s="16"/>
      <c r="G841" s="16"/>
      <c r="H841" s="16"/>
      <c r="I841" s="67"/>
      <c r="J841" s="67"/>
      <c r="K841" s="67"/>
      <c r="L841" s="67"/>
      <c r="M841" s="67"/>
      <c r="N841" s="67"/>
      <c r="O841" s="67"/>
      <c r="P841" s="104"/>
      <c r="Q841" s="67"/>
      <c r="R841" s="67"/>
      <c r="S841" s="67"/>
      <c r="T841" s="78"/>
    </row>
    <row r="842" spans="1:20" ht="12.75" customHeight="1" x14ac:dyDescent="0.2">
      <c r="A842" s="70"/>
      <c r="B842" s="14" t="s">
        <v>1</v>
      </c>
      <c r="C842" s="15">
        <f t="shared" si="361"/>
        <v>559.952</v>
      </c>
      <c r="D842" s="32">
        <f>0+1649.38096-1089.42896</f>
        <v>559.952</v>
      </c>
      <c r="E842" s="16"/>
      <c r="F842" s="16"/>
      <c r="G842" s="16"/>
      <c r="H842" s="16"/>
      <c r="I842" s="67"/>
      <c r="J842" s="67"/>
      <c r="K842" s="67"/>
      <c r="L842" s="67"/>
      <c r="M842" s="67"/>
      <c r="N842" s="67"/>
      <c r="O842" s="67"/>
      <c r="P842" s="104"/>
      <c r="Q842" s="67"/>
      <c r="R842" s="67"/>
      <c r="S842" s="67"/>
      <c r="T842" s="78"/>
    </row>
    <row r="843" spans="1:20" ht="12.75" customHeight="1" x14ac:dyDescent="0.2">
      <c r="A843" s="70"/>
      <c r="B843" s="14" t="s">
        <v>2</v>
      </c>
      <c r="C843" s="15">
        <f t="shared" si="361"/>
        <v>0</v>
      </c>
      <c r="D843" s="16"/>
      <c r="E843" s="16"/>
      <c r="F843" s="16"/>
      <c r="G843" s="16"/>
      <c r="H843" s="16"/>
      <c r="I843" s="67"/>
      <c r="J843" s="67"/>
      <c r="K843" s="67"/>
      <c r="L843" s="67"/>
      <c r="M843" s="67"/>
      <c r="N843" s="67"/>
      <c r="O843" s="67"/>
      <c r="P843" s="104"/>
      <c r="Q843" s="67"/>
      <c r="R843" s="67"/>
      <c r="S843" s="67"/>
      <c r="T843" s="78"/>
    </row>
    <row r="844" spans="1:20" ht="12.75" customHeight="1" x14ac:dyDescent="0.2">
      <c r="A844" s="71"/>
      <c r="B844" s="14" t="s">
        <v>3</v>
      </c>
      <c r="C844" s="15">
        <f t="shared" si="361"/>
        <v>0</v>
      </c>
      <c r="D844" s="16"/>
      <c r="E844" s="16"/>
      <c r="F844" s="16"/>
      <c r="G844" s="16"/>
      <c r="H844" s="16"/>
      <c r="I844" s="68"/>
      <c r="J844" s="68"/>
      <c r="K844" s="68"/>
      <c r="L844" s="68"/>
      <c r="M844" s="68"/>
      <c r="N844" s="68"/>
      <c r="O844" s="68"/>
      <c r="P844" s="105"/>
      <c r="Q844" s="68"/>
      <c r="R844" s="68"/>
      <c r="S844" s="68"/>
      <c r="T844" s="78"/>
    </row>
    <row r="845" spans="1:20" ht="12.75" customHeight="1" x14ac:dyDescent="0.2">
      <c r="A845" s="69" t="s">
        <v>497</v>
      </c>
      <c r="B845" s="85" t="s">
        <v>125</v>
      </c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6"/>
    </row>
    <row r="846" spans="1:20" ht="12.75" customHeight="1" x14ac:dyDescent="0.2">
      <c r="A846" s="70" t="s">
        <v>102</v>
      </c>
      <c r="B846" s="79" t="s">
        <v>181</v>
      </c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</row>
    <row r="847" spans="1:20" ht="50.1" customHeight="1" x14ac:dyDescent="0.2">
      <c r="A847" s="70"/>
      <c r="B847" s="100" t="s">
        <v>499</v>
      </c>
      <c r="C847" s="101"/>
      <c r="D847" s="101"/>
      <c r="E847" s="101"/>
      <c r="F847" s="101"/>
      <c r="G847" s="101"/>
      <c r="H847" s="102"/>
      <c r="I847" s="66" t="s">
        <v>443</v>
      </c>
      <c r="J847" s="66" t="s">
        <v>21</v>
      </c>
      <c r="K847" s="66" t="s">
        <v>11</v>
      </c>
      <c r="L847" s="66" t="s">
        <v>537</v>
      </c>
      <c r="M847" s="66" t="s">
        <v>538</v>
      </c>
      <c r="N847" s="66" t="s">
        <v>538</v>
      </c>
      <c r="O847" s="66" t="s">
        <v>538</v>
      </c>
      <c r="P847" s="103" t="s">
        <v>570</v>
      </c>
      <c r="Q847" s="66" t="s">
        <v>7</v>
      </c>
      <c r="R847" s="66" t="s">
        <v>35</v>
      </c>
      <c r="S847" s="66" t="s">
        <v>25</v>
      </c>
      <c r="T847" s="78"/>
    </row>
    <row r="848" spans="1:20" ht="12.75" customHeight="1" x14ac:dyDescent="0.2">
      <c r="A848" s="70"/>
      <c r="B848" s="14" t="s">
        <v>5</v>
      </c>
      <c r="C848" s="15">
        <f>SUM(D848:H848)</f>
        <v>23949.200000000001</v>
      </c>
      <c r="D848" s="16">
        <f>SUM(D849:D852)</f>
        <v>6600</v>
      </c>
      <c r="E848" s="16">
        <f t="shared" ref="E848:H848" si="362">SUM(E849:E852)</f>
        <v>17349.2</v>
      </c>
      <c r="F848" s="16">
        <f t="shared" si="362"/>
        <v>0</v>
      </c>
      <c r="G848" s="16">
        <f t="shared" si="362"/>
        <v>0</v>
      </c>
      <c r="H848" s="16">
        <f t="shared" si="362"/>
        <v>0</v>
      </c>
      <c r="I848" s="67"/>
      <c r="J848" s="67"/>
      <c r="K848" s="67"/>
      <c r="L848" s="67"/>
      <c r="M848" s="67"/>
      <c r="N848" s="67"/>
      <c r="O848" s="67"/>
      <c r="P848" s="104"/>
      <c r="Q848" s="67"/>
      <c r="R848" s="67"/>
      <c r="S848" s="67"/>
      <c r="T848" s="78"/>
    </row>
    <row r="849" spans="1:20" ht="12.75" customHeight="1" x14ac:dyDescent="0.2">
      <c r="A849" s="70"/>
      <c r="B849" s="14" t="s">
        <v>0</v>
      </c>
      <c r="C849" s="15">
        <f t="shared" ref="C849:C852" si="363">SUM(D849:H849)</f>
        <v>0</v>
      </c>
      <c r="D849" s="16"/>
      <c r="E849" s="16"/>
      <c r="F849" s="16"/>
      <c r="G849" s="16"/>
      <c r="H849" s="16"/>
      <c r="I849" s="67"/>
      <c r="J849" s="67"/>
      <c r="K849" s="67"/>
      <c r="L849" s="67"/>
      <c r="M849" s="67"/>
      <c r="N849" s="67"/>
      <c r="O849" s="67"/>
      <c r="P849" s="104"/>
      <c r="Q849" s="67"/>
      <c r="R849" s="67"/>
      <c r="S849" s="67"/>
      <c r="T849" s="78"/>
    </row>
    <row r="850" spans="1:20" ht="12.75" customHeight="1" x14ac:dyDescent="0.2">
      <c r="A850" s="70"/>
      <c r="B850" s="14" t="s">
        <v>1</v>
      </c>
      <c r="C850" s="15">
        <f t="shared" si="363"/>
        <v>21772</v>
      </c>
      <c r="D850" s="16">
        <f>0+6000</f>
        <v>6000</v>
      </c>
      <c r="E850" s="16">
        <f>0+15772</f>
        <v>15772</v>
      </c>
      <c r="F850" s="16"/>
      <c r="G850" s="16"/>
      <c r="H850" s="16"/>
      <c r="I850" s="67"/>
      <c r="J850" s="67"/>
      <c r="K850" s="67"/>
      <c r="L850" s="67"/>
      <c r="M850" s="67"/>
      <c r="N850" s="67"/>
      <c r="O850" s="67"/>
      <c r="P850" s="104"/>
      <c r="Q850" s="67"/>
      <c r="R850" s="67"/>
      <c r="S850" s="67"/>
      <c r="T850" s="78"/>
    </row>
    <row r="851" spans="1:20" ht="12.75" customHeight="1" x14ac:dyDescent="0.2">
      <c r="A851" s="70"/>
      <c r="B851" s="14" t="s">
        <v>2</v>
      </c>
      <c r="C851" s="15">
        <f t="shared" si="363"/>
        <v>2177.1999999999998</v>
      </c>
      <c r="D851" s="16">
        <v>600</v>
      </c>
      <c r="E851" s="16">
        <v>1577.2</v>
      </c>
      <c r="F851" s="16"/>
      <c r="G851" s="16"/>
      <c r="H851" s="16"/>
      <c r="I851" s="67"/>
      <c r="J851" s="67"/>
      <c r="K851" s="67"/>
      <c r="L851" s="67"/>
      <c r="M851" s="67"/>
      <c r="N851" s="67"/>
      <c r="O851" s="67"/>
      <c r="P851" s="104"/>
      <c r="Q851" s="67"/>
      <c r="R851" s="67"/>
      <c r="S851" s="67"/>
      <c r="T851" s="78"/>
    </row>
    <row r="852" spans="1:20" ht="12.75" customHeight="1" x14ac:dyDescent="0.2">
      <c r="A852" s="71"/>
      <c r="B852" s="14" t="s">
        <v>3</v>
      </c>
      <c r="C852" s="15">
        <f t="shared" si="363"/>
        <v>0</v>
      </c>
      <c r="D852" s="16"/>
      <c r="E852" s="16"/>
      <c r="F852" s="16"/>
      <c r="G852" s="16"/>
      <c r="H852" s="16"/>
      <c r="I852" s="68"/>
      <c r="J852" s="68"/>
      <c r="K852" s="68"/>
      <c r="L852" s="68"/>
      <c r="M852" s="68"/>
      <c r="N852" s="68"/>
      <c r="O852" s="68"/>
      <c r="P852" s="105"/>
      <c r="Q852" s="68"/>
      <c r="R852" s="68"/>
      <c r="S852" s="68"/>
      <c r="T852" s="78"/>
    </row>
    <row r="853" spans="1:20" ht="12.75" customHeight="1" x14ac:dyDescent="0.2">
      <c r="A853" s="69" t="s">
        <v>630</v>
      </c>
      <c r="B853" s="85" t="s">
        <v>125</v>
      </c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6"/>
    </row>
    <row r="854" spans="1:20" ht="12.75" customHeight="1" x14ac:dyDescent="0.2">
      <c r="A854" s="70" t="s">
        <v>102</v>
      </c>
      <c r="B854" s="79" t="s">
        <v>181</v>
      </c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</row>
    <row r="855" spans="1:20" ht="50.1" customHeight="1" x14ac:dyDescent="0.2">
      <c r="A855" s="70"/>
      <c r="B855" s="100" t="s">
        <v>656</v>
      </c>
      <c r="C855" s="101"/>
      <c r="D855" s="101"/>
      <c r="E855" s="101"/>
      <c r="F855" s="101"/>
      <c r="G855" s="101"/>
      <c r="H855" s="102"/>
      <c r="I855" s="66" t="s">
        <v>637</v>
      </c>
      <c r="J855" s="66" t="s">
        <v>638</v>
      </c>
      <c r="K855" s="66" t="s">
        <v>40</v>
      </c>
      <c r="L855" s="66" t="s">
        <v>639</v>
      </c>
      <c r="M855" s="66" t="s">
        <v>126</v>
      </c>
      <c r="N855" s="66" t="s">
        <v>221</v>
      </c>
      <c r="O855" s="66" t="s">
        <v>126</v>
      </c>
      <c r="P855" s="141" t="s">
        <v>640</v>
      </c>
      <c r="Q855" s="66" t="s">
        <v>30</v>
      </c>
      <c r="R855" s="66" t="s">
        <v>35</v>
      </c>
      <c r="S855" s="66" t="s">
        <v>25</v>
      </c>
      <c r="T855" s="66"/>
    </row>
    <row r="856" spans="1:20" ht="12.75" customHeight="1" x14ac:dyDescent="0.2">
      <c r="A856" s="70"/>
      <c r="B856" s="14" t="s">
        <v>5</v>
      </c>
      <c r="C856" s="15">
        <f>SUM(D856:H856)</f>
        <v>5816.6880000000001</v>
      </c>
      <c r="D856" s="16">
        <f>SUM(D857:D860)</f>
        <v>305.1880000000001</v>
      </c>
      <c r="E856" s="16">
        <f t="shared" ref="E856:H856" si="364">SUM(E857:E860)</f>
        <v>5511.5</v>
      </c>
      <c r="F856" s="16">
        <f t="shared" si="364"/>
        <v>0</v>
      </c>
      <c r="G856" s="16">
        <f t="shared" si="364"/>
        <v>0</v>
      </c>
      <c r="H856" s="16">
        <f t="shared" si="364"/>
        <v>0</v>
      </c>
      <c r="I856" s="67"/>
      <c r="J856" s="67"/>
      <c r="K856" s="67"/>
      <c r="L856" s="67"/>
      <c r="M856" s="67"/>
      <c r="N856" s="67"/>
      <c r="O856" s="67"/>
      <c r="P856" s="142"/>
      <c r="Q856" s="67"/>
      <c r="R856" s="67"/>
      <c r="S856" s="67"/>
      <c r="T856" s="67"/>
    </row>
    <row r="857" spans="1:20" ht="12.75" customHeight="1" x14ac:dyDescent="0.2">
      <c r="A857" s="70"/>
      <c r="B857" s="14" t="s">
        <v>0</v>
      </c>
      <c r="C857" s="15">
        <f t="shared" ref="C857:C860" si="365">SUM(D857:H857)</f>
        <v>0</v>
      </c>
      <c r="D857" s="16"/>
      <c r="E857" s="16"/>
      <c r="F857" s="16"/>
      <c r="G857" s="16"/>
      <c r="H857" s="16"/>
      <c r="I857" s="67"/>
      <c r="J857" s="67"/>
      <c r="K857" s="67"/>
      <c r="L857" s="67"/>
      <c r="M857" s="67"/>
      <c r="N857" s="67"/>
      <c r="O857" s="67"/>
      <c r="P857" s="142"/>
      <c r="Q857" s="67"/>
      <c r="R857" s="67"/>
      <c r="S857" s="67"/>
      <c r="T857" s="67"/>
    </row>
    <row r="858" spans="1:20" ht="12.75" customHeight="1" x14ac:dyDescent="0.2">
      <c r="A858" s="70"/>
      <c r="B858" s="14" t="s">
        <v>1</v>
      </c>
      <c r="C858" s="15">
        <f t="shared" si="365"/>
        <v>5816.6880000000001</v>
      </c>
      <c r="D858" s="32">
        <f>0+887.2-582.012</f>
        <v>305.1880000000001</v>
      </c>
      <c r="E858" s="16">
        <f>0+5511.5</f>
        <v>5511.5</v>
      </c>
      <c r="F858" s="16"/>
      <c r="G858" s="16"/>
      <c r="H858" s="16"/>
      <c r="I858" s="67"/>
      <c r="J858" s="67"/>
      <c r="K858" s="67"/>
      <c r="L858" s="67"/>
      <c r="M858" s="67"/>
      <c r="N858" s="67"/>
      <c r="O858" s="67"/>
      <c r="P858" s="142"/>
      <c r="Q858" s="67"/>
      <c r="R858" s="67"/>
      <c r="S858" s="67"/>
      <c r="T858" s="67"/>
    </row>
    <row r="859" spans="1:20" ht="12.75" customHeight="1" x14ac:dyDescent="0.2">
      <c r="A859" s="70"/>
      <c r="B859" s="14" t="s">
        <v>2</v>
      </c>
      <c r="C859" s="15">
        <f t="shared" si="365"/>
        <v>0</v>
      </c>
      <c r="D859" s="16"/>
      <c r="E859" s="16"/>
      <c r="F859" s="16"/>
      <c r="G859" s="16"/>
      <c r="H859" s="16"/>
      <c r="I859" s="67"/>
      <c r="J859" s="67"/>
      <c r="K859" s="67"/>
      <c r="L859" s="67"/>
      <c r="M859" s="67"/>
      <c r="N859" s="67"/>
      <c r="O859" s="67"/>
      <c r="P859" s="142"/>
      <c r="Q859" s="67"/>
      <c r="R859" s="67"/>
      <c r="S859" s="67"/>
      <c r="T859" s="67"/>
    </row>
    <row r="860" spans="1:20" ht="12.75" customHeight="1" x14ac:dyDescent="0.2">
      <c r="A860" s="71"/>
      <c r="B860" s="14" t="s">
        <v>3</v>
      </c>
      <c r="C860" s="15">
        <f t="shared" si="365"/>
        <v>0</v>
      </c>
      <c r="D860" s="16"/>
      <c r="E860" s="16"/>
      <c r="F860" s="16"/>
      <c r="G860" s="16"/>
      <c r="H860" s="16"/>
      <c r="I860" s="68"/>
      <c r="J860" s="68"/>
      <c r="K860" s="68"/>
      <c r="L860" s="68"/>
      <c r="M860" s="68"/>
      <c r="N860" s="68"/>
      <c r="O860" s="68"/>
      <c r="P860" s="143"/>
      <c r="Q860" s="68"/>
      <c r="R860" s="68"/>
      <c r="S860" s="68"/>
      <c r="T860" s="68"/>
    </row>
    <row r="861" spans="1:20" ht="12.75" customHeight="1" x14ac:dyDescent="0.2">
      <c r="A861" s="69" t="s">
        <v>631</v>
      </c>
      <c r="B861" s="85" t="s">
        <v>125</v>
      </c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6"/>
    </row>
    <row r="862" spans="1:20" ht="12.75" customHeight="1" x14ac:dyDescent="0.2">
      <c r="A862" s="70" t="s">
        <v>102</v>
      </c>
      <c r="B862" s="79" t="s">
        <v>181</v>
      </c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</row>
    <row r="863" spans="1:20" ht="50.1" customHeight="1" x14ac:dyDescent="0.2">
      <c r="A863" s="70"/>
      <c r="B863" s="100" t="s">
        <v>657</v>
      </c>
      <c r="C863" s="101"/>
      <c r="D863" s="101"/>
      <c r="E863" s="101"/>
      <c r="F863" s="101"/>
      <c r="G863" s="101"/>
      <c r="H863" s="102"/>
      <c r="I863" s="66" t="s">
        <v>637</v>
      </c>
      <c r="J863" s="66" t="s">
        <v>638</v>
      </c>
      <c r="K863" s="66" t="s">
        <v>40</v>
      </c>
      <c r="L863" s="66" t="s">
        <v>641</v>
      </c>
      <c r="M863" s="66" t="s">
        <v>126</v>
      </c>
      <c r="N863" s="66" t="s">
        <v>221</v>
      </c>
      <c r="O863" s="66" t="s">
        <v>126</v>
      </c>
      <c r="P863" s="141" t="s">
        <v>642</v>
      </c>
      <c r="Q863" s="66" t="s">
        <v>30</v>
      </c>
      <c r="R863" s="66" t="s">
        <v>35</v>
      </c>
      <c r="S863" s="66" t="s">
        <v>25</v>
      </c>
      <c r="T863" s="66"/>
    </row>
    <row r="864" spans="1:20" ht="12.75" customHeight="1" x14ac:dyDescent="0.2">
      <c r="A864" s="70"/>
      <c r="B864" s="14" t="s">
        <v>5</v>
      </c>
      <c r="C864" s="15">
        <f>SUM(D864:H864)</f>
        <v>6753.8969999999999</v>
      </c>
      <c r="D864" s="16">
        <f>SUM(D865:D868)</f>
        <v>665.47700000000009</v>
      </c>
      <c r="E864" s="16">
        <f t="shared" ref="E864:H864" si="366">SUM(E865:E868)</f>
        <v>6088.42</v>
      </c>
      <c r="F864" s="16">
        <f t="shared" si="366"/>
        <v>0</v>
      </c>
      <c r="G864" s="16">
        <f t="shared" si="366"/>
        <v>0</v>
      </c>
      <c r="H864" s="16">
        <f t="shared" si="366"/>
        <v>0</v>
      </c>
      <c r="I864" s="67"/>
      <c r="J864" s="67"/>
      <c r="K864" s="67"/>
      <c r="L864" s="67"/>
      <c r="M864" s="67"/>
      <c r="N864" s="67"/>
      <c r="O864" s="67"/>
      <c r="P864" s="142"/>
      <c r="Q864" s="67"/>
      <c r="R864" s="67"/>
      <c r="S864" s="67"/>
      <c r="T864" s="67"/>
    </row>
    <row r="865" spans="1:20" ht="12.75" customHeight="1" x14ac:dyDescent="0.2">
      <c r="A865" s="70"/>
      <c r="B865" s="14" t="s">
        <v>0</v>
      </c>
      <c r="C865" s="15">
        <f t="shared" ref="C865:C868" si="367">SUM(D865:H865)</f>
        <v>0</v>
      </c>
      <c r="D865" s="16"/>
      <c r="E865" s="16"/>
      <c r="F865" s="16"/>
      <c r="G865" s="16"/>
      <c r="H865" s="16"/>
      <c r="I865" s="67"/>
      <c r="J865" s="67"/>
      <c r="K865" s="67"/>
      <c r="L865" s="67"/>
      <c r="M865" s="67"/>
      <c r="N865" s="67"/>
      <c r="O865" s="67"/>
      <c r="P865" s="142"/>
      <c r="Q865" s="67"/>
      <c r="R865" s="67"/>
      <c r="S865" s="67"/>
      <c r="T865" s="67"/>
    </row>
    <row r="866" spans="1:20" ht="12.75" customHeight="1" x14ac:dyDescent="0.2">
      <c r="A866" s="70"/>
      <c r="B866" s="14" t="s">
        <v>1</v>
      </c>
      <c r="C866" s="15">
        <f t="shared" si="367"/>
        <v>6753.8969999999999</v>
      </c>
      <c r="D866" s="32">
        <f>0+1263.2-597.723</f>
        <v>665.47700000000009</v>
      </c>
      <c r="E866" s="16">
        <f>0+6088.42</f>
        <v>6088.42</v>
      </c>
      <c r="F866" s="16"/>
      <c r="G866" s="16"/>
      <c r="H866" s="16"/>
      <c r="I866" s="67"/>
      <c r="J866" s="67"/>
      <c r="K866" s="67"/>
      <c r="L866" s="67"/>
      <c r="M866" s="67"/>
      <c r="N866" s="67"/>
      <c r="O866" s="67"/>
      <c r="P866" s="142"/>
      <c r="Q866" s="67"/>
      <c r="R866" s="67"/>
      <c r="S866" s="67"/>
      <c r="T866" s="67"/>
    </row>
    <row r="867" spans="1:20" ht="12.75" customHeight="1" x14ac:dyDescent="0.2">
      <c r="A867" s="70"/>
      <c r="B867" s="14" t="s">
        <v>2</v>
      </c>
      <c r="C867" s="15">
        <f t="shared" si="367"/>
        <v>0</v>
      </c>
      <c r="D867" s="16"/>
      <c r="E867" s="16"/>
      <c r="F867" s="16"/>
      <c r="G867" s="16"/>
      <c r="H867" s="16"/>
      <c r="I867" s="67"/>
      <c r="J867" s="67"/>
      <c r="K867" s="67"/>
      <c r="L867" s="67"/>
      <c r="M867" s="67"/>
      <c r="N867" s="67"/>
      <c r="O867" s="67"/>
      <c r="P867" s="142"/>
      <c r="Q867" s="67"/>
      <c r="R867" s="67"/>
      <c r="S867" s="67"/>
      <c r="T867" s="67"/>
    </row>
    <row r="868" spans="1:20" ht="12.75" customHeight="1" x14ac:dyDescent="0.2">
      <c r="A868" s="71"/>
      <c r="B868" s="14" t="s">
        <v>3</v>
      </c>
      <c r="C868" s="15">
        <f t="shared" si="367"/>
        <v>0</v>
      </c>
      <c r="D868" s="16"/>
      <c r="E868" s="16"/>
      <c r="F868" s="16"/>
      <c r="G868" s="16"/>
      <c r="H868" s="16"/>
      <c r="I868" s="68"/>
      <c r="J868" s="68"/>
      <c r="K868" s="68"/>
      <c r="L868" s="68"/>
      <c r="M868" s="68"/>
      <c r="N868" s="68"/>
      <c r="O868" s="68"/>
      <c r="P868" s="143"/>
      <c r="Q868" s="68"/>
      <c r="R868" s="68"/>
      <c r="S868" s="68"/>
      <c r="T868" s="68"/>
    </row>
    <row r="869" spans="1:20" ht="12.75" customHeight="1" x14ac:dyDescent="0.2">
      <c r="A869" s="69" t="s">
        <v>632</v>
      </c>
      <c r="B869" s="85" t="s">
        <v>125</v>
      </c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6"/>
    </row>
    <row r="870" spans="1:20" ht="12.75" customHeight="1" x14ac:dyDescent="0.2">
      <c r="A870" s="70" t="s">
        <v>102</v>
      </c>
      <c r="B870" s="79" t="s">
        <v>181</v>
      </c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</row>
    <row r="871" spans="1:20" ht="50.1" customHeight="1" x14ac:dyDescent="0.2">
      <c r="A871" s="70"/>
      <c r="B871" s="100" t="s">
        <v>658</v>
      </c>
      <c r="C871" s="101"/>
      <c r="D871" s="101"/>
      <c r="E871" s="101"/>
      <c r="F871" s="101"/>
      <c r="G871" s="101"/>
      <c r="H871" s="102"/>
      <c r="I871" s="66" t="s">
        <v>643</v>
      </c>
      <c r="J871" s="66" t="s">
        <v>638</v>
      </c>
      <c r="K871" s="66" t="s">
        <v>40</v>
      </c>
      <c r="L871" s="66" t="s">
        <v>644</v>
      </c>
      <c r="M871" s="66" t="s">
        <v>126</v>
      </c>
      <c r="N871" s="66" t="s">
        <v>221</v>
      </c>
      <c r="O871" s="66" t="s">
        <v>126</v>
      </c>
      <c r="P871" s="141" t="s">
        <v>645</v>
      </c>
      <c r="Q871" s="66" t="s">
        <v>30</v>
      </c>
      <c r="R871" s="66" t="s">
        <v>41</v>
      </c>
      <c r="S871" s="66" t="s">
        <v>25</v>
      </c>
      <c r="T871" s="66"/>
    </row>
    <row r="872" spans="1:20" ht="12.75" customHeight="1" x14ac:dyDescent="0.2">
      <c r="A872" s="70"/>
      <c r="B872" s="14" t="s">
        <v>5</v>
      </c>
      <c r="C872" s="15">
        <f>SUM(D872:H872)</f>
        <v>5031.6309999999994</v>
      </c>
      <c r="D872" s="16">
        <f>SUM(D873:D876)</f>
        <v>246.03399999999999</v>
      </c>
      <c r="E872" s="16">
        <f t="shared" ref="E872:H872" si="368">SUM(E873:E876)</f>
        <v>4785.5969999999998</v>
      </c>
      <c r="F872" s="16">
        <f t="shared" si="368"/>
        <v>0</v>
      </c>
      <c r="G872" s="16">
        <f t="shared" si="368"/>
        <v>0</v>
      </c>
      <c r="H872" s="16">
        <f t="shared" si="368"/>
        <v>0</v>
      </c>
      <c r="I872" s="67"/>
      <c r="J872" s="67"/>
      <c r="K872" s="67"/>
      <c r="L872" s="67"/>
      <c r="M872" s="67"/>
      <c r="N872" s="67"/>
      <c r="O872" s="67"/>
      <c r="P872" s="142"/>
      <c r="Q872" s="67"/>
      <c r="R872" s="67"/>
      <c r="S872" s="67"/>
      <c r="T872" s="67"/>
    </row>
    <row r="873" spans="1:20" ht="12.75" customHeight="1" x14ac:dyDescent="0.2">
      <c r="A873" s="70"/>
      <c r="B873" s="14" t="s">
        <v>0</v>
      </c>
      <c r="C873" s="15">
        <f t="shared" ref="C873:C876" si="369">SUM(D873:H873)</f>
        <v>0</v>
      </c>
      <c r="D873" s="16"/>
      <c r="E873" s="16"/>
      <c r="F873" s="16"/>
      <c r="G873" s="16"/>
      <c r="H873" s="16"/>
      <c r="I873" s="67"/>
      <c r="J873" s="67"/>
      <c r="K873" s="67"/>
      <c r="L873" s="67"/>
      <c r="M873" s="67"/>
      <c r="N873" s="67"/>
      <c r="O873" s="67"/>
      <c r="P873" s="142"/>
      <c r="Q873" s="67"/>
      <c r="R873" s="67"/>
      <c r="S873" s="67"/>
      <c r="T873" s="67"/>
    </row>
    <row r="874" spans="1:20" ht="12.75" customHeight="1" x14ac:dyDescent="0.2">
      <c r="A874" s="70"/>
      <c r="B874" s="14" t="s">
        <v>1</v>
      </c>
      <c r="C874" s="15">
        <f t="shared" si="369"/>
        <v>5031.6309999999994</v>
      </c>
      <c r="D874" s="32">
        <f>0+508.273-259.684-2.555</f>
        <v>246.03399999999999</v>
      </c>
      <c r="E874" s="16">
        <f>0+4785.597</f>
        <v>4785.5969999999998</v>
      </c>
      <c r="F874" s="16"/>
      <c r="G874" s="16"/>
      <c r="H874" s="16"/>
      <c r="I874" s="67"/>
      <c r="J874" s="67"/>
      <c r="K874" s="67"/>
      <c r="L874" s="67"/>
      <c r="M874" s="67"/>
      <c r="N874" s="67"/>
      <c r="O874" s="67"/>
      <c r="P874" s="142"/>
      <c r="Q874" s="67"/>
      <c r="R874" s="67"/>
      <c r="S874" s="67"/>
      <c r="T874" s="67"/>
    </row>
    <row r="875" spans="1:20" ht="12.75" customHeight="1" x14ac:dyDescent="0.2">
      <c r="A875" s="70"/>
      <c r="B875" s="14" t="s">
        <v>2</v>
      </c>
      <c r="C875" s="15">
        <f t="shared" si="369"/>
        <v>0</v>
      </c>
      <c r="D875" s="16"/>
      <c r="E875" s="16"/>
      <c r="F875" s="16"/>
      <c r="G875" s="16"/>
      <c r="H875" s="16"/>
      <c r="I875" s="67"/>
      <c r="J875" s="67"/>
      <c r="K875" s="67"/>
      <c r="L875" s="67"/>
      <c r="M875" s="67"/>
      <c r="N875" s="67"/>
      <c r="O875" s="67"/>
      <c r="P875" s="142"/>
      <c r="Q875" s="67"/>
      <c r="R875" s="67"/>
      <c r="S875" s="67"/>
      <c r="T875" s="67"/>
    </row>
    <row r="876" spans="1:20" ht="12.75" customHeight="1" x14ac:dyDescent="0.2">
      <c r="A876" s="71"/>
      <c r="B876" s="14" t="s">
        <v>3</v>
      </c>
      <c r="C876" s="15">
        <f t="shared" si="369"/>
        <v>0</v>
      </c>
      <c r="D876" s="16"/>
      <c r="E876" s="16"/>
      <c r="F876" s="16"/>
      <c r="G876" s="16"/>
      <c r="H876" s="16"/>
      <c r="I876" s="68"/>
      <c r="J876" s="68"/>
      <c r="K876" s="68"/>
      <c r="L876" s="68"/>
      <c r="M876" s="68"/>
      <c r="N876" s="68"/>
      <c r="O876" s="68"/>
      <c r="P876" s="143"/>
      <c r="Q876" s="68"/>
      <c r="R876" s="68"/>
      <c r="S876" s="68"/>
      <c r="T876" s="68"/>
    </row>
    <row r="877" spans="1:20" ht="12.75" customHeight="1" x14ac:dyDescent="0.2">
      <c r="A877" s="69" t="s">
        <v>633</v>
      </c>
      <c r="B877" s="85" t="s">
        <v>125</v>
      </c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6"/>
    </row>
    <row r="878" spans="1:20" ht="12.75" customHeight="1" x14ac:dyDescent="0.2">
      <c r="A878" s="70" t="s">
        <v>102</v>
      </c>
      <c r="B878" s="79" t="s">
        <v>181</v>
      </c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</row>
    <row r="879" spans="1:20" ht="50.1" customHeight="1" x14ac:dyDescent="0.2">
      <c r="A879" s="70"/>
      <c r="B879" s="100" t="s">
        <v>646</v>
      </c>
      <c r="C879" s="101"/>
      <c r="D879" s="101"/>
      <c r="E879" s="101"/>
      <c r="F879" s="101"/>
      <c r="G879" s="101"/>
      <c r="H879" s="102"/>
      <c r="I879" s="66" t="s">
        <v>637</v>
      </c>
      <c r="J879" s="66" t="s">
        <v>638</v>
      </c>
      <c r="K879" s="66" t="s">
        <v>40</v>
      </c>
      <c r="L879" s="66" t="s">
        <v>647</v>
      </c>
      <c r="M879" s="66" t="s">
        <v>126</v>
      </c>
      <c r="N879" s="66" t="s">
        <v>221</v>
      </c>
      <c r="O879" s="66" t="s">
        <v>126</v>
      </c>
      <c r="P879" s="141" t="s">
        <v>648</v>
      </c>
      <c r="Q879" s="66" t="s">
        <v>30</v>
      </c>
      <c r="R879" s="66" t="s">
        <v>35</v>
      </c>
      <c r="S879" s="66" t="s">
        <v>25</v>
      </c>
      <c r="T879" s="66"/>
    </row>
    <row r="880" spans="1:20" ht="12.75" customHeight="1" x14ac:dyDescent="0.2">
      <c r="A880" s="70"/>
      <c r="B880" s="14" t="s">
        <v>5</v>
      </c>
      <c r="C880" s="15">
        <f>SUM(D880:H880)</f>
        <v>5769.4539999999997</v>
      </c>
      <c r="D880" s="16">
        <f>SUM(D881:D884)</f>
        <v>222.94099999999997</v>
      </c>
      <c r="E880" s="16">
        <f t="shared" ref="E880:H880" si="370">SUM(E881:E884)</f>
        <v>5546.5129999999999</v>
      </c>
      <c r="F880" s="16">
        <f t="shared" si="370"/>
        <v>0</v>
      </c>
      <c r="G880" s="16">
        <f t="shared" si="370"/>
        <v>0</v>
      </c>
      <c r="H880" s="16">
        <f t="shared" si="370"/>
        <v>0</v>
      </c>
      <c r="I880" s="67"/>
      <c r="J880" s="67"/>
      <c r="K880" s="67"/>
      <c r="L880" s="67"/>
      <c r="M880" s="67"/>
      <c r="N880" s="67"/>
      <c r="O880" s="67"/>
      <c r="P880" s="142"/>
      <c r="Q880" s="67"/>
      <c r="R880" s="67"/>
      <c r="S880" s="67"/>
      <c r="T880" s="67"/>
    </row>
    <row r="881" spans="1:20" ht="12.75" customHeight="1" x14ac:dyDescent="0.2">
      <c r="A881" s="70"/>
      <c r="B881" s="14" t="s">
        <v>0</v>
      </c>
      <c r="C881" s="15">
        <f t="shared" ref="C881:C884" si="371">SUM(D881:H881)</f>
        <v>0</v>
      </c>
      <c r="D881" s="16"/>
      <c r="E881" s="16"/>
      <c r="F881" s="16"/>
      <c r="G881" s="16"/>
      <c r="H881" s="16"/>
      <c r="I881" s="67"/>
      <c r="J881" s="67"/>
      <c r="K881" s="67"/>
      <c r="L881" s="67"/>
      <c r="M881" s="67"/>
      <c r="N881" s="67"/>
      <c r="O881" s="67"/>
      <c r="P881" s="142"/>
      <c r="Q881" s="67"/>
      <c r="R881" s="67"/>
      <c r="S881" s="67"/>
      <c r="T881" s="67"/>
    </row>
    <row r="882" spans="1:20" ht="12.75" customHeight="1" x14ac:dyDescent="0.2">
      <c r="A882" s="70"/>
      <c r="B882" s="14" t="s">
        <v>1</v>
      </c>
      <c r="C882" s="15">
        <f t="shared" si="371"/>
        <v>5769.4539999999997</v>
      </c>
      <c r="D882" s="32">
        <f>0+318.349-95.408</f>
        <v>222.94099999999997</v>
      </c>
      <c r="E882" s="16">
        <f>0+5546.513</f>
        <v>5546.5129999999999</v>
      </c>
      <c r="F882" s="16"/>
      <c r="G882" s="16"/>
      <c r="H882" s="16"/>
      <c r="I882" s="67"/>
      <c r="J882" s="67"/>
      <c r="K882" s="67"/>
      <c r="L882" s="67"/>
      <c r="M882" s="67"/>
      <c r="N882" s="67"/>
      <c r="O882" s="67"/>
      <c r="P882" s="142"/>
      <c r="Q882" s="67"/>
      <c r="R882" s="67"/>
      <c r="S882" s="67"/>
      <c r="T882" s="67"/>
    </row>
    <row r="883" spans="1:20" ht="12.75" customHeight="1" x14ac:dyDescent="0.2">
      <c r="A883" s="70"/>
      <c r="B883" s="14" t="s">
        <v>2</v>
      </c>
      <c r="C883" s="15">
        <f t="shared" si="371"/>
        <v>0</v>
      </c>
      <c r="D883" s="16"/>
      <c r="E883" s="16"/>
      <c r="F883" s="16"/>
      <c r="G883" s="16"/>
      <c r="H883" s="16"/>
      <c r="I883" s="67"/>
      <c r="J883" s="67"/>
      <c r="K883" s="67"/>
      <c r="L883" s="67"/>
      <c r="M883" s="67"/>
      <c r="N883" s="67"/>
      <c r="O883" s="67"/>
      <c r="P883" s="142"/>
      <c r="Q883" s="67"/>
      <c r="R883" s="67"/>
      <c r="S883" s="67"/>
      <c r="T883" s="67"/>
    </row>
    <row r="884" spans="1:20" ht="12.75" customHeight="1" x14ac:dyDescent="0.2">
      <c r="A884" s="71"/>
      <c r="B884" s="14" t="s">
        <v>3</v>
      </c>
      <c r="C884" s="15">
        <f t="shared" si="371"/>
        <v>0</v>
      </c>
      <c r="D884" s="16"/>
      <c r="E884" s="16"/>
      <c r="F884" s="16"/>
      <c r="G884" s="16"/>
      <c r="H884" s="16"/>
      <c r="I884" s="68"/>
      <c r="J884" s="68"/>
      <c r="K884" s="68"/>
      <c r="L884" s="68"/>
      <c r="M884" s="68"/>
      <c r="N884" s="68"/>
      <c r="O884" s="68"/>
      <c r="P884" s="143"/>
      <c r="Q884" s="68"/>
      <c r="R884" s="68"/>
      <c r="S884" s="68"/>
      <c r="T884" s="68"/>
    </row>
    <row r="885" spans="1:20" ht="12.75" customHeight="1" x14ac:dyDescent="0.2">
      <c r="A885" s="69" t="s">
        <v>634</v>
      </c>
      <c r="B885" s="85" t="s">
        <v>125</v>
      </c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6"/>
    </row>
    <row r="886" spans="1:20" ht="12.75" customHeight="1" x14ac:dyDescent="0.2">
      <c r="A886" s="70" t="s">
        <v>102</v>
      </c>
      <c r="B886" s="79" t="s">
        <v>181</v>
      </c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</row>
    <row r="887" spans="1:20" ht="50.1" customHeight="1" x14ac:dyDescent="0.2">
      <c r="A887" s="70"/>
      <c r="B887" s="100" t="s">
        <v>659</v>
      </c>
      <c r="C887" s="101"/>
      <c r="D887" s="101"/>
      <c r="E887" s="101"/>
      <c r="F887" s="101"/>
      <c r="G887" s="101"/>
      <c r="H887" s="102"/>
      <c r="I887" s="66" t="s">
        <v>643</v>
      </c>
      <c r="J887" s="66" t="s">
        <v>638</v>
      </c>
      <c r="K887" s="66" t="s">
        <v>40</v>
      </c>
      <c r="L887" s="66" t="s">
        <v>649</v>
      </c>
      <c r="M887" s="66" t="s">
        <v>126</v>
      </c>
      <c r="N887" s="66" t="s">
        <v>221</v>
      </c>
      <c r="O887" s="66" t="s">
        <v>126</v>
      </c>
      <c r="P887" s="180" t="s">
        <v>650</v>
      </c>
      <c r="Q887" s="66" t="s">
        <v>30</v>
      </c>
      <c r="R887" s="66" t="s">
        <v>34</v>
      </c>
      <c r="S887" s="66" t="s">
        <v>25</v>
      </c>
      <c r="T887" s="66"/>
    </row>
    <row r="888" spans="1:20" ht="12.75" customHeight="1" x14ac:dyDescent="0.2">
      <c r="A888" s="70"/>
      <c r="B888" s="14" t="s">
        <v>5</v>
      </c>
      <c r="C888" s="15">
        <f>SUM(D888:H888)</f>
        <v>7844.9529999999995</v>
      </c>
      <c r="D888" s="16">
        <f>SUM(D889:D892)</f>
        <v>2002.7529999999999</v>
      </c>
      <c r="E888" s="16">
        <f t="shared" ref="E888:H888" si="372">SUM(E889:E892)</f>
        <v>5842.2</v>
      </c>
      <c r="F888" s="16">
        <f t="shared" si="372"/>
        <v>0</v>
      </c>
      <c r="G888" s="16">
        <f t="shared" si="372"/>
        <v>0</v>
      </c>
      <c r="H888" s="16">
        <f t="shared" si="372"/>
        <v>0</v>
      </c>
      <c r="I888" s="67"/>
      <c r="J888" s="67"/>
      <c r="K888" s="67"/>
      <c r="L888" s="67"/>
      <c r="M888" s="67"/>
      <c r="N888" s="67"/>
      <c r="O888" s="67"/>
      <c r="P888" s="181"/>
      <c r="Q888" s="67"/>
      <c r="R888" s="67"/>
      <c r="S888" s="67"/>
      <c r="T888" s="67"/>
    </row>
    <row r="889" spans="1:20" ht="12.75" customHeight="1" x14ac:dyDescent="0.2">
      <c r="A889" s="70"/>
      <c r="B889" s="14" t="s">
        <v>0</v>
      </c>
      <c r="C889" s="15">
        <f t="shared" ref="C889:C892" si="373">SUM(D889:H889)</f>
        <v>0</v>
      </c>
      <c r="D889" s="16"/>
      <c r="E889" s="16"/>
      <c r="F889" s="16"/>
      <c r="G889" s="16"/>
      <c r="H889" s="16"/>
      <c r="I889" s="67"/>
      <c r="J889" s="67"/>
      <c r="K889" s="67"/>
      <c r="L889" s="67"/>
      <c r="M889" s="67"/>
      <c r="N889" s="67"/>
      <c r="O889" s="67"/>
      <c r="P889" s="181"/>
      <c r="Q889" s="67"/>
      <c r="R889" s="67"/>
      <c r="S889" s="67"/>
      <c r="T889" s="67"/>
    </row>
    <row r="890" spans="1:20" ht="12.75" customHeight="1" x14ac:dyDescent="0.2">
      <c r="A890" s="70"/>
      <c r="B890" s="14" t="s">
        <v>1</v>
      </c>
      <c r="C890" s="15">
        <f t="shared" si="373"/>
        <v>7844.9529999999995</v>
      </c>
      <c r="D890" s="32">
        <f>0+2407.5-365.982-38.765</f>
        <v>2002.7529999999999</v>
      </c>
      <c r="E890" s="16">
        <f>0+5842.2</f>
        <v>5842.2</v>
      </c>
      <c r="F890" s="16"/>
      <c r="G890" s="16"/>
      <c r="H890" s="16"/>
      <c r="I890" s="67"/>
      <c r="J890" s="67"/>
      <c r="K890" s="67"/>
      <c r="L890" s="67"/>
      <c r="M890" s="67"/>
      <c r="N890" s="67"/>
      <c r="O890" s="67"/>
      <c r="P890" s="181"/>
      <c r="Q890" s="67"/>
      <c r="R890" s="67"/>
      <c r="S890" s="67"/>
      <c r="T890" s="67"/>
    </row>
    <row r="891" spans="1:20" ht="12.75" customHeight="1" x14ac:dyDescent="0.2">
      <c r="A891" s="70"/>
      <c r="B891" s="14" t="s">
        <v>2</v>
      </c>
      <c r="C891" s="15">
        <f t="shared" si="373"/>
        <v>0</v>
      </c>
      <c r="D891" s="16"/>
      <c r="E891" s="16"/>
      <c r="F891" s="16"/>
      <c r="G891" s="16"/>
      <c r="H891" s="16"/>
      <c r="I891" s="67"/>
      <c r="J891" s="67"/>
      <c r="K891" s="67"/>
      <c r="L891" s="67"/>
      <c r="M891" s="67"/>
      <c r="N891" s="67"/>
      <c r="O891" s="67"/>
      <c r="P891" s="181"/>
      <c r="Q891" s="67"/>
      <c r="R891" s="67"/>
      <c r="S891" s="67"/>
      <c r="T891" s="67"/>
    </row>
    <row r="892" spans="1:20" ht="12.75" customHeight="1" x14ac:dyDescent="0.2">
      <c r="A892" s="71"/>
      <c r="B892" s="14" t="s">
        <v>3</v>
      </c>
      <c r="C892" s="15">
        <f t="shared" si="373"/>
        <v>0</v>
      </c>
      <c r="D892" s="16"/>
      <c r="E892" s="16"/>
      <c r="F892" s="16"/>
      <c r="G892" s="16"/>
      <c r="H892" s="16"/>
      <c r="I892" s="68"/>
      <c r="J892" s="68"/>
      <c r="K892" s="68"/>
      <c r="L892" s="68"/>
      <c r="M892" s="68"/>
      <c r="N892" s="68"/>
      <c r="O892" s="68"/>
      <c r="P892" s="182"/>
      <c r="Q892" s="68"/>
      <c r="R892" s="68"/>
      <c r="S892" s="68"/>
      <c r="T892" s="68"/>
    </row>
    <row r="893" spans="1:20" ht="12.75" customHeight="1" x14ac:dyDescent="0.2">
      <c r="A893" s="69" t="s">
        <v>635</v>
      </c>
      <c r="B893" s="85" t="s">
        <v>125</v>
      </c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6"/>
    </row>
    <row r="894" spans="1:20" ht="12.75" customHeight="1" x14ac:dyDescent="0.2">
      <c r="A894" s="70" t="s">
        <v>102</v>
      </c>
      <c r="B894" s="79" t="s">
        <v>181</v>
      </c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</row>
    <row r="895" spans="1:20" ht="50.1" customHeight="1" x14ac:dyDescent="0.2">
      <c r="A895" s="70"/>
      <c r="B895" s="100" t="s">
        <v>660</v>
      </c>
      <c r="C895" s="101"/>
      <c r="D895" s="101"/>
      <c r="E895" s="101"/>
      <c r="F895" s="101"/>
      <c r="G895" s="101"/>
      <c r="H895" s="102"/>
      <c r="I895" s="66" t="s">
        <v>637</v>
      </c>
      <c r="J895" s="66" t="s">
        <v>638</v>
      </c>
      <c r="K895" s="66" t="s">
        <v>40</v>
      </c>
      <c r="L895" s="66" t="s">
        <v>651</v>
      </c>
      <c r="M895" s="66" t="s">
        <v>126</v>
      </c>
      <c r="N895" s="66" t="s">
        <v>221</v>
      </c>
      <c r="O895" s="66" t="s">
        <v>126</v>
      </c>
      <c r="P895" s="180" t="s">
        <v>652</v>
      </c>
      <c r="Q895" s="66" t="s">
        <v>30</v>
      </c>
      <c r="R895" s="66" t="s">
        <v>48</v>
      </c>
      <c r="S895" s="66" t="s">
        <v>25</v>
      </c>
      <c r="T895" s="66"/>
    </row>
    <row r="896" spans="1:20" ht="12.75" customHeight="1" x14ac:dyDescent="0.2">
      <c r="A896" s="70"/>
      <c r="B896" s="14" t="s">
        <v>5</v>
      </c>
      <c r="C896" s="15">
        <f>SUM(D896:H896)</f>
        <v>12447.058000000001</v>
      </c>
      <c r="D896" s="16">
        <f>SUM(D897:D900)</f>
        <v>0</v>
      </c>
      <c r="E896" s="16">
        <f t="shared" ref="E896:H896" si="374">SUM(E897:E900)</f>
        <v>12447.058000000001</v>
      </c>
      <c r="F896" s="16">
        <f t="shared" si="374"/>
        <v>0</v>
      </c>
      <c r="G896" s="16">
        <f t="shared" si="374"/>
        <v>0</v>
      </c>
      <c r="H896" s="16">
        <f t="shared" si="374"/>
        <v>0</v>
      </c>
      <c r="I896" s="67"/>
      <c r="J896" s="67"/>
      <c r="K896" s="67"/>
      <c r="L896" s="67"/>
      <c r="M896" s="67"/>
      <c r="N896" s="67"/>
      <c r="O896" s="67"/>
      <c r="P896" s="181"/>
      <c r="Q896" s="67"/>
      <c r="R896" s="67"/>
      <c r="S896" s="67"/>
      <c r="T896" s="67"/>
    </row>
    <row r="897" spans="1:20" ht="12.75" customHeight="1" x14ac:dyDescent="0.2">
      <c r="A897" s="70"/>
      <c r="B897" s="14" t="s">
        <v>0</v>
      </c>
      <c r="C897" s="15">
        <f t="shared" ref="C897:C900" si="375">SUM(D897:H897)</f>
        <v>0</v>
      </c>
      <c r="D897" s="16"/>
      <c r="E897" s="16"/>
      <c r="F897" s="16"/>
      <c r="G897" s="16"/>
      <c r="H897" s="16"/>
      <c r="I897" s="67"/>
      <c r="J897" s="67"/>
      <c r="K897" s="67"/>
      <c r="L897" s="67"/>
      <c r="M897" s="67"/>
      <c r="N897" s="67"/>
      <c r="O897" s="67"/>
      <c r="P897" s="181"/>
      <c r="Q897" s="67"/>
      <c r="R897" s="67"/>
      <c r="S897" s="67"/>
      <c r="T897" s="67"/>
    </row>
    <row r="898" spans="1:20" ht="12.75" customHeight="1" x14ac:dyDescent="0.2">
      <c r="A898" s="70"/>
      <c r="B898" s="14" t="s">
        <v>1</v>
      </c>
      <c r="C898" s="15">
        <f t="shared" si="375"/>
        <v>12447.058000000001</v>
      </c>
      <c r="D898" s="32">
        <f>0+802.359-802.359</f>
        <v>0</v>
      </c>
      <c r="E898" s="32">
        <f>0+1947.058+10500</f>
        <v>12447.058000000001</v>
      </c>
      <c r="F898" s="16"/>
      <c r="G898" s="16"/>
      <c r="H898" s="16"/>
      <c r="I898" s="67"/>
      <c r="J898" s="67"/>
      <c r="K898" s="67"/>
      <c r="L898" s="67"/>
      <c r="M898" s="67"/>
      <c r="N898" s="67"/>
      <c r="O898" s="67"/>
      <c r="P898" s="181"/>
      <c r="Q898" s="67"/>
      <c r="R898" s="67"/>
      <c r="S898" s="67"/>
      <c r="T898" s="67"/>
    </row>
    <row r="899" spans="1:20" ht="12.75" customHeight="1" x14ac:dyDescent="0.2">
      <c r="A899" s="70"/>
      <c r="B899" s="14" t="s">
        <v>2</v>
      </c>
      <c r="C899" s="15">
        <f t="shared" si="375"/>
        <v>0</v>
      </c>
      <c r="D899" s="16"/>
      <c r="E899" s="16"/>
      <c r="F899" s="16"/>
      <c r="G899" s="16"/>
      <c r="H899" s="16"/>
      <c r="I899" s="67"/>
      <c r="J899" s="67"/>
      <c r="K899" s="67"/>
      <c r="L899" s="67"/>
      <c r="M899" s="67"/>
      <c r="N899" s="67"/>
      <c r="O899" s="67"/>
      <c r="P899" s="181"/>
      <c r="Q899" s="67"/>
      <c r="R899" s="67"/>
      <c r="S899" s="67"/>
      <c r="T899" s="67"/>
    </row>
    <row r="900" spans="1:20" ht="12.75" customHeight="1" x14ac:dyDescent="0.2">
      <c r="A900" s="71"/>
      <c r="B900" s="14" t="s">
        <v>3</v>
      </c>
      <c r="C900" s="15">
        <f t="shared" si="375"/>
        <v>0</v>
      </c>
      <c r="D900" s="16"/>
      <c r="E900" s="16"/>
      <c r="F900" s="16"/>
      <c r="G900" s="16"/>
      <c r="H900" s="16"/>
      <c r="I900" s="68"/>
      <c r="J900" s="68"/>
      <c r="K900" s="68"/>
      <c r="L900" s="68"/>
      <c r="M900" s="68"/>
      <c r="N900" s="68"/>
      <c r="O900" s="68"/>
      <c r="P900" s="182"/>
      <c r="Q900" s="68"/>
      <c r="R900" s="68"/>
      <c r="S900" s="68"/>
      <c r="T900" s="68"/>
    </row>
    <row r="901" spans="1:20" ht="12.75" customHeight="1" x14ac:dyDescent="0.2">
      <c r="A901" s="69" t="s">
        <v>636</v>
      </c>
      <c r="B901" s="85" t="s">
        <v>125</v>
      </c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6"/>
    </row>
    <row r="902" spans="1:20" ht="12.75" customHeight="1" x14ac:dyDescent="0.2">
      <c r="A902" s="70" t="s">
        <v>102</v>
      </c>
      <c r="B902" s="79" t="s">
        <v>181</v>
      </c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</row>
    <row r="903" spans="1:20" ht="50.1" customHeight="1" x14ac:dyDescent="0.2">
      <c r="A903" s="70"/>
      <c r="B903" s="100" t="s">
        <v>661</v>
      </c>
      <c r="C903" s="101"/>
      <c r="D903" s="101"/>
      <c r="E903" s="101"/>
      <c r="F903" s="101"/>
      <c r="G903" s="101"/>
      <c r="H903" s="102"/>
      <c r="I903" s="66" t="s">
        <v>643</v>
      </c>
      <c r="J903" s="66" t="s">
        <v>638</v>
      </c>
      <c r="K903" s="66" t="s">
        <v>40</v>
      </c>
      <c r="L903" s="66" t="s">
        <v>653</v>
      </c>
      <c r="M903" s="66" t="s">
        <v>126</v>
      </c>
      <c r="N903" s="66" t="s">
        <v>221</v>
      </c>
      <c r="O903" s="66" t="s">
        <v>126</v>
      </c>
      <c r="P903" s="180" t="s">
        <v>654</v>
      </c>
      <c r="Q903" s="66" t="s">
        <v>30</v>
      </c>
      <c r="R903" s="66" t="s">
        <v>48</v>
      </c>
      <c r="S903" s="66" t="s">
        <v>25</v>
      </c>
      <c r="T903" s="66"/>
    </row>
    <row r="904" spans="1:20" ht="12.75" customHeight="1" x14ac:dyDescent="0.2">
      <c r="A904" s="70"/>
      <c r="B904" s="14" t="s">
        <v>5</v>
      </c>
      <c r="C904" s="15">
        <f>SUM(D904:H904)</f>
        <v>9735.3109999999997</v>
      </c>
      <c r="D904" s="16">
        <f>SUM(D905:D908)</f>
        <v>0</v>
      </c>
      <c r="E904" s="16">
        <f t="shared" ref="E904:H904" si="376">SUM(E905:E908)</f>
        <v>9735.3109999999997</v>
      </c>
      <c r="F904" s="16">
        <f t="shared" si="376"/>
        <v>0</v>
      </c>
      <c r="G904" s="16">
        <f t="shared" si="376"/>
        <v>0</v>
      </c>
      <c r="H904" s="16">
        <f t="shared" si="376"/>
        <v>0</v>
      </c>
      <c r="I904" s="67"/>
      <c r="J904" s="67"/>
      <c r="K904" s="67"/>
      <c r="L904" s="67"/>
      <c r="M904" s="67"/>
      <c r="N904" s="67"/>
      <c r="O904" s="67"/>
      <c r="P904" s="181"/>
      <c r="Q904" s="67"/>
      <c r="R904" s="67"/>
      <c r="S904" s="67"/>
      <c r="T904" s="67"/>
    </row>
    <row r="905" spans="1:20" ht="12.75" customHeight="1" x14ac:dyDescent="0.2">
      <c r="A905" s="70"/>
      <c r="B905" s="14" t="s">
        <v>0</v>
      </c>
      <c r="C905" s="15">
        <f t="shared" ref="C905:C908" si="377">SUM(D905:H905)</f>
        <v>0</v>
      </c>
      <c r="D905" s="16"/>
      <c r="E905" s="16"/>
      <c r="F905" s="16"/>
      <c r="G905" s="16"/>
      <c r="H905" s="16"/>
      <c r="I905" s="67"/>
      <c r="J905" s="67"/>
      <c r="K905" s="67"/>
      <c r="L905" s="67"/>
      <c r="M905" s="67"/>
      <c r="N905" s="67"/>
      <c r="O905" s="67"/>
      <c r="P905" s="181"/>
      <c r="Q905" s="67"/>
      <c r="R905" s="67"/>
      <c r="S905" s="67"/>
      <c r="T905" s="67"/>
    </row>
    <row r="906" spans="1:20" ht="12.75" customHeight="1" x14ac:dyDescent="0.2">
      <c r="A906" s="70"/>
      <c r="B906" s="14" t="s">
        <v>1</v>
      </c>
      <c r="C906" s="15">
        <f t="shared" si="377"/>
        <v>9735.3109999999997</v>
      </c>
      <c r="D906" s="32">
        <f>0+4011.804-3066.235-945.569</f>
        <v>0</v>
      </c>
      <c r="E906" s="16">
        <f>0+9735.311</f>
        <v>9735.3109999999997</v>
      </c>
      <c r="F906" s="16"/>
      <c r="G906" s="16"/>
      <c r="H906" s="16"/>
      <c r="I906" s="67"/>
      <c r="J906" s="67"/>
      <c r="K906" s="67"/>
      <c r="L906" s="67"/>
      <c r="M906" s="67"/>
      <c r="N906" s="67"/>
      <c r="O906" s="67"/>
      <c r="P906" s="181"/>
      <c r="Q906" s="67"/>
      <c r="R906" s="67"/>
      <c r="S906" s="67"/>
      <c r="T906" s="67"/>
    </row>
    <row r="907" spans="1:20" ht="12.75" customHeight="1" x14ac:dyDescent="0.2">
      <c r="A907" s="70"/>
      <c r="B907" s="14" t="s">
        <v>2</v>
      </c>
      <c r="C907" s="15">
        <f t="shared" si="377"/>
        <v>0</v>
      </c>
      <c r="D907" s="16"/>
      <c r="E907" s="16"/>
      <c r="F907" s="16"/>
      <c r="G907" s="16"/>
      <c r="H907" s="16"/>
      <c r="I907" s="67"/>
      <c r="J907" s="67"/>
      <c r="K907" s="67"/>
      <c r="L907" s="67"/>
      <c r="M907" s="67"/>
      <c r="N907" s="67"/>
      <c r="O907" s="67"/>
      <c r="P907" s="181"/>
      <c r="Q907" s="67"/>
      <c r="R907" s="67"/>
      <c r="S907" s="67"/>
      <c r="T907" s="67"/>
    </row>
    <row r="908" spans="1:20" ht="12.75" customHeight="1" x14ac:dyDescent="0.2">
      <c r="A908" s="71"/>
      <c r="B908" s="14" t="s">
        <v>3</v>
      </c>
      <c r="C908" s="15">
        <f t="shared" si="377"/>
        <v>0</v>
      </c>
      <c r="D908" s="16"/>
      <c r="E908" s="16"/>
      <c r="F908" s="16"/>
      <c r="G908" s="16"/>
      <c r="H908" s="16"/>
      <c r="I908" s="68"/>
      <c r="J908" s="68"/>
      <c r="K908" s="68"/>
      <c r="L908" s="68"/>
      <c r="M908" s="68"/>
      <c r="N908" s="68"/>
      <c r="O908" s="68"/>
      <c r="P908" s="182"/>
      <c r="Q908" s="68"/>
      <c r="R908" s="68"/>
      <c r="S908" s="68"/>
      <c r="T908" s="68"/>
    </row>
    <row r="909" spans="1:20" ht="12.75" customHeight="1" x14ac:dyDescent="0.2">
      <c r="A909" s="51" t="s">
        <v>672</v>
      </c>
      <c r="B909" s="54" t="s">
        <v>125</v>
      </c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5"/>
    </row>
    <row r="910" spans="1:20" ht="12.75" customHeight="1" x14ac:dyDescent="0.2">
      <c r="A910" s="52" t="s">
        <v>102</v>
      </c>
      <c r="B910" s="58" t="s">
        <v>181</v>
      </c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</row>
    <row r="911" spans="1:20" ht="50.1" customHeight="1" x14ac:dyDescent="0.2">
      <c r="A911" s="52"/>
      <c r="B911" s="59" t="s">
        <v>697</v>
      </c>
      <c r="C911" s="54"/>
      <c r="D911" s="54"/>
      <c r="E911" s="54"/>
      <c r="F911" s="54"/>
      <c r="G911" s="54"/>
      <c r="H911" s="55"/>
      <c r="I911" s="184" t="s">
        <v>24</v>
      </c>
      <c r="J911" s="184" t="s">
        <v>116</v>
      </c>
      <c r="K911" s="60" t="s">
        <v>40</v>
      </c>
      <c r="L911" s="60" t="s">
        <v>264</v>
      </c>
      <c r="M911" s="60" t="s">
        <v>126</v>
      </c>
      <c r="N911" s="60" t="s">
        <v>221</v>
      </c>
      <c r="O911" s="60" t="s">
        <v>126</v>
      </c>
      <c r="P911" s="187">
        <v>562631.16</v>
      </c>
      <c r="Q911" s="60" t="s">
        <v>30</v>
      </c>
      <c r="R911" s="60" t="s">
        <v>8</v>
      </c>
      <c r="S911" s="60"/>
      <c r="T911" s="60" t="s">
        <v>698</v>
      </c>
    </row>
    <row r="912" spans="1:20" ht="12.75" customHeight="1" x14ac:dyDescent="0.2">
      <c r="A912" s="52"/>
      <c r="B912" s="30" t="s">
        <v>5</v>
      </c>
      <c r="C912" s="31">
        <f>SUM(D912:H912)</f>
        <v>286.25335000000001</v>
      </c>
      <c r="D912" s="32">
        <f>SUM(D913:D916)</f>
        <v>286.25335000000001</v>
      </c>
      <c r="E912" s="32">
        <f t="shared" ref="E912:H912" si="378">SUM(E913:E916)</f>
        <v>0</v>
      </c>
      <c r="F912" s="32">
        <f t="shared" si="378"/>
        <v>0</v>
      </c>
      <c r="G912" s="32">
        <f t="shared" si="378"/>
        <v>0</v>
      </c>
      <c r="H912" s="32">
        <f t="shared" si="378"/>
        <v>0</v>
      </c>
      <c r="I912" s="185"/>
      <c r="J912" s="185"/>
      <c r="K912" s="61"/>
      <c r="L912" s="61"/>
      <c r="M912" s="61"/>
      <c r="N912" s="61"/>
      <c r="O912" s="61"/>
      <c r="P912" s="61"/>
      <c r="Q912" s="61"/>
      <c r="R912" s="61"/>
      <c r="S912" s="61"/>
      <c r="T912" s="61"/>
    </row>
    <row r="913" spans="1:20" ht="12.75" customHeight="1" x14ac:dyDescent="0.2">
      <c r="A913" s="52"/>
      <c r="B913" s="30" t="s">
        <v>0</v>
      </c>
      <c r="C913" s="31">
        <f t="shared" ref="C913:C916" si="379">SUM(D913:H913)</f>
        <v>0</v>
      </c>
      <c r="D913" s="32"/>
      <c r="E913" s="32"/>
      <c r="F913" s="32"/>
      <c r="G913" s="32"/>
      <c r="H913" s="32"/>
      <c r="I913" s="185"/>
      <c r="J913" s="185"/>
      <c r="K913" s="61"/>
      <c r="L913" s="61"/>
      <c r="M913" s="61"/>
      <c r="N913" s="61"/>
      <c r="O913" s="61"/>
      <c r="P913" s="61"/>
      <c r="Q913" s="61"/>
      <c r="R913" s="61"/>
      <c r="S913" s="61"/>
      <c r="T913" s="61"/>
    </row>
    <row r="914" spans="1:20" ht="12.75" customHeight="1" x14ac:dyDescent="0.2">
      <c r="A914" s="52"/>
      <c r="B914" s="30" t="s">
        <v>1</v>
      </c>
      <c r="C914" s="31">
        <f t="shared" si="379"/>
        <v>286.25335000000001</v>
      </c>
      <c r="D914" s="32">
        <f>0+286.25335</f>
        <v>286.25335000000001</v>
      </c>
      <c r="E914" s="32"/>
      <c r="F914" s="32"/>
      <c r="G914" s="32"/>
      <c r="H914" s="32"/>
      <c r="I914" s="185"/>
      <c r="J914" s="185"/>
      <c r="K914" s="61"/>
      <c r="L914" s="61"/>
      <c r="M914" s="61"/>
      <c r="N914" s="61"/>
      <c r="O914" s="61"/>
      <c r="P914" s="61"/>
      <c r="Q914" s="61"/>
      <c r="R914" s="61"/>
      <c r="S914" s="61"/>
      <c r="T914" s="61"/>
    </row>
    <row r="915" spans="1:20" ht="12.75" customHeight="1" x14ac:dyDescent="0.2">
      <c r="A915" s="52"/>
      <c r="B915" s="30" t="s">
        <v>2</v>
      </c>
      <c r="C915" s="31">
        <f t="shared" si="379"/>
        <v>0</v>
      </c>
      <c r="D915" s="32"/>
      <c r="E915" s="32"/>
      <c r="F915" s="32"/>
      <c r="G915" s="32"/>
      <c r="H915" s="32"/>
      <c r="I915" s="185"/>
      <c r="J915" s="185"/>
      <c r="K915" s="61"/>
      <c r="L915" s="61"/>
      <c r="M915" s="61"/>
      <c r="N915" s="61"/>
      <c r="O915" s="61"/>
      <c r="P915" s="61"/>
      <c r="Q915" s="61"/>
      <c r="R915" s="61"/>
      <c r="S915" s="61"/>
      <c r="T915" s="61"/>
    </row>
    <row r="916" spans="1:20" ht="12.75" customHeight="1" x14ac:dyDescent="0.2">
      <c r="A916" s="53"/>
      <c r="B916" s="30" t="s">
        <v>3</v>
      </c>
      <c r="C916" s="31">
        <f t="shared" si="379"/>
        <v>0</v>
      </c>
      <c r="D916" s="32"/>
      <c r="E916" s="32"/>
      <c r="F916" s="32"/>
      <c r="G916" s="32"/>
      <c r="H916" s="32"/>
      <c r="I916" s="186"/>
      <c r="J916" s="186"/>
      <c r="K916" s="62"/>
      <c r="L916" s="62"/>
      <c r="M916" s="62"/>
      <c r="N916" s="62"/>
      <c r="O916" s="62"/>
      <c r="P916" s="62"/>
      <c r="Q916" s="62"/>
      <c r="R916" s="62"/>
      <c r="S916" s="62"/>
      <c r="T916" s="62"/>
    </row>
    <row r="917" spans="1:20" x14ac:dyDescent="0.2">
      <c r="A917" s="88" t="s">
        <v>123</v>
      </c>
      <c r="B917" s="79" t="s">
        <v>186</v>
      </c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</row>
    <row r="918" spans="1:20" x14ac:dyDescent="0.2">
      <c r="A918" s="89"/>
      <c r="B918" s="12" t="s">
        <v>5</v>
      </c>
      <c r="C918" s="13">
        <f>SUM(D918:H918)</f>
        <v>200198.26009999998</v>
      </c>
      <c r="D918" s="13">
        <f>SUM(D919:D922)</f>
        <v>200198.26009999998</v>
      </c>
      <c r="E918" s="13">
        <f t="shared" ref="E918:F918" si="380">SUM(E919:E922)</f>
        <v>0</v>
      </c>
      <c r="F918" s="13">
        <f t="shared" si="380"/>
        <v>0</v>
      </c>
      <c r="G918" s="13">
        <f t="shared" ref="G918:H918" si="381">SUM(G919:G922)</f>
        <v>0</v>
      </c>
      <c r="H918" s="13">
        <f t="shared" si="381"/>
        <v>0</v>
      </c>
      <c r="I918" s="91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3"/>
    </row>
    <row r="919" spans="1:20" ht="12.75" customHeight="1" x14ac:dyDescent="0.2">
      <c r="A919" s="89"/>
      <c r="B919" s="12" t="s">
        <v>0</v>
      </c>
      <c r="C919" s="13">
        <f t="shared" ref="C919:C922" si="382">SUM(D919:H919)</f>
        <v>0</v>
      </c>
      <c r="D919" s="13">
        <f>D927+D935+D943</f>
        <v>0</v>
      </c>
      <c r="E919" s="13">
        <f t="shared" ref="E919:H919" si="383">E927+E935+E943</f>
        <v>0</v>
      </c>
      <c r="F919" s="13">
        <f t="shared" si="383"/>
        <v>0</v>
      </c>
      <c r="G919" s="13">
        <f t="shared" si="383"/>
        <v>0</v>
      </c>
      <c r="H919" s="13">
        <f t="shared" si="383"/>
        <v>0</v>
      </c>
      <c r="I919" s="94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6"/>
    </row>
    <row r="920" spans="1:20" ht="12.75" customHeight="1" x14ac:dyDescent="0.2">
      <c r="A920" s="89"/>
      <c r="B920" s="12" t="s">
        <v>1</v>
      </c>
      <c r="C920" s="13">
        <f t="shared" si="382"/>
        <v>198196.2775</v>
      </c>
      <c r="D920" s="13">
        <f>D928+D936+D944</f>
        <v>198196.2775</v>
      </c>
      <c r="E920" s="13">
        <f t="shared" ref="E920:H920" si="384">E928+E936+E944</f>
        <v>0</v>
      </c>
      <c r="F920" s="13">
        <f t="shared" si="384"/>
        <v>0</v>
      </c>
      <c r="G920" s="13">
        <f t="shared" si="384"/>
        <v>0</v>
      </c>
      <c r="H920" s="13">
        <f t="shared" si="384"/>
        <v>0</v>
      </c>
      <c r="I920" s="94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6"/>
    </row>
    <row r="921" spans="1:20" ht="12.75" customHeight="1" x14ac:dyDescent="0.2">
      <c r="A921" s="89"/>
      <c r="B921" s="12" t="s">
        <v>2</v>
      </c>
      <c r="C921" s="13">
        <f t="shared" si="382"/>
        <v>2001.9825999999998</v>
      </c>
      <c r="D921" s="13">
        <f>D929+D937+D945</f>
        <v>2001.9825999999998</v>
      </c>
      <c r="E921" s="13">
        <f t="shared" ref="E921:H921" si="385">E929+E937+E945</f>
        <v>0</v>
      </c>
      <c r="F921" s="13">
        <f t="shared" si="385"/>
        <v>0</v>
      </c>
      <c r="G921" s="13">
        <f t="shared" si="385"/>
        <v>0</v>
      </c>
      <c r="H921" s="13">
        <f t="shared" si="385"/>
        <v>0</v>
      </c>
      <c r="I921" s="94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6"/>
    </row>
    <row r="922" spans="1:20" ht="12.75" customHeight="1" x14ac:dyDescent="0.2">
      <c r="A922" s="90"/>
      <c r="B922" s="12" t="s">
        <v>3</v>
      </c>
      <c r="C922" s="13">
        <f t="shared" si="382"/>
        <v>0</v>
      </c>
      <c r="D922" s="13">
        <f>D930+D938+D946</f>
        <v>0</v>
      </c>
      <c r="E922" s="13">
        <f t="shared" ref="E922:H922" si="386">E930+E938+E946</f>
        <v>0</v>
      </c>
      <c r="F922" s="13">
        <f t="shared" si="386"/>
        <v>0</v>
      </c>
      <c r="G922" s="13">
        <f t="shared" si="386"/>
        <v>0</v>
      </c>
      <c r="H922" s="13">
        <f t="shared" si="386"/>
        <v>0</v>
      </c>
      <c r="I922" s="97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9"/>
    </row>
    <row r="923" spans="1:20" x14ac:dyDescent="0.2">
      <c r="A923" s="51" t="s">
        <v>323</v>
      </c>
      <c r="B923" s="54" t="s">
        <v>700</v>
      </c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5"/>
    </row>
    <row r="924" spans="1:20" x14ac:dyDescent="0.2">
      <c r="A924" s="52" t="s">
        <v>102</v>
      </c>
      <c r="B924" s="58" t="s">
        <v>187</v>
      </c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</row>
    <row r="925" spans="1:20" ht="50.1" customHeight="1" x14ac:dyDescent="0.2">
      <c r="A925" s="52"/>
      <c r="B925" s="72" t="s">
        <v>389</v>
      </c>
      <c r="C925" s="73"/>
      <c r="D925" s="73"/>
      <c r="E925" s="73"/>
      <c r="F925" s="73"/>
      <c r="G925" s="73"/>
      <c r="H925" s="74"/>
      <c r="I925" s="60" t="s">
        <v>22</v>
      </c>
      <c r="J925" s="60"/>
      <c r="K925" s="60" t="s">
        <v>47</v>
      </c>
      <c r="L925" s="60"/>
      <c r="M925" s="60" t="s">
        <v>100</v>
      </c>
      <c r="N925" s="60" t="s">
        <v>238</v>
      </c>
      <c r="O925" s="60" t="s">
        <v>114</v>
      </c>
      <c r="P925" s="63"/>
      <c r="Q925" s="60" t="s">
        <v>7</v>
      </c>
      <c r="R925" s="60" t="s">
        <v>100</v>
      </c>
      <c r="S925" s="60" t="s">
        <v>32</v>
      </c>
      <c r="T925" s="87"/>
    </row>
    <row r="926" spans="1:20" ht="12.75" customHeight="1" x14ac:dyDescent="0.2">
      <c r="A926" s="52"/>
      <c r="B926" s="30" t="s">
        <v>5</v>
      </c>
      <c r="C926" s="31">
        <f>SUM(D926:H926)</f>
        <v>3374.9999999999995</v>
      </c>
      <c r="D926" s="32">
        <f t="shared" ref="D926" si="387">SUM(D927:D930)</f>
        <v>3374.9999999999995</v>
      </c>
      <c r="E926" s="32">
        <f t="shared" ref="E926:G926" si="388">SUM(E927:E930)</f>
        <v>0</v>
      </c>
      <c r="F926" s="32">
        <f t="shared" si="388"/>
        <v>0</v>
      </c>
      <c r="G926" s="32">
        <f t="shared" si="388"/>
        <v>0</v>
      </c>
      <c r="H926" s="32">
        <f t="shared" ref="H926" si="389">SUM(H927:H930)</f>
        <v>0</v>
      </c>
      <c r="I926" s="61"/>
      <c r="J926" s="61"/>
      <c r="K926" s="61"/>
      <c r="L926" s="61"/>
      <c r="M926" s="61"/>
      <c r="N926" s="61"/>
      <c r="O926" s="61"/>
      <c r="P926" s="64"/>
      <c r="Q926" s="61"/>
      <c r="R926" s="61"/>
      <c r="S926" s="61"/>
      <c r="T926" s="87"/>
    </row>
    <row r="927" spans="1:20" ht="12.75" customHeight="1" x14ac:dyDescent="0.2">
      <c r="A927" s="52"/>
      <c r="B927" s="30" t="s">
        <v>0</v>
      </c>
      <c r="C927" s="31">
        <f t="shared" ref="C927:C930" si="390">SUM(D927:H927)</f>
        <v>0</v>
      </c>
      <c r="D927" s="32"/>
      <c r="E927" s="32"/>
      <c r="F927" s="32"/>
      <c r="G927" s="32"/>
      <c r="H927" s="32"/>
      <c r="I927" s="61"/>
      <c r="J927" s="61"/>
      <c r="K927" s="61"/>
      <c r="L927" s="61"/>
      <c r="M927" s="61"/>
      <c r="N927" s="61"/>
      <c r="O927" s="61"/>
      <c r="P927" s="64"/>
      <c r="Q927" s="61"/>
      <c r="R927" s="61"/>
      <c r="S927" s="61"/>
      <c r="T927" s="87"/>
    </row>
    <row r="928" spans="1:20" ht="12.75" customHeight="1" x14ac:dyDescent="0.2">
      <c r="A928" s="52"/>
      <c r="B928" s="30" t="s">
        <v>1</v>
      </c>
      <c r="C928" s="31">
        <f t="shared" si="390"/>
        <v>3341.25</v>
      </c>
      <c r="D928" s="32">
        <f>47623.19647-17394.88-26887.06647</f>
        <v>3341.25</v>
      </c>
      <c r="E928" s="32"/>
      <c r="F928" s="32"/>
      <c r="G928" s="32"/>
      <c r="H928" s="32"/>
      <c r="I928" s="61"/>
      <c r="J928" s="61"/>
      <c r="K928" s="61"/>
      <c r="L928" s="61"/>
      <c r="M928" s="61"/>
      <c r="N928" s="61"/>
      <c r="O928" s="61"/>
      <c r="P928" s="64"/>
      <c r="Q928" s="61"/>
      <c r="R928" s="61"/>
      <c r="S928" s="61"/>
      <c r="T928" s="87"/>
    </row>
    <row r="929" spans="1:20" ht="12.75" customHeight="1" x14ac:dyDescent="0.2">
      <c r="A929" s="52"/>
      <c r="B929" s="30" t="s">
        <v>2</v>
      </c>
      <c r="C929" s="31">
        <f t="shared" si="390"/>
        <v>33.749999999999602</v>
      </c>
      <c r="D929" s="32">
        <f>3059.30331-2578.26092-447.29239</f>
        <v>33.749999999999602</v>
      </c>
      <c r="E929" s="32"/>
      <c r="F929" s="32"/>
      <c r="G929" s="32"/>
      <c r="H929" s="32"/>
      <c r="I929" s="61"/>
      <c r="J929" s="61"/>
      <c r="K929" s="61"/>
      <c r="L929" s="61"/>
      <c r="M929" s="61"/>
      <c r="N929" s="61"/>
      <c r="O929" s="61"/>
      <c r="P929" s="64"/>
      <c r="Q929" s="61"/>
      <c r="R929" s="61"/>
      <c r="S929" s="61"/>
      <c r="T929" s="87"/>
    </row>
    <row r="930" spans="1:20" ht="12.75" customHeight="1" x14ac:dyDescent="0.2">
      <c r="A930" s="53"/>
      <c r="B930" s="30" t="s">
        <v>3</v>
      </c>
      <c r="C930" s="31">
        <f t="shared" si="390"/>
        <v>0</v>
      </c>
      <c r="D930" s="32"/>
      <c r="E930" s="32"/>
      <c r="F930" s="32"/>
      <c r="G930" s="32"/>
      <c r="H930" s="32"/>
      <c r="I930" s="62"/>
      <c r="J930" s="62"/>
      <c r="K930" s="62"/>
      <c r="L930" s="62"/>
      <c r="M930" s="62"/>
      <c r="N930" s="62"/>
      <c r="O930" s="62"/>
      <c r="P930" s="65"/>
      <c r="Q930" s="62"/>
      <c r="R930" s="62"/>
      <c r="S930" s="62"/>
      <c r="T930" s="87"/>
    </row>
    <row r="931" spans="1:20" x14ac:dyDescent="0.2">
      <c r="A931" s="51" t="s">
        <v>324</v>
      </c>
      <c r="B931" s="54" t="s">
        <v>700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5"/>
    </row>
    <row r="932" spans="1:20" x14ac:dyDescent="0.2">
      <c r="A932" s="52" t="s">
        <v>102</v>
      </c>
      <c r="B932" s="58" t="s">
        <v>187</v>
      </c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</row>
    <row r="933" spans="1:20" ht="50.1" customHeight="1" x14ac:dyDescent="0.2">
      <c r="A933" s="52"/>
      <c r="B933" s="72" t="s">
        <v>188</v>
      </c>
      <c r="C933" s="73"/>
      <c r="D933" s="73"/>
      <c r="E933" s="73"/>
      <c r="F933" s="73"/>
      <c r="G933" s="73"/>
      <c r="H933" s="74"/>
      <c r="I933" s="60" t="s">
        <v>22</v>
      </c>
      <c r="J933" s="60"/>
      <c r="K933" s="60" t="s">
        <v>47</v>
      </c>
      <c r="L933" s="60"/>
      <c r="M933" s="60" t="s">
        <v>100</v>
      </c>
      <c r="N933" s="60" t="s">
        <v>238</v>
      </c>
      <c r="O933" s="60" t="s">
        <v>114</v>
      </c>
      <c r="P933" s="63"/>
      <c r="Q933" s="60" t="s">
        <v>7</v>
      </c>
      <c r="R933" s="60" t="s">
        <v>100</v>
      </c>
      <c r="S933" s="60" t="s">
        <v>32</v>
      </c>
      <c r="T933" s="87"/>
    </row>
    <row r="934" spans="1:20" ht="12.75" customHeight="1" x14ac:dyDescent="0.2">
      <c r="A934" s="52"/>
      <c r="B934" s="30" t="s">
        <v>5</v>
      </c>
      <c r="C934" s="31">
        <f>SUM(D934:H934)</f>
        <v>189659.0331</v>
      </c>
      <c r="D934" s="32">
        <f t="shared" ref="D934" si="391">SUM(D935:D938)</f>
        <v>189659.0331</v>
      </c>
      <c r="E934" s="32">
        <f t="shared" ref="E934:G934" si="392">SUM(E935:E938)</f>
        <v>0</v>
      </c>
      <c r="F934" s="32">
        <f t="shared" si="392"/>
        <v>0</v>
      </c>
      <c r="G934" s="32">
        <f t="shared" si="392"/>
        <v>0</v>
      </c>
      <c r="H934" s="32">
        <f t="shared" ref="H934" si="393">SUM(H935:H938)</f>
        <v>0</v>
      </c>
      <c r="I934" s="61"/>
      <c r="J934" s="61"/>
      <c r="K934" s="61"/>
      <c r="L934" s="61"/>
      <c r="M934" s="61"/>
      <c r="N934" s="61"/>
      <c r="O934" s="61"/>
      <c r="P934" s="64"/>
      <c r="Q934" s="61"/>
      <c r="R934" s="61"/>
      <c r="S934" s="61"/>
      <c r="T934" s="87"/>
    </row>
    <row r="935" spans="1:20" ht="12.75" customHeight="1" x14ac:dyDescent="0.2">
      <c r="A935" s="52"/>
      <c r="B935" s="30" t="s">
        <v>0</v>
      </c>
      <c r="C935" s="31">
        <f t="shared" ref="C935:C938" si="394">SUM(D935:H935)</f>
        <v>0</v>
      </c>
      <c r="D935" s="32"/>
      <c r="E935" s="32"/>
      <c r="F935" s="32"/>
      <c r="G935" s="32"/>
      <c r="H935" s="32"/>
      <c r="I935" s="61"/>
      <c r="J935" s="61"/>
      <c r="K935" s="61"/>
      <c r="L935" s="61"/>
      <c r="M935" s="61"/>
      <c r="N935" s="61"/>
      <c r="O935" s="61"/>
      <c r="P935" s="64"/>
      <c r="Q935" s="61"/>
      <c r="R935" s="61"/>
      <c r="S935" s="61"/>
      <c r="T935" s="87"/>
    </row>
    <row r="936" spans="1:20" ht="12.75" customHeight="1" x14ac:dyDescent="0.2">
      <c r="A936" s="52"/>
      <c r="B936" s="30" t="s">
        <v>1</v>
      </c>
      <c r="C936" s="31">
        <f t="shared" si="394"/>
        <v>187762.44276999999</v>
      </c>
      <c r="D936" s="32">
        <f>83169.79922+17394.88+4798.66067+9000+41054.041+32345.06188</f>
        <v>187762.44276999999</v>
      </c>
      <c r="E936" s="32"/>
      <c r="F936" s="32"/>
      <c r="G936" s="32"/>
      <c r="H936" s="32"/>
      <c r="I936" s="61"/>
      <c r="J936" s="61"/>
      <c r="K936" s="61"/>
      <c r="L936" s="61"/>
      <c r="M936" s="61"/>
      <c r="N936" s="61"/>
      <c r="O936" s="61"/>
      <c r="P936" s="64"/>
      <c r="Q936" s="61"/>
      <c r="R936" s="61"/>
      <c r="S936" s="61"/>
      <c r="T936" s="87"/>
    </row>
    <row r="937" spans="1:20" ht="12.75" customHeight="1" x14ac:dyDescent="0.2">
      <c r="A937" s="52"/>
      <c r="B937" s="30" t="s">
        <v>2</v>
      </c>
      <c r="C937" s="31">
        <f t="shared" si="394"/>
        <v>1896.5903300000002</v>
      </c>
      <c r="D937" s="32">
        <f>593.74081+246.35817+175.70586+47.90154+832.31417+0.56978</f>
        <v>1896.5903300000002</v>
      </c>
      <c r="E937" s="32"/>
      <c r="F937" s="32"/>
      <c r="G937" s="32"/>
      <c r="H937" s="32"/>
      <c r="I937" s="61"/>
      <c r="J937" s="61"/>
      <c r="K937" s="61"/>
      <c r="L937" s="61"/>
      <c r="M937" s="61"/>
      <c r="N937" s="61"/>
      <c r="O937" s="61"/>
      <c r="P937" s="64"/>
      <c r="Q937" s="61"/>
      <c r="R937" s="61"/>
      <c r="S937" s="61"/>
      <c r="T937" s="87"/>
    </row>
    <row r="938" spans="1:20" ht="12.75" customHeight="1" x14ac:dyDescent="0.2">
      <c r="A938" s="53"/>
      <c r="B938" s="30" t="s">
        <v>3</v>
      </c>
      <c r="C938" s="31">
        <f t="shared" si="394"/>
        <v>0</v>
      </c>
      <c r="D938" s="32"/>
      <c r="E938" s="32"/>
      <c r="F938" s="32"/>
      <c r="G938" s="32"/>
      <c r="H938" s="32"/>
      <c r="I938" s="62"/>
      <c r="J938" s="62"/>
      <c r="K938" s="62"/>
      <c r="L938" s="62"/>
      <c r="M938" s="62"/>
      <c r="N938" s="62"/>
      <c r="O938" s="62"/>
      <c r="P938" s="65"/>
      <c r="Q938" s="62"/>
      <c r="R938" s="62"/>
      <c r="S938" s="62"/>
      <c r="T938" s="87"/>
    </row>
    <row r="939" spans="1:20" x14ac:dyDescent="0.2">
      <c r="A939" s="51" t="s">
        <v>450</v>
      </c>
      <c r="B939" s="54" t="s">
        <v>700</v>
      </c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5"/>
    </row>
    <row r="940" spans="1:20" x14ac:dyDescent="0.2">
      <c r="A940" s="52" t="s">
        <v>102</v>
      </c>
      <c r="B940" s="58" t="s">
        <v>187</v>
      </c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</row>
    <row r="941" spans="1:20" ht="50.1" customHeight="1" x14ac:dyDescent="0.2">
      <c r="A941" s="52"/>
      <c r="B941" s="72" t="s">
        <v>451</v>
      </c>
      <c r="C941" s="73"/>
      <c r="D941" s="73"/>
      <c r="E941" s="73"/>
      <c r="F941" s="73"/>
      <c r="G941" s="73"/>
      <c r="H941" s="74"/>
      <c r="I941" s="60" t="s">
        <v>22</v>
      </c>
      <c r="J941" s="60"/>
      <c r="K941" s="60" t="s">
        <v>47</v>
      </c>
      <c r="L941" s="60"/>
      <c r="M941" s="60" t="s">
        <v>100</v>
      </c>
      <c r="N941" s="60" t="s">
        <v>238</v>
      </c>
      <c r="O941" s="60" t="s">
        <v>114</v>
      </c>
      <c r="P941" s="63"/>
      <c r="Q941" s="60" t="s">
        <v>7</v>
      </c>
      <c r="R941" s="60" t="s">
        <v>100</v>
      </c>
      <c r="S941" s="60" t="s">
        <v>32</v>
      </c>
      <c r="T941" s="87"/>
    </row>
    <row r="942" spans="1:20" ht="12.75" customHeight="1" x14ac:dyDescent="0.2">
      <c r="A942" s="52"/>
      <c r="B942" s="30" t="s">
        <v>5</v>
      </c>
      <c r="C942" s="31">
        <f>SUM(D942:H942)</f>
        <v>7164.2269999999999</v>
      </c>
      <c r="D942" s="32">
        <f t="shared" ref="D942:H942" si="395">SUM(D943:D946)</f>
        <v>7164.2269999999999</v>
      </c>
      <c r="E942" s="32">
        <f t="shared" si="395"/>
        <v>0</v>
      </c>
      <c r="F942" s="32">
        <f t="shared" si="395"/>
        <v>0</v>
      </c>
      <c r="G942" s="32">
        <f t="shared" si="395"/>
        <v>0</v>
      </c>
      <c r="H942" s="32">
        <f t="shared" si="395"/>
        <v>0</v>
      </c>
      <c r="I942" s="61"/>
      <c r="J942" s="61"/>
      <c r="K942" s="61"/>
      <c r="L942" s="61"/>
      <c r="M942" s="61"/>
      <c r="N942" s="61"/>
      <c r="O942" s="61"/>
      <c r="P942" s="64"/>
      <c r="Q942" s="61"/>
      <c r="R942" s="61"/>
      <c r="S942" s="61"/>
      <c r="T942" s="87"/>
    </row>
    <row r="943" spans="1:20" ht="12.75" customHeight="1" x14ac:dyDescent="0.2">
      <c r="A943" s="52"/>
      <c r="B943" s="30" t="s">
        <v>0</v>
      </c>
      <c r="C943" s="31">
        <f t="shared" ref="C943:C946" si="396">SUM(D943:H943)</f>
        <v>0</v>
      </c>
      <c r="D943" s="32"/>
      <c r="E943" s="32"/>
      <c r="F943" s="32"/>
      <c r="G943" s="32"/>
      <c r="H943" s="32"/>
      <c r="I943" s="61"/>
      <c r="J943" s="61"/>
      <c r="K943" s="61"/>
      <c r="L943" s="61"/>
      <c r="M943" s="61"/>
      <c r="N943" s="61"/>
      <c r="O943" s="61"/>
      <c r="P943" s="64"/>
      <c r="Q943" s="61"/>
      <c r="R943" s="61"/>
      <c r="S943" s="61"/>
      <c r="T943" s="87"/>
    </row>
    <row r="944" spans="1:20" ht="12.75" customHeight="1" x14ac:dyDescent="0.2">
      <c r="A944" s="52"/>
      <c r="B944" s="30" t="s">
        <v>1</v>
      </c>
      <c r="C944" s="31">
        <f t="shared" si="396"/>
        <v>7092.5847299999996</v>
      </c>
      <c r="D944" s="32">
        <v>7092.5847299999996</v>
      </c>
      <c r="E944" s="32"/>
      <c r="F944" s="32"/>
      <c r="G944" s="32"/>
      <c r="H944" s="32"/>
      <c r="I944" s="61"/>
      <c r="J944" s="61"/>
      <c r="K944" s="61"/>
      <c r="L944" s="61"/>
      <c r="M944" s="61"/>
      <c r="N944" s="61"/>
      <c r="O944" s="61"/>
      <c r="P944" s="64"/>
      <c r="Q944" s="61"/>
      <c r="R944" s="61"/>
      <c r="S944" s="61"/>
      <c r="T944" s="87"/>
    </row>
    <row r="945" spans="1:20" ht="12.75" customHeight="1" x14ac:dyDescent="0.2">
      <c r="A945" s="52"/>
      <c r="B945" s="30" t="s">
        <v>2</v>
      </c>
      <c r="C945" s="31">
        <f t="shared" si="396"/>
        <v>71.642269999999996</v>
      </c>
      <c r="D945" s="32">
        <v>71.642269999999996</v>
      </c>
      <c r="E945" s="32"/>
      <c r="F945" s="32"/>
      <c r="G945" s="32"/>
      <c r="H945" s="32"/>
      <c r="I945" s="61"/>
      <c r="J945" s="61"/>
      <c r="K945" s="61"/>
      <c r="L945" s="61"/>
      <c r="M945" s="61"/>
      <c r="N945" s="61"/>
      <c r="O945" s="61"/>
      <c r="P945" s="64"/>
      <c r="Q945" s="61"/>
      <c r="R945" s="61"/>
      <c r="S945" s="61"/>
      <c r="T945" s="87"/>
    </row>
    <row r="946" spans="1:20" ht="12.75" customHeight="1" x14ac:dyDescent="0.2">
      <c r="A946" s="53"/>
      <c r="B946" s="30" t="s">
        <v>3</v>
      </c>
      <c r="C946" s="31">
        <f t="shared" si="396"/>
        <v>0</v>
      </c>
      <c r="D946" s="32"/>
      <c r="E946" s="32"/>
      <c r="F946" s="32"/>
      <c r="G946" s="32"/>
      <c r="H946" s="32"/>
      <c r="I946" s="62"/>
      <c r="J946" s="62"/>
      <c r="K946" s="62"/>
      <c r="L946" s="62"/>
      <c r="M946" s="62"/>
      <c r="N946" s="62"/>
      <c r="O946" s="62"/>
      <c r="P946" s="65"/>
      <c r="Q946" s="62"/>
      <c r="R946" s="62"/>
      <c r="S946" s="62"/>
      <c r="T946" s="87"/>
    </row>
    <row r="947" spans="1:20" x14ac:dyDescent="0.2">
      <c r="A947" s="88" t="s">
        <v>124</v>
      </c>
      <c r="B947" s="79" t="s">
        <v>44</v>
      </c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</row>
    <row r="948" spans="1:20" x14ac:dyDescent="0.2">
      <c r="A948" s="89"/>
      <c r="B948" s="12" t="s">
        <v>5</v>
      </c>
      <c r="C948" s="13">
        <f>SUM(D948:H948)</f>
        <v>542964.6</v>
      </c>
      <c r="D948" s="13">
        <f t="shared" ref="D948:F948" si="397">SUM(D949:D952)</f>
        <v>2964.6000000000004</v>
      </c>
      <c r="E948" s="13">
        <f t="shared" si="397"/>
        <v>0</v>
      </c>
      <c r="F948" s="13">
        <f t="shared" si="397"/>
        <v>0</v>
      </c>
      <c r="G948" s="13">
        <f t="shared" ref="G948:H948" si="398">SUM(G949:G952)</f>
        <v>230000</v>
      </c>
      <c r="H948" s="13">
        <f t="shared" si="398"/>
        <v>310000</v>
      </c>
      <c r="I948" s="91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3"/>
    </row>
    <row r="949" spans="1:20" ht="12.75" customHeight="1" x14ac:dyDescent="0.2">
      <c r="A949" s="89"/>
      <c r="B949" s="12" t="s">
        <v>0</v>
      </c>
      <c r="C949" s="13">
        <f t="shared" ref="C949:C952" si="399">SUM(D949:H949)</f>
        <v>0</v>
      </c>
      <c r="D949" s="13">
        <f>D957+D965+D973+D981+D989+D997</f>
        <v>0</v>
      </c>
      <c r="E949" s="13">
        <f t="shared" ref="E949:H949" si="400">E957+E965+E973+E981+E989+E997</f>
        <v>0</v>
      </c>
      <c r="F949" s="13">
        <f t="shared" si="400"/>
        <v>0</v>
      </c>
      <c r="G949" s="13">
        <f t="shared" si="400"/>
        <v>0</v>
      </c>
      <c r="H949" s="13">
        <f t="shared" si="400"/>
        <v>0</v>
      </c>
      <c r="I949" s="94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6"/>
    </row>
    <row r="950" spans="1:20" ht="12.75" customHeight="1" x14ac:dyDescent="0.2">
      <c r="A950" s="89"/>
      <c r="B950" s="12" t="s">
        <v>1</v>
      </c>
      <c r="C950" s="13">
        <f>SUM(D950:H950)</f>
        <v>542961.6</v>
      </c>
      <c r="D950" s="13">
        <f>D958+D966+D974+D982+D990+D998</f>
        <v>2961.6000000000004</v>
      </c>
      <c r="E950" s="13">
        <f t="shared" ref="E950:H950" si="401">E958+E966+E974+E982+E990+E998</f>
        <v>0</v>
      </c>
      <c r="F950" s="13">
        <f t="shared" si="401"/>
        <v>0</v>
      </c>
      <c r="G950" s="13">
        <f t="shared" si="401"/>
        <v>230000</v>
      </c>
      <c r="H950" s="13">
        <f t="shared" si="401"/>
        <v>310000</v>
      </c>
      <c r="I950" s="94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6"/>
    </row>
    <row r="951" spans="1:20" ht="12.75" customHeight="1" x14ac:dyDescent="0.2">
      <c r="A951" s="89"/>
      <c r="B951" s="12" t="s">
        <v>2</v>
      </c>
      <c r="C951" s="13">
        <f t="shared" si="399"/>
        <v>3</v>
      </c>
      <c r="D951" s="13">
        <f>D959+D967+D975+D983+D991+D999</f>
        <v>3</v>
      </c>
      <c r="E951" s="13">
        <f t="shared" ref="E951:H951" si="402">E959+E967+E975+E983+E991+E999</f>
        <v>0</v>
      </c>
      <c r="F951" s="13">
        <f t="shared" si="402"/>
        <v>0</v>
      </c>
      <c r="G951" s="13">
        <f t="shared" si="402"/>
        <v>0</v>
      </c>
      <c r="H951" s="13">
        <f t="shared" si="402"/>
        <v>0</v>
      </c>
      <c r="I951" s="94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6"/>
    </row>
    <row r="952" spans="1:20" ht="12.75" customHeight="1" x14ac:dyDescent="0.2">
      <c r="A952" s="90"/>
      <c r="B952" s="12" t="s">
        <v>3</v>
      </c>
      <c r="C952" s="13">
        <f t="shared" si="399"/>
        <v>0</v>
      </c>
      <c r="D952" s="13">
        <f>D960+D968+D976+D984+D992+D1000</f>
        <v>0</v>
      </c>
      <c r="E952" s="13">
        <f t="shared" ref="E952:H952" si="403">E960+E968+E976+E984+E992+E1000</f>
        <v>0</v>
      </c>
      <c r="F952" s="13">
        <f t="shared" si="403"/>
        <v>0</v>
      </c>
      <c r="G952" s="13">
        <f t="shared" si="403"/>
        <v>0</v>
      </c>
      <c r="H952" s="13">
        <f t="shared" si="403"/>
        <v>0</v>
      </c>
      <c r="I952" s="97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9"/>
    </row>
    <row r="953" spans="1:20" x14ac:dyDescent="0.2">
      <c r="A953" s="69" t="s">
        <v>325</v>
      </c>
      <c r="B953" s="85" t="s">
        <v>45</v>
      </c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6"/>
    </row>
    <row r="954" spans="1:20" x14ac:dyDescent="0.2">
      <c r="A954" s="70" t="s">
        <v>102</v>
      </c>
      <c r="B954" s="79" t="s">
        <v>46</v>
      </c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</row>
    <row r="955" spans="1:20" ht="50.1" customHeight="1" x14ac:dyDescent="0.2">
      <c r="A955" s="70"/>
      <c r="B955" s="100" t="s">
        <v>49</v>
      </c>
      <c r="C955" s="101"/>
      <c r="D955" s="101"/>
      <c r="E955" s="101"/>
      <c r="F955" s="101"/>
      <c r="G955" s="101"/>
      <c r="H955" s="102"/>
      <c r="I955" s="66" t="s">
        <v>29</v>
      </c>
      <c r="J955" s="66" t="s">
        <v>50</v>
      </c>
      <c r="K955" s="66" t="s">
        <v>47</v>
      </c>
      <c r="L955" s="66"/>
      <c r="M955" s="66" t="s">
        <v>403</v>
      </c>
      <c r="N955" s="66" t="s">
        <v>403</v>
      </c>
      <c r="O955" s="66" t="s">
        <v>403</v>
      </c>
      <c r="P955" s="103">
        <v>16000</v>
      </c>
      <c r="Q955" s="66" t="s">
        <v>30</v>
      </c>
      <c r="R955" s="66" t="s">
        <v>41</v>
      </c>
      <c r="S955" s="66" t="s">
        <v>32</v>
      </c>
      <c r="T955" s="78"/>
    </row>
    <row r="956" spans="1:20" ht="12.75" customHeight="1" x14ac:dyDescent="0.2">
      <c r="A956" s="70"/>
      <c r="B956" s="14" t="s">
        <v>5</v>
      </c>
      <c r="C956" s="15">
        <f>SUM(D956:H956)</f>
        <v>92964.6</v>
      </c>
      <c r="D956" s="16">
        <f t="shared" ref="D956:F956" si="404">SUM(D957:D960)</f>
        <v>2964.6000000000004</v>
      </c>
      <c r="E956" s="16">
        <f t="shared" si="404"/>
        <v>0</v>
      </c>
      <c r="F956" s="16">
        <f t="shared" si="404"/>
        <v>0</v>
      </c>
      <c r="G956" s="16">
        <f t="shared" ref="G956" si="405">SUM(G957:G960)</f>
        <v>50000</v>
      </c>
      <c r="H956" s="16">
        <f t="shared" ref="H956" si="406">SUM(H957:H960)</f>
        <v>40000</v>
      </c>
      <c r="I956" s="67"/>
      <c r="J956" s="67"/>
      <c r="K956" s="67"/>
      <c r="L956" s="67"/>
      <c r="M956" s="67"/>
      <c r="N956" s="67"/>
      <c r="O956" s="67"/>
      <c r="P956" s="104"/>
      <c r="Q956" s="67"/>
      <c r="R956" s="67"/>
      <c r="S956" s="67"/>
      <c r="T956" s="78"/>
    </row>
    <row r="957" spans="1:20" ht="12.75" customHeight="1" x14ac:dyDescent="0.2">
      <c r="A957" s="70"/>
      <c r="B957" s="14" t="s">
        <v>0</v>
      </c>
      <c r="C957" s="15">
        <f t="shared" ref="C957:C960" si="407">SUM(D957:H957)</f>
        <v>0</v>
      </c>
      <c r="D957" s="16"/>
      <c r="E957" s="16"/>
      <c r="F957" s="16"/>
      <c r="G957" s="16"/>
      <c r="H957" s="16"/>
      <c r="I957" s="67"/>
      <c r="J957" s="67"/>
      <c r="K957" s="67"/>
      <c r="L957" s="67"/>
      <c r="M957" s="67"/>
      <c r="N957" s="67"/>
      <c r="O957" s="67"/>
      <c r="P957" s="104"/>
      <c r="Q957" s="67"/>
      <c r="R957" s="67"/>
      <c r="S957" s="67"/>
      <c r="T957" s="78"/>
    </row>
    <row r="958" spans="1:20" ht="12.75" customHeight="1" x14ac:dyDescent="0.2">
      <c r="A958" s="70"/>
      <c r="B958" s="14" t="s">
        <v>1</v>
      </c>
      <c r="C958" s="15">
        <f t="shared" si="407"/>
        <v>92961.600000000006</v>
      </c>
      <c r="D958" s="16">
        <f>0+8000-5038.4</f>
        <v>2961.6000000000004</v>
      </c>
      <c r="E958" s="16">
        <v>0</v>
      </c>
      <c r="F958" s="16">
        <v>0</v>
      </c>
      <c r="G958" s="16">
        <v>50000</v>
      </c>
      <c r="H958" s="16">
        <v>40000</v>
      </c>
      <c r="I958" s="67"/>
      <c r="J958" s="67"/>
      <c r="K958" s="67"/>
      <c r="L958" s="67"/>
      <c r="M958" s="67"/>
      <c r="N958" s="67"/>
      <c r="O958" s="67"/>
      <c r="P958" s="104"/>
      <c r="Q958" s="67"/>
      <c r="R958" s="67"/>
      <c r="S958" s="67"/>
      <c r="T958" s="78"/>
    </row>
    <row r="959" spans="1:20" ht="12.75" customHeight="1" x14ac:dyDescent="0.2">
      <c r="A959" s="70"/>
      <c r="B959" s="14" t="s">
        <v>2</v>
      </c>
      <c r="C959" s="15">
        <f t="shared" si="407"/>
        <v>3</v>
      </c>
      <c r="D959" s="16">
        <f>0+8.008+0.992-6</f>
        <v>3</v>
      </c>
      <c r="E959" s="16"/>
      <c r="F959" s="16"/>
      <c r="G959" s="16"/>
      <c r="H959" s="16"/>
      <c r="I959" s="67"/>
      <c r="J959" s="67"/>
      <c r="K959" s="67"/>
      <c r="L959" s="67"/>
      <c r="M959" s="67"/>
      <c r="N959" s="67"/>
      <c r="O959" s="67"/>
      <c r="P959" s="104"/>
      <c r="Q959" s="67"/>
      <c r="R959" s="67"/>
      <c r="S959" s="67"/>
      <c r="T959" s="78"/>
    </row>
    <row r="960" spans="1:20" ht="12.75" customHeight="1" x14ac:dyDescent="0.2">
      <c r="A960" s="71"/>
      <c r="B960" s="14" t="s">
        <v>3</v>
      </c>
      <c r="C960" s="15">
        <f t="shared" si="407"/>
        <v>0</v>
      </c>
      <c r="D960" s="16"/>
      <c r="E960" s="16"/>
      <c r="F960" s="16"/>
      <c r="G960" s="16"/>
      <c r="H960" s="16"/>
      <c r="I960" s="68"/>
      <c r="J960" s="68"/>
      <c r="K960" s="68"/>
      <c r="L960" s="68"/>
      <c r="M960" s="68"/>
      <c r="N960" s="68"/>
      <c r="O960" s="68"/>
      <c r="P960" s="105"/>
      <c r="Q960" s="68"/>
      <c r="R960" s="68"/>
      <c r="S960" s="68"/>
      <c r="T960" s="78"/>
    </row>
    <row r="961" spans="1:20" x14ac:dyDescent="0.2">
      <c r="A961" s="69" t="s">
        <v>326</v>
      </c>
      <c r="B961" s="85" t="s">
        <v>45</v>
      </c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6"/>
    </row>
    <row r="962" spans="1:20" x14ac:dyDescent="0.2">
      <c r="A962" s="70" t="s">
        <v>102</v>
      </c>
      <c r="B962" s="79" t="s">
        <v>46</v>
      </c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</row>
    <row r="963" spans="1:20" ht="50.1" customHeight="1" x14ac:dyDescent="0.2">
      <c r="A963" s="70"/>
      <c r="B963" s="100" t="s">
        <v>52</v>
      </c>
      <c r="C963" s="101"/>
      <c r="D963" s="101"/>
      <c r="E963" s="101"/>
      <c r="F963" s="101"/>
      <c r="G963" s="101"/>
      <c r="H963" s="102"/>
      <c r="I963" s="66" t="s">
        <v>53</v>
      </c>
      <c r="J963" s="66" t="s">
        <v>54</v>
      </c>
      <c r="K963" s="66" t="s">
        <v>47</v>
      </c>
      <c r="L963" s="66"/>
      <c r="M963" s="66" t="s">
        <v>404</v>
      </c>
      <c r="N963" s="66" t="s">
        <v>404</v>
      </c>
      <c r="O963" s="66" t="s">
        <v>404</v>
      </c>
      <c r="P963" s="66">
        <v>30000</v>
      </c>
      <c r="Q963" s="66" t="s">
        <v>30</v>
      </c>
      <c r="R963" s="66" t="s">
        <v>55</v>
      </c>
      <c r="S963" s="66" t="s">
        <v>25</v>
      </c>
      <c r="T963" s="78"/>
    </row>
    <row r="964" spans="1:20" ht="12.75" customHeight="1" x14ac:dyDescent="0.2">
      <c r="A964" s="70"/>
      <c r="B964" s="14" t="s">
        <v>5</v>
      </c>
      <c r="C964" s="15">
        <f>SUM(D964:H964)</f>
        <v>140000</v>
      </c>
      <c r="D964" s="16">
        <f t="shared" ref="D964:F964" si="408">SUM(D965:D968)</f>
        <v>0</v>
      </c>
      <c r="E964" s="16">
        <f t="shared" si="408"/>
        <v>0</v>
      </c>
      <c r="F964" s="16">
        <f t="shared" si="408"/>
        <v>0</v>
      </c>
      <c r="G964" s="16">
        <f t="shared" ref="G964" si="409">SUM(G965:G968)</f>
        <v>70000</v>
      </c>
      <c r="H964" s="16">
        <f t="shared" ref="H964" si="410">SUM(H965:H968)</f>
        <v>70000</v>
      </c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78"/>
    </row>
    <row r="965" spans="1:20" ht="12.75" customHeight="1" x14ac:dyDescent="0.2">
      <c r="A965" s="70"/>
      <c r="B965" s="14" t="s">
        <v>0</v>
      </c>
      <c r="C965" s="15">
        <f t="shared" ref="C965:C968" si="411">SUM(D965:H965)</f>
        <v>0</v>
      </c>
      <c r="D965" s="16"/>
      <c r="E965" s="16"/>
      <c r="F965" s="16"/>
      <c r="G965" s="16"/>
      <c r="H965" s="16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78"/>
    </row>
    <row r="966" spans="1:20" ht="12.75" customHeight="1" x14ac:dyDescent="0.2">
      <c r="A966" s="70"/>
      <c r="B966" s="14" t="s">
        <v>1</v>
      </c>
      <c r="C966" s="15">
        <f t="shared" si="411"/>
        <v>140000</v>
      </c>
      <c r="D966" s="16">
        <v>0</v>
      </c>
      <c r="E966" s="16">
        <v>0</v>
      </c>
      <c r="F966" s="16">
        <v>0</v>
      </c>
      <c r="G966" s="16">
        <v>70000</v>
      </c>
      <c r="H966" s="16">
        <v>70000</v>
      </c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78"/>
    </row>
    <row r="967" spans="1:20" ht="12.75" customHeight="1" x14ac:dyDescent="0.2">
      <c r="A967" s="70"/>
      <c r="B967" s="14" t="s">
        <v>2</v>
      </c>
      <c r="C967" s="15">
        <f t="shared" si="411"/>
        <v>0</v>
      </c>
      <c r="D967" s="16"/>
      <c r="E967" s="16"/>
      <c r="F967" s="16"/>
      <c r="G967" s="16"/>
      <c r="H967" s="16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78"/>
    </row>
    <row r="968" spans="1:20" ht="12.75" customHeight="1" x14ac:dyDescent="0.2">
      <c r="A968" s="71"/>
      <c r="B968" s="14" t="s">
        <v>3</v>
      </c>
      <c r="C968" s="15">
        <f t="shared" si="411"/>
        <v>0</v>
      </c>
      <c r="D968" s="16"/>
      <c r="E968" s="16"/>
      <c r="F968" s="16"/>
      <c r="G968" s="16"/>
      <c r="H968" s="16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78"/>
    </row>
    <row r="969" spans="1:20" x14ac:dyDescent="0.2">
      <c r="A969" s="69" t="s">
        <v>372</v>
      </c>
      <c r="B969" s="85" t="s">
        <v>45</v>
      </c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6"/>
    </row>
    <row r="970" spans="1:20" x14ac:dyDescent="0.2">
      <c r="A970" s="70" t="s">
        <v>102</v>
      </c>
      <c r="B970" s="79" t="s">
        <v>46</v>
      </c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</row>
    <row r="971" spans="1:20" ht="50.1" customHeight="1" x14ac:dyDescent="0.2">
      <c r="A971" s="70"/>
      <c r="B971" s="100" t="s">
        <v>56</v>
      </c>
      <c r="C971" s="101"/>
      <c r="D971" s="101"/>
      <c r="E971" s="101"/>
      <c r="F971" s="101"/>
      <c r="G971" s="101"/>
      <c r="H971" s="102"/>
      <c r="I971" s="66" t="s">
        <v>53</v>
      </c>
      <c r="J971" s="66" t="s">
        <v>54</v>
      </c>
      <c r="K971" s="66" t="s">
        <v>47</v>
      </c>
      <c r="L971" s="66"/>
      <c r="M971" s="66" t="s">
        <v>405</v>
      </c>
      <c r="N971" s="66" t="s">
        <v>405</v>
      </c>
      <c r="O971" s="66" t="s">
        <v>405</v>
      </c>
      <c r="P971" s="103">
        <v>16000</v>
      </c>
      <c r="Q971" s="66" t="s">
        <v>30</v>
      </c>
      <c r="R971" s="66" t="s">
        <v>48</v>
      </c>
      <c r="S971" s="66" t="s">
        <v>25</v>
      </c>
      <c r="T971" s="78"/>
    </row>
    <row r="972" spans="1:20" ht="12.75" customHeight="1" x14ac:dyDescent="0.2">
      <c r="A972" s="70"/>
      <c r="B972" s="14" t="s">
        <v>5</v>
      </c>
      <c r="C972" s="15">
        <f>SUM(D972:H972)</f>
        <v>100000</v>
      </c>
      <c r="D972" s="16">
        <f t="shared" ref="D972:F972" si="412">SUM(D973:D976)</f>
        <v>0</v>
      </c>
      <c r="E972" s="16">
        <f t="shared" si="412"/>
        <v>0</v>
      </c>
      <c r="F972" s="16">
        <f t="shared" si="412"/>
        <v>0</v>
      </c>
      <c r="G972" s="16">
        <f t="shared" ref="G972" si="413">SUM(G973:G976)</f>
        <v>50000</v>
      </c>
      <c r="H972" s="16">
        <f t="shared" ref="H972" si="414">SUM(H973:H976)</f>
        <v>50000</v>
      </c>
      <c r="I972" s="67"/>
      <c r="J972" s="67"/>
      <c r="K972" s="67"/>
      <c r="L972" s="67"/>
      <c r="M972" s="67"/>
      <c r="N972" s="67"/>
      <c r="O972" s="67"/>
      <c r="P972" s="104"/>
      <c r="Q972" s="67"/>
      <c r="R972" s="67"/>
      <c r="S972" s="67"/>
      <c r="T972" s="78"/>
    </row>
    <row r="973" spans="1:20" ht="12.75" customHeight="1" x14ac:dyDescent="0.2">
      <c r="A973" s="70"/>
      <c r="B973" s="14" t="s">
        <v>0</v>
      </c>
      <c r="C973" s="15">
        <f t="shared" ref="C973:C976" si="415">SUM(D973:H973)</f>
        <v>0</v>
      </c>
      <c r="D973" s="16"/>
      <c r="E973" s="16"/>
      <c r="F973" s="16"/>
      <c r="G973" s="16"/>
      <c r="H973" s="16"/>
      <c r="I973" s="67"/>
      <c r="J973" s="67"/>
      <c r="K973" s="67"/>
      <c r="L973" s="67"/>
      <c r="M973" s="67"/>
      <c r="N973" s="67"/>
      <c r="O973" s="67"/>
      <c r="P973" s="104"/>
      <c r="Q973" s="67"/>
      <c r="R973" s="67"/>
      <c r="S973" s="67"/>
      <c r="T973" s="78"/>
    </row>
    <row r="974" spans="1:20" ht="12.75" customHeight="1" x14ac:dyDescent="0.2">
      <c r="A974" s="70"/>
      <c r="B974" s="14" t="s">
        <v>1</v>
      </c>
      <c r="C974" s="15">
        <f t="shared" si="415"/>
        <v>100000</v>
      </c>
      <c r="D974" s="16">
        <v>0</v>
      </c>
      <c r="E974" s="16">
        <v>0</v>
      </c>
      <c r="F974" s="16">
        <v>0</v>
      </c>
      <c r="G974" s="16">
        <v>50000</v>
      </c>
      <c r="H974" s="16">
        <v>50000</v>
      </c>
      <c r="I974" s="67"/>
      <c r="J974" s="67"/>
      <c r="K974" s="67"/>
      <c r="L974" s="67"/>
      <c r="M974" s="67"/>
      <c r="N974" s="67"/>
      <c r="O974" s="67"/>
      <c r="P974" s="104"/>
      <c r="Q974" s="67"/>
      <c r="R974" s="67"/>
      <c r="S974" s="67"/>
      <c r="T974" s="78"/>
    </row>
    <row r="975" spans="1:20" ht="12.75" customHeight="1" x14ac:dyDescent="0.2">
      <c r="A975" s="70"/>
      <c r="B975" s="14" t="s">
        <v>2</v>
      </c>
      <c r="C975" s="15">
        <f t="shared" si="415"/>
        <v>0</v>
      </c>
      <c r="D975" s="16"/>
      <c r="E975" s="16"/>
      <c r="F975" s="16"/>
      <c r="G975" s="16"/>
      <c r="H975" s="16"/>
      <c r="I975" s="67"/>
      <c r="J975" s="67"/>
      <c r="K975" s="67"/>
      <c r="L975" s="67"/>
      <c r="M975" s="67"/>
      <c r="N975" s="67"/>
      <c r="O975" s="67"/>
      <c r="P975" s="104"/>
      <c r="Q975" s="67"/>
      <c r="R975" s="67"/>
      <c r="S975" s="67"/>
      <c r="T975" s="78"/>
    </row>
    <row r="976" spans="1:20" ht="12.75" customHeight="1" x14ac:dyDescent="0.2">
      <c r="A976" s="71"/>
      <c r="B976" s="14" t="s">
        <v>3</v>
      </c>
      <c r="C976" s="15">
        <f t="shared" si="415"/>
        <v>0</v>
      </c>
      <c r="D976" s="16"/>
      <c r="E976" s="16"/>
      <c r="F976" s="16"/>
      <c r="G976" s="16"/>
      <c r="H976" s="16"/>
      <c r="I976" s="68"/>
      <c r="J976" s="68"/>
      <c r="K976" s="68"/>
      <c r="L976" s="68"/>
      <c r="M976" s="68"/>
      <c r="N976" s="68"/>
      <c r="O976" s="68"/>
      <c r="P976" s="105"/>
      <c r="Q976" s="68"/>
      <c r="R976" s="68"/>
      <c r="S976" s="68"/>
      <c r="T976" s="78"/>
    </row>
    <row r="977" spans="1:20" ht="12.75" customHeight="1" x14ac:dyDescent="0.2">
      <c r="A977" s="69" t="s">
        <v>373</v>
      </c>
      <c r="B977" s="85" t="s">
        <v>45</v>
      </c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6"/>
    </row>
    <row r="978" spans="1:20" x14ac:dyDescent="0.2">
      <c r="A978" s="70" t="s">
        <v>102</v>
      </c>
      <c r="B978" s="79" t="s">
        <v>46</v>
      </c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</row>
    <row r="979" spans="1:20" ht="50.1" customHeight="1" x14ac:dyDescent="0.2">
      <c r="A979" s="70"/>
      <c r="B979" s="100" t="s">
        <v>58</v>
      </c>
      <c r="C979" s="101"/>
      <c r="D979" s="101"/>
      <c r="E979" s="101"/>
      <c r="F979" s="101"/>
      <c r="G979" s="101"/>
      <c r="H979" s="102"/>
      <c r="I979" s="66" t="s">
        <v>53</v>
      </c>
      <c r="J979" s="66" t="s">
        <v>59</v>
      </c>
      <c r="K979" s="66" t="s">
        <v>47</v>
      </c>
      <c r="L979" s="66"/>
      <c r="M979" s="66" t="s">
        <v>406</v>
      </c>
      <c r="N979" s="66" t="s">
        <v>406</v>
      </c>
      <c r="O979" s="66" t="s">
        <v>406</v>
      </c>
      <c r="P979" s="103">
        <v>20000</v>
      </c>
      <c r="Q979" s="66" t="s">
        <v>30</v>
      </c>
      <c r="R979" s="66" t="s">
        <v>60</v>
      </c>
      <c r="S979" s="66" t="s">
        <v>25</v>
      </c>
      <c r="T979" s="78"/>
    </row>
    <row r="980" spans="1:20" ht="12.75" customHeight="1" x14ac:dyDescent="0.2">
      <c r="A980" s="70"/>
      <c r="B980" s="14" t="s">
        <v>5</v>
      </c>
      <c r="C980" s="15">
        <f>SUM(D980:H980)</f>
        <v>60000</v>
      </c>
      <c r="D980" s="16">
        <f t="shared" ref="D980:F980" si="416">SUM(D981:D984)</f>
        <v>0</v>
      </c>
      <c r="E980" s="16">
        <f t="shared" si="416"/>
        <v>0</v>
      </c>
      <c r="F980" s="16">
        <f t="shared" si="416"/>
        <v>0</v>
      </c>
      <c r="G980" s="16">
        <f t="shared" ref="G980" si="417">SUM(G981:G984)</f>
        <v>10000</v>
      </c>
      <c r="H980" s="16">
        <f t="shared" ref="H980" si="418">SUM(H981:H984)</f>
        <v>50000</v>
      </c>
      <c r="I980" s="67"/>
      <c r="J980" s="67"/>
      <c r="K980" s="67"/>
      <c r="L980" s="67"/>
      <c r="M980" s="67"/>
      <c r="N980" s="67"/>
      <c r="O980" s="67"/>
      <c r="P980" s="104"/>
      <c r="Q980" s="67"/>
      <c r="R980" s="67"/>
      <c r="S980" s="67"/>
      <c r="T980" s="78"/>
    </row>
    <row r="981" spans="1:20" ht="12.75" customHeight="1" x14ac:dyDescent="0.2">
      <c r="A981" s="70"/>
      <c r="B981" s="14" t="s">
        <v>0</v>
      </c>
      <c r="C981" s="15">
        <f t="shared" ref="C981:C984" si="419">SUM(D981:H981)</f>
        <v>0</v>
      </c>
      <c r="D981" s="16"/>
      <c r="E981" s="16"/>
      <c r="F981" s="16"/>
      <c r="G981" s="16"/>
      <c r="H981" s="16"/>
      <c r="I981" s="67"/>
      <c r="J981" s="67"/>
      <c r="K981" s="67"/>
      <c r="L981" s="67"/>
      <c r="M981" s="67"/>
      <c r="N981" s="67"/>
      <c r="O981" s="67"/>
      <c r="P981" s="104"/>
      <c r="Q981" s="67"/>
      <c r="R981" s="67"/>
      <c r="S981" s="67"/>
      <c r="T981" s="78"/>
    </row>
    <row r="982" spans="1:20" ht="12.75" customHeight="1" x14ac:dyDescent="0.2">
      <c r="A982" s="70"/>
      <c r="B982" s="14" t="s">
        <v>1</v>
      </c>
      <c r="C982" s="15">
        <f t="shared" si="419"/>
        <v>60000</v>
      </c>
      <c r="D982" s="16">
        <v>0</v>
      </c>
      <c r="E982" s="16">
        <v>0</v>
      </c>
      <c r="F982" s="16">
        <v>0</v>
      </c>
      <c r="G982" s="16">
        <v>10000</v>
      </c>
      <c r="H982" s="16">
        <v>50000</v>
      </c>
      <c r="I982" s="67"/>
      <c r="J982" s="67"/>
      <c r="K982" s="67"/>
      <c r="L982" s="67"/>
      <c r="M982" s="67"/>
      <c r="N982" s="67"/>
      <c r="O982" s="67"/>
      <c r="P982" s="104"/>
      <c r="Q982" s="67"/>
      <c r="R982" s="67"/>
      <c r="S982" s="67"/>
      <c r="T982" s="78"/>
    </row>
    <row r="983" spans="1:20" ht="12.75" customHeight="1" x14ac:dyDescent="0.2">
      <c r="A983" s="70"/>
      <c r="B983" s="14" t="s">
        <v>2</v>
      </c>
      <c r="C983" s="15">
        <f t="shared" si="419"/>
        <v>0</v>
      </c>
      <c r="D983" s="16"/>
      <c r="E983" s="16"/>
      <c r="F983" s="16"/>
      <c r="G983" s="16"/>
      <c r="H983" s="16"/>
      <c r="I983" s="67"/>
      <c r="J983" s="67"/>
      <c r="K983" s="67"/>
      <c r="L983" s="67"/>
      <c r="M983" s="67"/>
      <c r="N983" s="67"/>
      <c r="O983" s="67"/>
      <c r="P983" s="104"/>
      <c r="Q983" s="67"/>
      <c r="R983" s="67"/>
      <c r="S983" s="67"/>
      <c r="T983" s="78"/>
    </row>
    <row r="984" spans="1:20" ht="12.75" customHeight="1" x14ac:dyDescent="0.2">
      <c r="A984" s="71"/>
      <c r="B984" s="14" t="s">
        <v>3</v>
      </c>
      <c r="C984" s="15">
        <f t="shared" si="419"/>
        <v>0</v>
      </c>
      <c r="D984" s="16"/>
      <c r="E984" s="16"/>
      <c r="F984" s="16"/>
      <c r="G984" s="16"/>
      <c r="H984" s="16"/>
      <c r="I984" s="68"/>
      <c r="J984" s="68"/>
      <c r="K984" s="68"/>
      <c r="L984" s="68"/>
      <c r="M984" s="68"/>
      <c r="N984" s="68"/>
      <c r="O984" s="68"/>
      <c r="P984" s="105"/>
      <c r="Q984" s="68"/>
      <c r="R984" s="68"/>
      <c r="S984" s="68"/>
      <c r="T984" s="78"/>
    </row>
    <row r="985" spans="1:20" x14ac:dyDescent="0.2">
      <c r="A985" s="69" t="s">
        <v>374</v>
      </c>
      <c r="B985" s="85" t="s">
        <v>45</v>
      </c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6"/>
    </row>
    <row r="986" spans="1:20" x14ac:dyDescent="0.2">
      <c r="A986" s="70" t="s">
        <v>102</v>
      </c>
      <c r="B986" s="79" t="s">
        <v>46</v>
      </c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</row>
    <row r="987" spans="1:20" ht="50.1" customHeight="1" x14ac:dyDescent="0.2">
      <c r="A987" s="70"/>
      <c r="B987" s="100" t="s">
        <v>61</v>
      </c>
      <c r="C987" s="101"/>
      <c r="D987" s="101"/>
      <c r="E987" s="101"/>
      <c r="F987" s="101"/>
      <c r="G987" s="101"/>
      <c r="H987" s="102"/>
      <c r="I987" s="66" t="s">
        <v>62</v>
      </c>
      <c r="J987" s="66" t="s">
        <v>63</v>
      </c>
      <c r="K987" s="134" t="s">
        <v>407</v>
      </c>
      <c r="L987" s="66"/>
      <c r="M987" s="66" t="s">
        <v>51</v>
      </c>
      <c r="N987" s="66" t="s">
        <v>51</v>
      </c>
      <c r="O987" s="66" t="s">
        <v>51</v>
      </c>
      <c r="P987" s="66">
        <v>16000</v>
      </c>
      <c r="Q987" s="66" t="s">
        <v>30</v>
      </c>
      <c r="R987" s="66" t="s">
        <v>8</v>
      </c>
      <c r="S987" s="66" t="s">
        <v>25</v>
      </c>
      <c r="T987" s="78"/>
    </row>
    <row r="988" spans="1:20" ht="12.75" customHeight="1" x14ac:dyDescent="0.2">
      <c r="A988" s="70"/>
      <c r="B988" s="14" t="s">
        <v>5</v>
      </c>
      <c r="C988" s="15">
        <f>SUM(D988:H988)</f>
        <v>50000</v>
      </c>
      <c r="D988" s="16">
        <f t="shared" ref="D988:F988" si="420">SUM(D989:D992)</f>
        <v>0</v>
      </c>
      <c r="E988" s="16">
        <f t="shared" si="420"/>
        <v>0</v>
      </c>
      <c r="F988" s="16">
        <f t="shared" si="420"/>
        <v>0</v>
      </c>
      <c r="G988" s="16">
        <f t="shared" ref="G988" si="421">SUM(G989:G992)</f>
        <v>0</v>
      </c>
      <c r="H988" s="16">
        <f t="shared" ref="H988" si="422">SUM(H989:H992)</f>
        <v>50000</v>
      </c>
      <c r="I988" s="67"/>
      <c r="J988" s="67"/>
      <c r="K988" s="135"/>
      <c r="L988" s="67"/>
      <c r="M988" s="67"/>
      <c r="N988" s="67"/>
      <c r="O988" s="67"/>
      <c r="P988" s="67"/>
      <c r="Q988" s="67"/>
      <c r="R988" s="67"/>
      <c r="S988" s="67"/>
      <c r="T988" s="78"/>
    </row>
    <row r="989" spans="1:20" ht="12.75" customHeight="1" x14ac:dyDescent="0.2">
      <c r="A989" s="70"/>
      <c r="B989" s="14" t="s">
        <v>0</v>
      </c>
      <c r="C989" s="15">
        <f t="shared" ref="C989:C992" si="423">SUM(D989:H989)</f>
        <v>0</v>
      </c>
      <c r="D989" s="16"/>
      <c r="E989" s="16"/>
      <c r="F989" s="16"/>
      <c r="G989" s="16"/>
      <c r="H989" s="16"/>
      <c r="I989" s="67"/>
      <c r="J989" s="67"/>
      <c r="K989" s="135"/>
      <c r="L989" s="67"/>
      <c r="M989" s="67"/>
      <c r="N989" s="67"/>
      <c r="O989" s="67"/>
      <c r="P989" s="67"/>
      <c r="Q989" s="67"/>
      <c r="R989" s="67"/>
      <c r="S989" s="67"/>
      <c r="T989" s="78"/>
    </row>
    <row r="990" spans="1:20" ht="12.75" customHeight="1" x14ac:dyDescent="0.2">
      <c r="A990" s="70"/>
      <c r="B990" s="14" t="s">
        <v>1</v>
      </c>
      <c r="C990" s="15">
        <f t="shared" si="423"/>
        <v>50000</v>
      </c>
      <c r="D990" s="16">
        <v>0</v>
      </c>
      <c r="E990" s="16">
        <v>0</v>
      </c>
      <c r="F990" s="16">
        <v>0</v>
      </c>
      <c r="G990" s="16">
        <v>0</v>
      </c>
      <c r="H990" s="16">
        <v>50000</v>
      </c>
      <c r="I990" s="67"/>
      <c r="J990" s="67"/>
      <c r="K990" s="135"/>
      <c r="L990" s="67"/>
      <c r="M990" s="67"/>
      <c r="N990" s="67"/>
      <c r="O990" s="67"/>
      <c r="P990" s="67"/>
      <c r="Q990" s="67"/>
      <c r="R990" s="67"/>
      <c r="S990" s="67"/>
      <c r="T990" s="78"/>
    </row>
    <row r="991" spans="1:20" ht="12.75" customHeight="1" x14ac:dyDescent="0.2">
      <c r="A991" s="70"/>
      <c r="B991" s="14" t="s">
        <v>2</v>
      </c>
      <c r="C991" s="15">
        <f t="shared" si="423"/>
        <v>0</v>
      </c>
      <c r="D991" s="16"/>
      <c r="E991" s="16"/>
      <c r="F991" s="16"/>
      <c r="G991" s="16"/>
      <c r="H991" s="16"/>
      <c r="I991" s="67"/>
      <c r="J991" s="67"/>
      <c r="K991" s="135"/>
      <c r="L991" s="67"/>
      <c r="M991" s="67"/>
      <c r="N991" s="67"/>
      <c r="O991" s="67"/>
      <c r="P991" s="67"/>
      <c r="Q991" s="67"/>
      <c r="R991" s="67"/>
      <c r="S991" s="67"/>
      <c r="T991" s="78"/>
    </row>
    <row r="992" spans="1:20" ht="12.75" customHeight="1" x14ac:dyDescent="0.2">
      <c r="A992" s="71"/>
      <c r="B992" s="14" t="s">
        <v>3</v>
      </c>
      <c r="C992" s="15">
        <f t="shared" si="423"/>
        <v>0</v>
      </c>
      <c r="D992" s="16"/>
      <c r="E992" s="16"/>
      <c r="F992" s="16"/>
      <c r="G992" s="16"/>
      <c r="H992" s="16"/>
      <c r="I992" s="68"/>
      <c r="J992" s="68"/>
      <c r="K992" s="136"/>
      <c r="L992" s="68"/>
      <c r="M992" s="68"/>
      <c r="N992" s="68"/>
      <c r="O992" s="68"/>
      <c r="P992" s="68"/>
      <c r="Q992" s="68"/>
      <c r="R992" s="68"/>
      <c r="S992" s="68"/>
      <c r="T992" s="78"/>
    </row>
    <row r="993" spans="1:20" ht="12.75" customHeight="1" x14ac:dyDescent="0.2">
      <c r="A993" s="69" t="s">
        <v>375</v>
      </c>
      <c r="B993" s="85" t="s">
        <v>45</v>
      </c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6"/>
    </row>
    <row r="994" spans="1:20" ht="12.75" customHeight="1" x14ac:dyDescent="0.2">
      <c r="A994" s="70" t="s">
        <v>102</v>
      </c>
      <c r="B994" s="130" t="s">
        <v>46</v>
      </c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80"/>
    </row>
    <row r="995" spans="1:20" ht="50.1" customHeight="1" x14ac:dyDescent="0.2">
      <c r="A995" s="70"/>
      <c r="B995" s="100" t="s">
        <v>64</v>
      </c>
      <c r="C995" s="101"/>
      <c r="D995" s="101"/>
      <c r="E995" s="101"/>
      <c r="F995" s="101"/>
      <c r="G995" s="101"/>
      <c r="H995" s="102"/>
      <c r="I995" s="66" t="s">
        <v>53</v>
      </c>
      <c r="J995" s="66" t="s">
        <v>54</v>
      </c>
      <c r="K995" s="66" t="s">
        <v>47</v>
      </c>
      <c r="L995" s="66"/>
      <c r="M995" s="66" t="s">
        <v>408</v>
      </c>
      <c r="N995" s="66" t="s">
        <v>408</v>
      </c>
      <c r="O995" s="66" t="s">
        <v>408</v>
      </c>
      <c r="P995" s="103">
        <v>30000</v>
      </c>
      <c r="Q995" s="66" t="s">
        <v>30</v>
      </c>
      <c r="R995" s="66" t="s">
        <v>65</v>
      </c>
      <c r="S995" s="66" t="s">
        <v>25</v>
      </c>
      <c r="T995" s="78"/>
    </row>
    <row r="996" spans="1:20" ht="12.75" customHeight="1" x14ac:dyDescent="0.2">
      <c r="A996" s="70"/>
      <c r="B996" s="14" t="s">
        <v>5</v>
      </c>
      <c r="C996" s="15">
        <f>SUM(D996:H996)</f>
        <v>100000</v>
      </c>
      <c r="D996" s="16">
        <v>0</v>
      </c>
      <c r="E996" s="16">
        <v>0</v>
      </c>
      <c r="F996" s="16">
        <v>0</v>
      </c>
      <c r="G996" s="16">
        <f t="shared" ref="G996" si="424">SUM(G997:G1000)</f>
        <v>50000</v>
      </c>
      <c r="H996" s="16">
        <f t="shared" ref="H996" si="425">SUM(H997:H1000)</f>
        <v>50000</v>
      </c>
      <c r="I996" s="67"/>
      <c r="J996" s="67"/>
      <c r="K996" s="67"/>
      <c r="L996" s="67"/>
      <c r="M996" s="67"/>
      <c r="N996" s="67"/>
      <c r="O996" s="67"/>
      <c r="P996" s="104"/>
      <c r="Q996" s="67"/>
      <c r="R996" s="67"/>
      <c r="S996" s="67"/>
      <c r="T996" s="78"/>
    </row>
    <row r="997" spans="1:20" ht="12.75" customHeight="1" x14ac:dyDescent="0.2">
      <c r="A997" s="70"/>
      <c r="B997" s="14" t="s">
        <v>0</v>
      </c>
      <c r="C997" s="15">
        <f t="shared" ref="C997:C1000" si="426">SUM(D997:H997)</f>
        <v>0</v>
      </c>
      <c r="D997" s="16"/>
      <c r="E997" s="16"/>
      <c r="F997" s="16"/>
      <c r="G997" s="16"/>
      <c r="H997" s="16"/>
      <c r="I997" s="67"/>
      <c r="J997" s="67"/>
      <c r="K997" s="67"/>
      <c r="L997" s="67"/>
      <c r="M997" s="67"/>
      <c r="N997" s="67"/>
      <c r="O997" s="67"/>
      <c r="P997" s="104"/>
      <c r="Q997" s="67"/>
      <c r="R997" s="67"/>
      <c r="S997" s="67"/>
      <c r="T997" s="78"/>
    </row>
    <row r="998" spans="1:20" ht="12.75" customHeight="1" x14ac:dyDescent="0.2">
      <c r="A998" s="70"/>
      <c r="B998" s="14" t="s">
        <v>1</v>
      </c>
      <c r="C998" s="15">
        <f t="shared" si="426"/>
        <v>100000</v>
      </c>
      <c r="D998" s="16">
        <v>0</v>
      </c>
      <c r="E998" s="16">
        <v>0</v>
      </c>
      <c r="F998" s="16">
        <v>0</v>
      </c>
      <c r="G998" s="16">
        <v>50000</v>
      </c>
      <c r="H998" s="16">
        <v>50000</v>
      </c>
      <c r="I998" s="67"/>
      <c r="J998" s="67"/>
      <c r="K998" s="67"/>
      <c r="L998" s="67"/>
      <c r="M998" s="67"/>
      <c r="N998" s="67"/>
      <c r="O998" s="67"/>
      <c r="P998" s="104"/>
      <c r="Q998" s="67"/>
      <c r="R998" s="67"/>
      <c r="S998" s="67"/>
      <c r="T998" s="78"/>
    </row>
    <row r="999" spans="1:20" ht="12.75" customHeight="1" x14ac:dyDescent="0.2">
      <c r="A999" s="70"/>
      <c r="B999" s="14" t="s">
        <v>2</v>
      </c>
      <c r="C999" s="15">
        <f t="shared" si="426"/>
        <v>0</v>
      </c>
      <c r="D999" s="16"/>
      <c r="E999" s="16"/>
      <c r="F999" s="16"/>
      <c r="G999" s="16"/>
      <c r="H999" s="16"/>
      <c r="I999" s="67"/>
      <c r="J999" s="67"/>
      <c r="K999" s="67"/>
      <c r="L999" s="67"/>
      <c r="M999" s="67"/>
      <c r="N999" s="67"/>
      <c r="O999" s="67"/>
      <c r="P999" s="104"/>
      <c r="Q999" s="67"/>
      <c r="R999" s="67"/>
      <c r="S999" s="67"/>
      <c r="T999" s="78"/>
    </row>
    <row r="1000" spans="1:20" ht="12.75" customHeight="1" x14ac:dyDescent="0.2">
      <c r="A1000" s="71"/>
      <c r="B1000" s="14" t="s">
        <v>3</v>
      </c>
      <c r="C1000" s="15">
        <f t="shared" si="426"/>
        <v>0</v>
      </c>
      <c r="D1000" s="16"/>
      <c r="E1000" s="16"/>
      <c r="F1000" s="16"/>
      <c r="G1000" s="16"/>
      <c r="H1000" s="16"/>
      <c r="I1000" s="68"/>
      <c r="J1000" s="68"/>
      <c r="K1000" s="68"/>
      <c r="L1000" s="68"/>
      <c r="M1000" s="68"/>
      <c r="N1000" s="68"/>
      <c r="O1000" s="68"/>
      <c r="P1000" s="105"/>
      <c r="Q1000" s="68"/>
      <c r="R1000" s="68"/>
      <c r="S1000" s="68"/>
      <c r="T1000" s="78"/>
    </row>
    <row r="1001" spans="1:20" x14ac:dyDescent="0.2">
      <c r="A1001" s="88" t="s">
        <v>128</v>
      </c>
      <c r="B1001" s="79" t="s">
        <v>229</v>
      </c>
      <c r="C1001" s="79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</row>
    <row r="1002" spans="1:20" x14ac:dyDescent="0.2">
      <c r="A1002" s="89"/>
      <c r="B1002" s="12" t="s">
        <v>5</v>
      </c>
      <c r="C1002" s="13">
        <f>SUM(D1002:H1002)</f>
        <v>8887.9604099999997</v>
      </c>
      <c r="D1002" s="13">
        <f t="shared" ref="D1002" si="427">SUM(D1003:D1006)</f>
        <v>0</v>
      </c>
      <c r="E1002" s="13">
        <f t="shared" ref="E1002:F1002" si="428">SUM(E1003:E1006)</f>
        <v>5907.5380800000003</v>
      </c>
      <c r="F1002" s="13">
        <f t="shared" si="428"/>
        <v>2980.4223299999999</v>
      </c>
      <c r="G1002" s="13">
        <f t="shared" ref="G1002:H1002" si="429">SUM(G1003:G1006)</f>
        <v>0</v>
      </c>
      <c r="H1002" s="13">
        <f t="shared" si="429"/>
        <v>0</v>
      </c>
      <c r="I1002" s="91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3"/>
    </row>
    <row r="1003" spans="1:20" ht="12.75" customHeight="1" x14ac:dyDescent="0.2">
      <c r="A1003" s="89"/>
      <c r="B1003" s="12" t="s">
        <v>0</v>
      </c>
      <c r="C1003" s="13">
        <f t="shared" ref="C1003:C1006" si="430">SUM(D1003:H1003)</f>
        <v>0</v>
      </c>
      <c r="D1003" s="13">
        <f>D1011+D1019</f>
        <v>0</v>
      </c>
      <c r="E1003" s="13">
        <f t="shared" ref="E1003:F1003" si="431">E1011+E1019</f>
        <v>0</v>
      </c>
      <c r="F1003" s="13">
        <f t="shared" si="431"/>
        <v>0</v>
      </c>
      <c r="G1003" s="13">
        <f t="shared" ref="G1003:H1003" si="432">G1011+G1019</f>
        <v>0</v>
      </c>
      <c r="H1003" s="13">
        <f t="shared" si="432"/>
        <v>0</v>
      </c>
      <c r="I1003" s="94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6"/>
    </row>
    <row r="1004" spans="1:20" ht="12.75" customHeight="1" x14ac:dyDescent="0.2">
      <c r="A1004" s="89"/>
      <c r="B1004" s="12" t="s">
        <v>1</v>
      </c>
      <c r="C1004" s="13">
        <f t="shared" si="430"/>
        <v>8887.9604099999997</v>
      </c>
      <c r="D1004" s="13">
        <f t="shared" ref="D1004" si="433">D1012+D1020</f>
        <v>0</v>
      </c>
      <c r="E1004" s="13">
        <f>E1012+E1020</f>
        <v>5907.5380800000003</v>
      </c>
      <c r="F1004" s="13">
        <f t="shared" ref="F1004" si="434">F1012+F1020</f>
        <v>2980.4223299999999</v>
      </c>
      <c r="G1004" s="13">
        <f t="shared" ref="G1004:H1004" si="435">G1012+G1020</f>
        <v>0</v>
      </c>
      <c r="H1004" s="13">
        <f t="shared" si="435"/>
        <v>0</v>
      </c>
      <c r="I1004" s="94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6"/>
    </row>
    <row r="1005" spans="1:20" ht="12.75" customHeight="1" x14ac:dyDescent="0.2">
      <c r="A1005" s="89"/>
      <c r="B1005" s="12" t="s">
        <v>2</v>
      </c>
      <c r="C1005" s="13">
        <f t="shared" si="430"/>
        <v>0</v>
      </c>
      <c r="D1005" s="13">
        <f t="shared" ref="D1005" si="436">D1013+D1021</f>
        <v>0</v>
      </c>
      <c r="E1005" s="13">
        <f t="shared" ref="E1005:F1005" si="437">E1013+E1021</f>
        <v>0</v>
      </c>
      <c r="F1005" s="13">
        <f t="shared" si="437"/>
        <v>0</v>
      </c>
      <c r="G1005" s="13">
        <f t="shared" ref="G1005:H1005" si="438">G1013+G1021</f>
        <v>0</v>
      </c>
      <c r="H1005" s="13">
        <f t="shared" si="438"/>
        <v>0</v>
      </c>
      <c r="I1005" s="94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6"/>
    </row>
    <row r="1006" spans="1:20" ht="12.75" customHeight="1" x14ac:dyDescent="0.2">
      <c r="A1006" s="90"/>
      <c r="B1006" s="12" t="s">
        <v>3</v>
      </c>
      <c r="C1006" s="13">
        <f t="shared" si="430"/>
        <v>0</v>
      </c>
      <c r="D1006" s="13">
        <f t="shared" ref="D1006" si="439">D1014+D1022</f>
        <v>0</v>
      </c>
      <c r="E1006" s="13">
        <f t="shared" ref="E1006:F1006" si="440">E1014+E1022</f>
        <v>0</v>
      </c>
      <c r="F1006" s="13">
        <f t="shared" si="440"/>
        <v>0</v>
      </c>
      <c r="G1006" s="13">
        <f t="shared" ref="G1006:H1006" si="441">G1014+G1022</f>
        <v>0</v>
      </c>
      <c r="H1006" s="13">
        <f t="shared" si="441"/>
        <v>0</v>
      </c>
      <c r="I1006" s="97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9"/>
    </row>
    <row r="1007" spans="1:20" x14ac:dyDescent="0.2">
      <c r="A1007" s="88" t="s">
        <v>327</v>
      </c>
      <c r="B1007" s="85" t="s">
        <v>230</v>
      </c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6"/>
    </row>
    <row r="1008" spans="1:20" ht="15" customHeight="1" x14ac:dyDescent="0.2">
      <c r="A1008" s="89"/>
      <c r="B1008" s="79" t="s">
        <v>231</v>
      </c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</row>
    <row r="1009" spans="1:20" ht="50.1" customHeight="1" x14ac:dyDescent="0.2">
      <c r="A1009" s="89"/>
      <c r="B1009" s="100" t="s">
        <v>232</v>
      </c>
      <c r="C1009" s="101"/>
      <c r="D1009" s="101"/>
      <c r="E1009" s="101"/>
      <c r="F1009" s="101"/>
      <c r="G1009" s="101"/>
      <c r="H1009" s="102"/>
      <c r="I1009" s="66"/>
      <c r="J1009" s="66"/>
      <c r="K1009" s="66" t="s">
        <v>40</v>
      </c>
      <c r="L1009" s="66"/>
      <c r="M1009" s="66" t="s">
        <v>233</v>
      </c>
      <c r="N1009" s="66" t="s">
        <v>233</v>
      </c>
      <c r="O1009" s="66" t="s">
        <v>233</v>
      </c>
      <c r="P1009" s="103">
        <v>117084.63</v>
      </c>
      <c r="Q1009" s="66" t="s">
        <v>7</v>
      </c>
      <c r="R1009" s="66" t="s">
        <v>41</v>
      </c>
      <c r="S1009" s="66" t="s">
        <v>31</v>
      </c>
      <c r="T1009" s="78" t="s">
        <v>441</v>
      </c>
    </row>
    <row r="1010" spans="1:20" ht="12.75" customHeight="1" x14ac:dyDescent="0.2">
      <c r="A1010" s="89"/>
      <c r="B1010" s="14" t="s">
        <v>5</v>
      </c>
      <c r="C1010" s="15">
        <f>SUM(D1010:H1010)</f>
        <v>2927.1157499999999</v>
      </c>
      <c r="D1010" s="16">
        <f t="shared" ref="D1010" si="442">SUM(D1011:D1014)</f>
        <v>0</v>
      </c>
      <c r="E1010" s="16">
        <f t="shared" ref="E1010" si="443">SUM(E1011:E1014)</f>
        <v>2927.1157499999999</v>
      </c>
      <c r="F1010" s="16">
        <f t="shared" ref="F1010:G1010" si="444">SUM(F1011:F1014)</f>
        <v>0</v>
      </c>
      <c r="G1010" s="16">
        <f t="shared" si="444"/>
        <v>0</v>
      </c>
      <c r="H1010" s="16">
        <f t="shared" ref="H1010" si="445">SUM(H1011:H1014)</f>
        <v>0</v>
      </c>
      <c r="I1010" s="67"/>
      <c r="J1010" s="67"/>
      <c r="K1010" s="67"/>
      <c r="L1010" s="67"/>
      <c r="M1010" s="67"/>
      <c r="N1010" s="67"/>
      <c r="O1010" s="67"/>
      <c r="P1010" s="104"/>
      <c r="Q1010" s="67"/>
      <c r="R1010" s="67"/>
      <c r="S1010" s="67"/>
      <c r="T1010" s="78"/>
    </row>
    <row r="1011" spans="1:20" ht="12.75" customHeight="1" x14ac:dyDescent="0.2">
      <c r="A1011" s="89"/>
      <c r="B1011" s="14" t="s">
        <v>0</v>
      </c>
      <c r="C1011" s="15">
        <f t="shared" ref="C1011:C1014" si="446">SUM(D1011:H1011)</f>
        <v>0</v>
      </c>
      <c r="D1011" s="16"/>
      <c r="E1011" s="16"/>
      <c r="F1011" s="16"/>
      <c r="G1011" s="16"/>
      <c r="H1011" s="16"/>
      <c r="I1011" s="67"/>
      <c r="J1011" s="67"/>
      <c r="K1011" s="67"/>
      <c r="L1011" s="67"/>
      <c r="M1011" s="67"/>
      <c r="N1011" s="67"/>
      <c r="O1011" s="67"/>
      <c r="P1011" s="104"/>
      <c r="Q1011" s="67"/>
      <c r="R1011" s="67"/>
      <c r="S1011" s="67"/>
      <c r="T1011" s="78"/>
    </row>
    <row r="1012" spans="1:20" ht="12.75" customHeight="1" x14ac:dyDescent="0.2">
      <c r="A1012" s="89"/>
      <c r="B1012" s="14" t="s">
        <v>1</v>
      </c>
      <c r="C1012" s="15">
        <f t="shared" si="446"/>
        <v>2927.1157499999999</v>
      </c>
      <c r="D1012" s="16">
        <v>0</v>
      </c>
      <c r="E1012" s="16">
        <v>2927.1157499999999</v>
      </c>
      <c r="F1012" s="16"/>
      <c r="G1012" s="16"/>
      <c r="H1012" s="16"/>
      <c r="I1012" s="67"/>
      <c r="J1012" s="67"/>
      <c r="K1012" s="67"/>
      <c r="L1012" s="67"/>
      <c r="M1012" s="67"/>
      <c r="N1012" s="67"/>
      <c r="O1012" s="67"/>
      <c r="P1012" s="104"/>
      <c r="Q1012" s="67"/>
      <c r="R1012" s="67"/>
      <c r="S1012" s="67"/>
      <c r="T1012" s="78"/>
    </row>
    <row r="1013" spans="1:20" ht="12.75" customHeight="1" x14ac:dyDescent="0.2">
      <c r="A1013" s="89"/>
      <c r="B1013" s="14" t="s">
        <v>2</v>
      </c>
      <c r="C1013" s="15">
        <f t="shared" si="446"/>
        <v>0</v>
      </c>
      <c r="D1013" s="16"/>
      <c r="E1013" s="16"/>
      <c r="F1013" s="16"/>
      <c r="G1013" s="16"/>
      <c r="H1013" s="16"/>
      <c r="I1013" s="67"/>
      <c r="J1013" s="67"/>
      <c r="K1013" s="67"/>
      <c r="L1013" s="67"/>
      <c r="M1013" s="67"/>
      <c r="N1013" s="67"/>
      <c r="O1013" s="67"/>
      <c r="P1013" s="104"/>
      <c r="Q1013" s="67"/>
      <c r="R1013" s="67"/>
      <c r="S1013" s="67"/>
      <c r="T1013" s="78"/>
    </row>
    <row r="1014" spans="1:20" ht="12.75" customHeight="1" x14ac:dyDescent="0.2">
      <c r="A1014" s="90"/>
      <c r="B1014" s="14" t="s">
        <v>3</v>
      </c>
      <c r="C1014" s="15">
        <f t="shared" si="446"/>
        <v>0</v>
      </c>
      <c r="D1014" s="16"/>
      <c r="E1014" s="16"/>
      <c r="F1014" s="16"/>
      <c r="G1014" s="16"/>
      <c r="H1014" s="16"/>
      <c r="I1014" s="68"/>
      <c r="J1014" s="68"/>
      <c r="K1014" s="68"/>
      <c r="L1014" s="68"/>
      <c r="M1014" s="68"/>
      <c r="N1014" s="68"/>
      <c r="O1014" s="68"/>
      <c r="P1014" s="105"/>
      <c r="Q1014" s="68"/>
      <c r="R1014" s="68"/>
      <c r="S1014" s="68"/>
      <c r="T1014" s="78"/>
    </row>
    <row r="1015" spans="1:20" x14ac:dyDescent="0.2">
      <c r="A1015" s="88" t="s">
        <v>328</v>
      </c>
      <c r="B1015" s="85" t="s">
        <v>230</v>
      </c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6"/>
    </row>
    <row r="1016" spans="1:20" ht="15" customHeight="1" x14ac:dyDescent="0.2">
      <c r="A1016" s="89"/>
      <c r="B1016" s="79" t="s">
        <v>231</v>
      </c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</row>
    <row r="1017" spans="1:20" ht="50.1" customHeight="1" x14ac:dyDescent="0.2">
      <c r="A1017" s="89"/>
      <c r="B1017" s="100" t="s">
        <v>234</v>
      </c>
      <c r="C1017" s="101"/>
      <c r="D1017" s="101"/>
      <c r="E1017" s="101"/>
      <c r="F1017" s="101"/>
      <c r="G1017" s="101"/>
      <c r="H1017" s="102"/>
      <c r="I1017" s="66"/>
      <c r="J1017" s="66"/>
      <c r="K1017" s="66" t="s">
        <v>40</v>
      </c>
      <c r="L1017" s="66"/>
      <c r="M1017" s="66" t="s">
        <v>233</v>
      </c>
      <c r="N1017" s="66" t="s">
        <v>233</v>
      </c>
      <c r="O1017" s="66" t="s">
        <v>233</v>
      </c>
      <c r="P1017" s="103">
        <v>178825.34</v>
      </c>
      <c r="Q1017" s="66" t="s">
        <v>7</v>
      </c>
      <c r="R1017" s="66" t="s">
        <v>35</v>
      </c>
      <c r="S1017" s="66" t="s">
        <v>31</v>
      </c>
      <c r="T1017" s="78" t="s">
        <v>442</v>
      </c>
    </row>
    <row r="1018" spans="1:20" ht="12.75" customHeight="1" x14ac:dyDescent="0.2">
      <c r="A1018" s="89"/>
      <c r="B1018" s="14" t="s">
        <v>5</v>
      </c>
      <c r="C1018" s="15">
        <f>SUM(D1018:H1018)</f>
        <v>5960.8446599999997</v>
      </c>
      <c r="D1018" s="16">
        <f t="shared" ref="D1018" si="447">SUM(D1019:D1022)</f>
        <v>0</v>
      </c>
      <c r="E1018" s="16">
        <f t="shared" ref="E1018" si="448">SUM(E1019:E1022)</f>
        <v>2980.4223299999999</v>
      </c>
      <c r="F1018" s="16">
        <f t="shared" ref="F1018" si="449">SUM(F1019:F1022)</f>
        <v>2980.4223299999999</v>
      </c>
      <c r="G1018" s="16">
        <f t="shared" ref="G1018" si="450">SUM(G1019:G1022)</f>
        <v>0</v>
      </c>
      <c r="H1018" s="16">
        <f t="shared" ref="H1018" si="451">SUM(H1019:H1022)</f>
        <v>0</v>
      </c>
      <c r="I1018" s="67"/>
      <c r="J1018" s="67"/>
      <c r="K1018" s="67"/>
      <c r="L1018" s="67"/>
      <c r="M1018" s="67"/>
      <c r="N1018" s="67"/>
      <c r="O1018" s="67"/>
      <c r="P1018" s="104"/>
      <c r="Q1018" s="67"/>
      <c r="R1018" s="67"/>
      <c r="S1018" s="67"/>
      <c r="T1018" s="78"/>
    </row>
    <row r="1019" spans="1:20" ht="12.75" customHeight="1" x14ac:dyDescent="0.2">
      <c r="A1019" s="89"/>
      <c r="B1019" s="14" t="s">
        <v>0</v>
      </c>
      <c r="C1019" s="15">
        <f t="shared" ref="C1019:C1022" si="452">SUM(D1019:H1019)</f>
        <v>0</v>
      </c>
      <c r="D1019" s="16"/>
      <c r="E1019" s="16"/>
      <c r="F1019" s="16"/>
      <c r="G1019" s="16"/>
      <c r="H1019" s="16"/>
      <c r="I1019" s="67"/>
      <c r="J1019" s="67"/>
      <c r="K1019" s="67"/>
      <c r="L1019" s="67"/>
      <c r="M1019" s="67"/>
      <c r="N1019" s="67"/>
      <c r="O1019" s="67"/>
      <c r="P1019" s="104"/>
      <c r="Q1019" s="67"/>
      <c r="R1019" s="67"/>
      <c r="S1019" s="67"/>
      <c r="T1019" s="78"/>
    </row>
    <row r="1020" spans="1:20" ht="12.75" customHeight="1" x14ac:dyDescent="0.2">
      <c r="A1020" s="89"/>
      <c r="B1020" s="14" t="s">
        <v>1</v>
      </c>
      <c r="C1020" s="15">
        <f t="shared" si="452"/>
        <v>5960.8446599999997</v>
      </c>
      <c r="D1020" s="16">
        <v>0</v>
      </c>
      <c r="E1020" s="16">
        <v>2980.4223299999999</v>
      </c>
      <c r="F1020" s="16">
        <v>2980.4223299999999</v>
      </c>
      <c r="G1020" s="16"/>
      <c r="H1020" s="16"/>
      <c r="I1020" s="67"/>
      <c r="J1020" s="67"/>
      <c r="K1020" s="67"/>
      <c r="L1020" s="67"/>
      <c r="M1020" s="67"/>
      <c r="N1020" s="67"/>
      <c r="O1020" s="67"/>
      <c r="P1020" s="104"/>
      <c r="Q1020" s="67"/>
      <c r="R1020" s="67"/>
      <c r="S1020" s="67"/>
      <c r="T1020" s="78"/>
    </row>
    <row r="1021" spans="1:20" ht="12.75" customHeight="1" x14ac:dyDescent="0.2">
      <c r="A1021" s="89"/>
      <c r="B1021" s="14" t="s">
        <v>2</v>
      </c>
      <c r="C1021" s="15">
        <f t="shared" si="452"/>
        <v>0</v>
      </c>
      <c r="D1021" s="16"/>
      <c r="E1021" s="16"/>
      <c r="F1021" s="16"/>
      <c r="G1021" s="16"/>
      <c r="H1021" s="16"/>
      <c r="I1021" s="67"/>
      <c r="J1021" s="67"/>
      <c r="K1021" s="67"/>
      <c r="L1021" s="67"/>
      <c r="M1021" s="67"/>
      <c r="N1021" s="67"/>
      <c r="O1021" s="67"/>
      <c r="P1021" s="104"/>
      <c r="Q1021" s="67"/>
      <c r="R1021" s="67"/>
      <c r="S1021" s="67"/>
      <c r="T1021" s="78"/>
    </row>
    <row r="1022" spans="1:20" ht="12.75" customHeight="1" x14ac:dyDescent="0.2">
      <c r="A1022" s="90"/>
      <c r="B1022" s="14" t="s">
        <v>3</v>
      </c>
      <c r="C1022" s="15">
        <f t="shared" si="452"/>
        <v>0</v>
      </c>
      <c r="D1022" s="16"/>
      <c r="E1022" s="16"/>
      <c r="F1022" s="16"/>
      <c r="G1022" s="16"/>
      <c r="H1022" s="16"/>
      <c r="I1022" s="68"/>
      <c r="J1022" s="68"/>
      <c r="K1022" s="68"/>
      <c r="L1022" s="68"/>
      <c r="M1022" s="68"/>
      <c r="N1022" s="68"/>
      <c r="O1022" s="68"/>
      <c r="P1022" s="105"/>
      <c r="Q1022" s="68"/>
      <c r="R1022" s="68"/>
      <c r="S1022" s="68"/>
      <c r="T1022" s="78"/>
    </row>
    <row r="1023" spans="1:20" x14ac:dyDescent="0.2">
      <c r="A1023" s="88" t="s">
        <v>43</v>
      </c>
      <c r="B1023" s="79" t="s">
        <v>152</v>
      </c>
      <c r="C1023" s="79"/>
      <c r="D1023" s="79"/>
      <c r="E1023" s="79"/>
      <c r="F1023" s="79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</row>
    <row r="1024" spans="1:20" x14ac:dyDescent="0.2">
      <c r="A1024" s="89"/>
      <c r="B1024" s="12" t="s">
        <v>5</v>
      </c>
      <c r="C1024" s="13">
        <f>SUM(D1024:H1024)</f>
        <v>883122.9</v>
      </c>
      <c r="D1024" s="13">
        <f t="shared" ref="D1024:H1024" si="453">SUM(D1025:D1028)</f>
        <v>3900</v>
      </c>
      <c r="E1024" s="13">
        <f t="shared" si="453"/>
        <v>60000</v>
      </c>
      <c r="F1024" s="13">
        <f t="shared" si="453"/>
        <v>819222.9</v>
      </c>
      <c r="G1024" s="13">
        <f t="shared" si="453"/>
        <v>0</v>
      </c>
      <c r="H1024" s="13">
        <f t="shared" si="453"/>
        <v>0</v>
      </c>
      <c r="I1024" s="91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3"/>
    </row>
    <row r="1025" spans="1:20" ht="12.75" customHeight="1" x14ac:dyDescent="0.2">
      <c r="A1025" s="89"/>
      <c r="B1025" s="12" t="s">
        <v>0</v>
      </c>
      <c r="C1025" s="13">
        <f t="shared" ref="C1025:C1028" si="454">SUM(D1025:H1025)</f>
        <v>819222.9</v>
      </c>
      <c r="D1025" s="13">
        <f>D1033+D1041</f>
        <v>0</v>
      </c>
      <c r="E1025" s="13">
        <f t="shared" ref="E1025:H1025" si="455">E1033+E1041</f>
        <v>0</v>
      </c>
      <c r="F1025" s="13">
        <f t="shared" si="455"/>
        <v>819222.9</v>
      </c>
      <c r="G1025" s="13">
        <f t="shared" si="455"/>
        <v>0</v>
      </c>
      <c r="H1025" s="13">
        <f t="shared" si="455"/>
        <v>0</v>
      </c>
      <c r="I1025" s="94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6"/>
    </row>
    <row r="1026" spans="1:20" ht="12.75" customHeight="1" x14ac:dyDescent="0.2">
      <c r="A1026" s="89"/>
      <c r="B1026" s="12" t="s">
        <v>1</v>
      </c>
      <c r="C1026" s="13">
        <f t="shared" si="454"/>
        <v>63900</v>
      </c>
      <c r="D1026" s="13">
        <f t="shared" ref="D1026:H1028" si="456">D1034+D1042</f>
        <v>3900</v>
      </c>
      <c r="E1026" s="13">
        <f t="shared" si="456"/>
        <v>60000</v>
      </c>
      <c r="F1026" s="13">
        <f t="shared" si="456"/>
        <v>0</v>
      </c>
      <c r="G1026" s="13">
        <f t="shared" si="456"/>
        <v>0</v>
      </c>
      <c r="H1026" s="13">
        <f t="shared" si="456"/>
        <v>0</v>
      </c>
      <c r="I1026" s="94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6"/>
    </row>
    <row r="1027" spans="1:20" ht="12.75" customHeight="1" x14ac:dyDescent="0.2">
      <c r="A1027" s="89"/>
      <c r="B1027" s="12" t="s">
        <v>2</v>
      </c>
      <c r="C1027" s="13">
        <f t="shared" si="454"/>
        <v>0</v>
      </c>
      <c r="D1027" s="13">
        <f t="shared" si="456"/>
        <v>0</v>
      </c>
      <c r="E1027" s="13">
        <f t="shared" si="456"/>
        <v>0</v>
      </c>
      <c r="F1027" s="13">
        <f t="shared" si="456"/>
        <v>0</v>
      </c>
      <c r="G1027" s="13">
        <f t="shared" si="456"/>
        <v>0</v>
      </c>
      <c r="H1027" s="13">
        <f t="shared" si="456"/>
        <v>0</v>
      </c>
      <c r="I1027" s="94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6"/>
    </row>
    <row r="1028" spans="1:20" ht="12.75" customHeight="1" x14ac:dyDescent="0.2">
      <c r="A1028" s="90"/>
      <c r="B1028" s="12" t="s">
        <v>3</v>
      </c>
      <c r="C1028" s="13">
        <f t="shared" si="454"/>
        <v>0</v>
      </c>
      <c r="D1028" s="13">
        <f t="shared" si="456"/>
        <v>0</v>
      </c>
      <c r="E1028" s="13">
        <f t="shared" si="456"/>
        <v>0</v>
      </c>
      <c r="F1028" s="13">
        <f t="shared" si="456"/>
        <v>0</v>
      </c>
      <c r="G1028" s="13">
        <f t="shared" si="456"/>
        <v>0</v>
      </c>
      <c r="H1028" s="13">
        <f t="shared" si="456"/>
        <v>0</v>
      </c>
      <c r="I1028" s="97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9"/>
    </row>
    <row r="1029" spans="1:20" ht="12.75" customHeight="1" x14ac:dyDescent="0.2">
      <c r="A1029" s="125" t="s">
        <v>396</v>
      </c>
      <c r="B1029" s="54" t="s">
        <v>700</v>
      </c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5"/>
    </row>
    <row r="1030" spans="1:20" ht="12.75" customHeight="1" x14ac:dyDescent="0.2">
      <c r="A1030" s="126"/>
      <c r="B1030" s="58" t="s">
        <v>397</v>
      </c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</row>
    <row r="1031" spans="1:20" ht="50.1" customHeight="1" x14ac:dyDescent="0.2">
      <c r="A1031" s="126"/>
      <c r="B1031" s="72" t="s">
        <v>398</v>
      </c>
      <c r="C1031" s="73"/>
      <c r="D1031" s="73"/>
      <c r="E1031" s="73"/>
      <c r="F1031" s="73"/>
      <c r="G1031" s="73"/>
      <c r="H1031" s="74"/>
      <c r="I1031" s="60">
        <v>2024</v>
      </c>
      <c r="J1031" s="60"/>
      <c r="K1031" s="60"/>
      <c r="L1031" s="60"/>
      <c r="M1031" s="60"/>
      <c r="N1031" s="60"/>
      <c r="O1031" s="60"/>
      <c r="P1031" s="63"/>
      <c r="Q1031" s="60"/>
      <c r="R1031" s="60"/>
      <c r="S1031" s="60"/>
      <c r="T1031" s="87"/>
    </row>
    <row r="1032" spans="1:20" ht="12.75" customHeight="1" x14ac:dyDescent="0.2">
      <c r="A1032" s="126"/>
      <c r="B1032" s="30" t="s">
        <v>5</v>
      </c>
      <c r="C1032" s="31">
        <f>SUM(D1032:H1032)</f>
        <v>819222.9</v>
      </c>
      <c r="D1032" s="32">
        <f>SUM(D1033:D1036)</f>
        <v>0</v>
      </c>
      <c r="E1032" s="32">
        <f t="shared" ref="E1032:F1032" si="457">SUM(E1033:E1036)</f>
        <v>0</v>
      </c>
      <c r="F1032" s="32">
        <f t="shared" si="457"/>
        <v>819222.9</v>
      </c>
      <c r="G1032" s="32">
        <f t="shared" ref="G1032:H1032" si="458">SUM(G1033:G1036)</f>
        <v>0</v>
      </c>
      <c r="H1032" s="32">
        <f t="shared" si="458"/>
        <v>0</v>
      </c>
      <c r="I1032" s="61"/>
      <c r="J1032" s="61"/>
      <c r="K1032" s="61"/>
      <c r="L1032" s="61"/>
      <c r="M1032" s="61"/>
      <c r="N1032" s="61"/>
      <c r="O1032" s="61"/>
      <c r="P1032" s="64"/>
      <c r="Q1032" s="61"/>
      <c r="R1032" s="61"/>
      <c r="S1032" s="61"/>
      <c r="T1032" s="87"/>
    </row>
    <row r="1033" spans="1:20" ht="12.75" customHeight="1" x14ac:dyDescent="0.2">
      <c r="A1033" s="126"/>
      <c r="B1033" s="30" t="s">
        <v>0</v>
      </c>
      <c r="C1033" s="31">
        <f>SUM(D1033:H1033)</f>
        <v>819222.9</v>
      </c>
      <c r="D1033" s="32">
        <v>0</v>
      </c>
      <c r="E1033" s="32">
        <v>0</v>
      </c>
      <c r="F1033" s="32">
        <v>819222.9</v>
      </c>
      <c r="G1033" s="32"/>
      <c r="H1033" s="32"/>
      <c r="I1033" s="61"/>
      <c r="J1033" s="61"/>
      <c r="K1033" s="61"/>
      <c r="L1033" s="61"/>
      <c r="M1033" s="61"/>
      <c r="N1033" s="61"/>
      <c r="O1033" s="61"/>
      <c r="P1033" s="64"/>
      <c r="Q1033" s="61"/>
      <c r="R1033" s="61"/>
      <c r="S1033" s="61"/>
      <c r="T1033" s="87"/>
    </row>
    <row r="1034" spans="1:20" ht="12.75" customHeight="1" x14ac:dyDescent="0.2">
      <c r="A1034" s="126"/>
      <c r="B1034" s="30" t="s">
        <v>1</v>
      </c>
      <c r="C1034" s="31">
        <f t="shared" ref="C1034:C1035" si="459">SUM(D1034:H1034)</f>
        <v>0</v>
      </c>
      <c r="D1034" s="32"/>
      <c r="E1034" s="32"/>
      <c r="F1034" s="32"/>
      <c r="G1034" s="32"/>
      <c r="H1034" s="32"/>
      <c r="I1034" s="61"/>
      <c r="J1034" s="61"/>
      <c r="K1034" s="61"/>
      <c r="L1034" s="61"/>
      <c r="M1034" s="61"/>
      <c r="N1034" s="61"/>
      <c r="O1034" s="61"/>
      <c r="P1034" s="64"/>
      <c r="Q1034" s="61"/>
      <c r="R1034" s="61"/>
      <c r="S1034" s="61"/>
      <c r="T1034" s="87"/>
    </row>
    <row r="1035" spans="1:20" ht="12.75" customHeight="1" x14ac:dyDescent="0.2">
      <c r="A1035" s="126"/>
      <c r="B1035" s="30" t="s">
        <v>2</v>
      </c>
      <c r="C1035" s="31">
        <f t="shared" si="459"/>
        <v>0</v>
      </c>
      <c r="D1035" s="32"/>
      <c r="E1035" s="32"/>
      <c r="F1035" s="32"/>
      <c r="G1035" s="32"/>
      <c r="H1035" s="32"/>
      <c r="I1035" s="61"/>
      <c r="J1035" s="61"/>
      <c r="K1035" s="61"/>
      <c r="L1035" s="61"/>
      <c r="M1035" s="61"/>
      <c r="N1035" s="61"/>
      <c r="O1035" s="61"/>
      <c r="P1035" s="64"/>
      <c r="Q1035" s="61"/>
      <c r="R1035" s="61"/>
      <c r="S1035" s="61"/>
      <c r="T1035" s="87"/>
    </row>
    <row r="1036" spans="1:20" ht="15" customHeight="1" x14ac:dyDescent="0.2">
      <c r="A1036" s="126"/>
      <c r="B1036" s="1" t="s">
        <v>3</v>
      </c>
      <c r="C1036" s="35">
        <f t="shared" ref="C1036" si="460">SUM(D1036:H1036)</f>
        <v>0</v>
      </c>
      <c r="D1036" s="36"/>
      <c r="E1036" s="36"/>
      <c r="F1036" s="36"/>
      <c r="G1036" s="36"/>
      <c r="H1036" s="36"/>
      <c r="I1036" s="61"/>
      <c r="J1036" s="61"/>
      <c r="K1036" s="61"/>
      <c r="L1036" s="61"/>
      <c r="M1036" s="61"/>
      <c r="N1036" s="61"/>
      <c r="O1036" s="61"/>
      <c r="P1036" s="64"/>
      <c r="Q1036" s="61"/>
      <c r="R1036" s="61"/>
      <c r="S1036" s="61"/>
      <c r="T1036" s="60"/>
    </row>
    <row r="1037" spans="1:20" ht="12.75" customHeight="1" x14ac:dyDescent="0.2">
      <c r="A1037" s="110" t="s">
        <v>691</v>
      </c>
      <c r="B1037" s="112" t="s">
        <v>700</v>
      </c>
      <c r="C1037" s="113"/>
      <c r="D1037" s="113"/>
      <c r="E1037" s="113"/>
      <c r="F1037" s="113"/>
      <c r="G1037" s="113"/>
      <c r="H1037" s="113"/>
      <c r="I1037" s="113"/>
      <c r="J1037" s="113"/>
      <c r="K1037" s="113"/>
      <c r="L1037" s="113"/>
      <c r="M1037" s="113"/>
      <c r="N1037" s="113"/>
      <c r="O1037" s="113"/>
      <c r="P1037" s="113"/>
      <c r="Q1037" s="113"/>
      <c r="R1037" s="113"/>
      <c r="S1037" s="113"/>
      <c r="T1037" s="114"/>
    </row>
    <row r="1038" spans="1:20" ht="12.75" customHeight="1" x14ac:dyDescent="0.2">
      <c r="A1038" s="52"/>
      <c r="B1038" s="117" t="s">
        <v>692</v>
      </c>
      <c r="C1038" s="118"/>
      <c r="D1038" s="118"/>
      <c r="E1038" s="118"/>
      <c r="F1038" s="118"/>
      <c r="G1038" s="118"/>
      <c r="H1038" s="118"/>
      <c r="I1038" s="118"/>
      <c r="J1038" s="118"/>
      <c r="K1038" s="118"/>
      <c r="L1038" s="118"/>
      <c r="M1038" s="118"/>
      <c r="N1038" s="118"/>
      <c r="O1038" s="118"/>
      <c r="P1038" s="118"/>
      <c r="Q1038" s="118"/>
      <c r="R1038" s="118"/>
      <c r="S1038" s="118"/>
      <c r="T1038" s="119"/>
    </row>
    <row r="1039" spans="1:20" ht="48.95" customHeight="1" x14ac:dyDescent="0.2">
      <c r="A1039" s="52"/>
      <c r="B1039" s="72" t="s">
        <v>693</v>
      </c>
      <c r="C1039" s="73"/>
      <c r="D1039" s="73"/>
      <c r="E1039" s="73"/>
      <c r="F1039" s="73"/>
      <c r="G1039" s="73"/>
      <c r="H1039" s="74"/>
      <c r="I1039" s="60" t="s">
        <v>21</v>
      </c>
      <c r="J1039" s="60" t="s">
        <v>50</v>
      </c>
      <c r="K1039" s="60" t="s">
        <v>40</v>
      </c>
      <c r="L1039" s="60" t="s">
        <v>694</v>
      </c>
      <c r="M1039" s="60" t="s">
        <v>105</v>
      </c>
      <c r="N1039" s="60" t="s">
        <v>695</v>
      </c>
      <c r="O1039" s="60" t="s">
        <v>105</v>
      </c>
      <c r="P1039" s="63" t="s">
        <v>696</v>
      </c>
      <c r="Q1039" s="60" t="s">
        <v>30</v>
      </c>
      <c r="R1039" s="60" t="s">
        <v>8</v>
      </c>
      <c r="S1039" s="60" t="s">
        <v>25</v>
      </c>
      <c r="T1039" s="60"/>
    </row>
    <row r="1040" spans="1:20" ht="12.75" customHeight="1" x14ac:dyDescent="0.2">
      <c r="A1040" s="52"/>
      <c r="B1040" s="45" t="s">
        <v>5</v>
      </c>
      <c r="C1040" s="35">
        <f>SUM(D1040:H1040)</f>
        <v>63900</v>
      </c>
      <c r="D1040" s="36">
        <f>SUM(D1041:D1044)</f>
        <v>3900</v>
      </c>
      <c r="E1040" s="36">
        <f t="shared" ref="E1040:H1040" si="461">SUM(E1041:E1044)</f>
        <v>60000</v>
      </c>
      <c r="F1040" s="36">
        <f t="shared" si="461"/>
        <v>0</v>
      </c>
      <c r="G1040" s="36">
        <f t="shared" si="461"/>
        <v>0</v>
      </c>
      <c r="H1040" s="36">
        <f t="shared" si="461"/>
        <v>0</v>
      </c>
      <c r="I1040" s="61"/>
      <c r="J1040" s="61"/>
      <c r="K1040" s="61"/>
      <c r="L1040" s="61"/>
      <c r="M1040" s="61"/>
      <c r="N1040" s="61"/>
      <c r="O1040" s="61"/>
      <c r="P1040" s="64"/>
      <c r="Q1040" s="61"/>
      <c r="R1040" s="61"/>
      <c r="S1040" s="61"/>
      <c r="T1040" s="61"/>
    </row>
    <row r="1041" spans="1:20" ht="12.75" customHeight="1" x14ac:dyDescent="0.2">
      <c r="A1041" s="52"/>
      <c r="B1041" s="45" t="s">
        <v>0</v>
      </c>
      <c r="C1041" s="35">
        <f t="shared" ref="C1041:C1044" si="462">SUM(D1041:H1041)</f>
        <v>0</v>
      </c>
      <c r="D1041" s="36"/>
      <c r="E1041" s="36"/>
      <c r="F1041" s="36"/>
      <c r="G1041" s="36"/>
      <c r="H1041" s="36"/>
      <c r="I1041" s="61"/>
      <c r="J1041" s="61"/>
      <c r="K1041" s="61"/>
      <c r="L1041" s="61"/>
      <c r="M1041" s="61"/>
      <c r="N1041" s="61"/>
      <c r="O1041" s="61"/>
      <c r="P1041" s="64"/>
      <c r="Q1041" s="61"/>
      <c r="R1041" s="61"/>
      <c r="S1041" s="61"/>
      <c r="T1041" s="61"/>
    </row>
    <row r="1042" spans="1:20" ht="12.75" customHeight="1" x14ac:dyDescent="0.2">
      <c r="A1042" s="52"/>
      <c r="B1042" s="45" t="s">
        <v>1</v>
      </c>
      <c r="C1042" s="35">
        <f t="shared" si="462"/>
        <v>63900</v>
      </c>
      <c r="D1042" s="36">
        <f>0+3900</f>
        <v>3900</v>
      </c>
      <c r="E1042" s="36">
        <f>0+60000</f>
        <v>60000</v>
      </c>
      <c r="F1042" s="36"/>
      <c r="G1042" s="36"/>
      <c r="H1042" s="36"/>
      <c r="I1042" s="61"/>
      <c r="J1042" s="61"/>
      <c r="K1042" s="61"/>
      <c r="L1042" s="61"/>
      <c r="M1042" s="61"/>
      <c r="N1042" s="61"/>
      <c r="O1042" s="61"/>
      <c r="P1042" s="64"/>
      <c r="Q1042" s="61"/>
      <c r="R1042" s="61"/>
      <c r="S1042" s="61"/>
      <c r="T1042" s="61"/>
    </row>
    <row r="1043" spans="1:20" ht="12.75" customHeight="1" x14ac:dyDescent="0.2">
      <c r="A1043" s="52"/>
      <c r="B1043" s="45" t="s">
        <v>2</v>
      </c>
      <c r="C1043" s="35">
        <f t="shared" si="462"/>
        <v>0</v>
      </c>
      <c r="D1043" s="36"/>
      <c r="E1043" s="36"/>
      <c r="F1043" s="36"/>
      <c r="G1043" s="36"/>
      <c r="H1043" s="36"/>
      <c r="I1043" s="61"/>
      <c r="J1043" s="61"/>
      <c r="K1043" s="61"/>
      <c r="L1043" s="61"/>
      <c r="M1043" s="61"/>
      <c r="N1043" s="61"/>
      <c r="O1043" s="61"/>
      <c r="P1043" s="64"/>
      <c r="Q1043" s="61"/>
      <c r="R1043" s="61"/>
      <c r="S1043" s="61"/>
      <c r="T1043" s="61"/>
    </row>
    <row r="1044" spans="1:20" ht="12.75" customHeight="1" x14ac:dyDescent="0.2">
      <c r="A1044" s="111"/>
      <c r="B1044" s="46" t="s">
        <v>3</v>
      </c>
      <c r="C1044" s="47">
        <f t="shared" si="462"/>
        <v>0</v>
      </c>
      <c r="D1044" s="48"/>
      <c r="E1044" s="48"/>
      <c r="F1044" s="48"/>
      <c r="G1044" s="48"/>
      <c r="H1044" s="48"/>
      <c r="I1044" s="115"/>
      <c r="J1044" s="115"/>
      <c r="K1044" s="115"/>
      <c r="L1044" s="115"/>
      <c r="M1044" s="115"/>
      <c r="N1044" s="115"/>
      <c r="O1044" s="115"/>
      <c r="P1044" s="116"/>
      <c r="Q1044" s="115"/>
      <c r="R1044" s="115"/>
      <c r="S1044" s="115"/>
      <c r="T1044" s="115"/>
    </row>
    <row r="1045" spans="1:20" ht="15" customHeight="1" x14ac:dyDescent="0.2">
      <c r="A1045" s="165" t="s">
        <v>353</v>
      </c>
      <c r="B1045" s="167" t="s">
        <v>399</v>
      </c>
      <c r="C1045" s="167"/>
      <c r="D1045" s="167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</row>
    <row r="1046" spans="1:20" x14ac:dyDescent="0.2">
      <c r="A1046" s="89"/>
      <c r="B1046" s="44" t="s">
        <v>5</v>
      </c>
      <c r="C1046" s="13">
        <f>SUM(D1046:H1046)</f>
        <v>282147.5</v>
      </c>
      <c r="D1046" s="13">
        <f t="shared" ref="D1046:H1046" si="463">SUM(D1047:D1050)</f>
        <v>0</v>
      </c>
      <c r="E1046" s="13">
        <f t="shared" si="463"/>
        <v>138230.9</v>
      </c>
      <c r="F1046" s="13">
        <f t="shared" si="463"/>
        <v>143916.6</v>
      </c>
      <c r="G1046" s="13">
        <f t="shared" si="463"/>
        <v>0</v>
      </c>
      <c r="H1046" s="13">
        <f t="shared" si="463"/>
        <v>0</v>
      </c>
      <c r="I1046" s="91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3"/>
    </row>
    <row r="1047" spans="1:20" ht="12.75" customHeight="1" x14ac:dyDescent="0.2">
      <c r="A1047" s="89"/>
      <c r="B1047" s="44" t="s">
        <v>0</v>
      </c>
      <c r="C1047" s="13">
        <f t="shared" ref="C1047:C1050" si="464">SUM(D1047:H1047)</f>
        <v>282147.5</v>
      </c>
      <c r="D1047" s="13">
        <f>D1055</f>
        <v>0</v>
      </c>
      <c r="E1047" s="13">
        <f t="shared" ref="E1047:H1047" si="465">E1055</f>
        <v>138230.9</v>
      </c>
      <c r="F1047" s="13">
        <f t="shared" si="465"/>
        <v>143916.6</v>
      </c>
      <c r="G1047" s="13">
        <f t="shared" si="465"/>
        <v>0</v>
      </c>
      <c r="H1047" s="13">
        <f t="shared" si="465"/>
        <v>0</v>
      </c>
      <c r="I1047" s="94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6"/>
    </row>
    <row r="1048" spans="1:20" ht="12.75" customHeight="1" x14ac:dyDescent="0.2">
      <c r="A1048" s="89"/>
      <c r="B1048" s="44" t="s">
        <v>1</v>
      </c>
      <c r="C1048" s="13">
        <f t="shared" si="464"/>
        <v>0</v>
      </c>
      <c r="D1048" s="13">
        <f t="shared" ref="D1048:H1050" si="466">D1056</f>
        <v>0</v>
      </c>
      <c r="E1048" s="13">
        <f t="shared" si="466"/>
        <v>0</v>
      </c>
      <c r="F1048" s="13">
        <f t="shared" si="466"/>
        <v>0</v>
      </c>
      <c r="G1048" s="13">
        <f t="shared" si="466"/>
        <v>0</v>
      </c>
      <c r="H1048" s="13">
        <f t="shared" si="466"/>
        <v>0</v>
      </c>
      <c r="I1048" s="94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6"/>
    </row>
    <row r="1049" spans="1:20" ht="12.75" customHeight="1" x14ac:dyDescent="0.2">
      <c r="A1049" s="89"/>
      <c r="B1049" s="44" t="s">
        <v>2</v>
      </c>
      <c r="C1049" s="13">
        <f t="shared" si="464"/>
        <v>0</v>
      </c>
      <c r="D1049" s="13">
        <f t="shared" si="466"/>
        <v>0</v>
      </c>
      <c r="E1049" s="13">
        <f t="shared" si="466"/>
        <v>0</v>
      </c>
      <c r="F1049" s="13">
        <f t="shared" si="466"/>
        <v>0</v>
      </c>
      <c r="G1049" s="13">
        <f t="shared" si="466"/>
        <v>0</v>
      </c>
      <c r="H1049" s="13">
        <f t="shared" si="466"/>
        <v>0</v>
      </c>
      <c r="I1049" s="94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6"/>
    </row>
    <row r="1050" spans="1:20" ht="12.75" customHeight="1" x14ac:dyDescent="0.2">
      <c r="A1050" s="166"/>
      <c r="B1050" s="49" t="s">
        <v>3</v>
      </c>
      <c r="C1050" s="50">
        <f t="shared" si="464"/>
        <v>0</v>
      </c>
      <c r="D1050" s="50">
        <f t="shared" si="466"/>
        <v>0</v>
      </c>
      <c r="E1050" s="50">
        <f t="shared" si="466"/>
        <v>0</v>
      </c>
      <c r="F1050" s="50">
        <f t="shared" si="466"/>
        <v>0</v>
      </c>
      <c r="G1050" s="50">
        <f t="shared" si="466"/>
        <v>0</v>
      </c>
      <c r="H1050" s="50">
        <f t="shared" si="466"/>
        <v>0</v>
      </c>
      <c r="I1050" s="168"/>
      <c r="J1050" s="169"/>
      <c r="K1050" s="169"/>
      <c r="L1050" s="169"/>
      <c r="M1050" s="169"/>
      <c r="N1050" s="169"/>
      <c r="O1050" s="169"/>
      <c r="P1050" s="169"/>
      <c r="Q1050" s="169"/>
      <c r="R1050" s="169"/>
      <c r="S1050" s="169"/>
      <c r="T1050" s="170"/>
    </row>
    <row r="1051" spans="1:20" x14ac:dyDescent="0.2">
      <c r="A1051" s="70" t="s">
        <v>354</v>
      </c>
      <c r="B1051" s="109" t="s">
        <v>125</v>
      </c>
      <c r="C1051" s="109"/>
      <c r="D1051" s="109"/>
      <c r="E1051" s="109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  <c r="S1051" s="109"/>
      <c r="T1051" s="145"/>
    </row>
    <row r="1052" spans="1:20" x14ac:dyDescent="0.2">
      <c r="A1052" s="70"/>
      <c r="B1052" s="80" t="s">
        <v>400</v>
      </c>
      <c r="C1052" s="79"/>
      <c r="D1052" s="79"/>
      <c r="E1052" s="79"/>
      <c r="F1052" s="79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</row>
    <row r="1053" spans="1:20" ht="45" customHeight="1" x14ac:dyDescent="0.2">
      <c r="A1053" s="70"/>
      <c r="B1053" s="101" t="s">
        <v>401</v>
      </c>
      <c r="C1053" s="101"/>
      <c r="D1053" s="101"/>
      <c r="E1053" s="101"/>
      <c r="F1053" s="101"/>
      <c r="G1053" s="101"/>
      <c r="H1053" s="102"/>
      <c r="I1053" s="66"/>
      <c r="J1053" s="66"/>
      <c r="K1053" s="66"/>
      <c r="L1053" s="66"/>
      <c r="M1053" s="66"/>
      <c r="N1053" s="66"/>
      <c r="O1053" s="66"/>
      <c r="P1053" s="103"/>
      <c r="Q1053" s="66"/>
      <c r="R1053" s="66"/>
      <c r="S1053" s="66"/>
      <c r="T1053" s="78"/>
    </row>
    <row r="1054" spans="1:20" ht="12.75" customHeight="1" x14ac:dyDescent="0.2">
      <c r="A1054" s="70"/>
      <c r="B1054" s="19" t="s">
        <v>5</v>
      </c>
      <c r="C1054" s="15">
        <f>SUM(D1054:H1054)</f>
        <v>282147.5</v>
      </c>
      <c r="D1054" s="16">
        <f>SUM(D1055:D1058)</f>
        <v>0</v>
      </c>
      <c r="E1054" s="16">
        <f t="shared" ref="E1054:H1054" si="467">SUM(E1055:E1058)</f>
        <v>138230.9</v>
      </c>
      <c r="F1054" s="16">
        <f t="shared" si="467"/>
        <v>143916.6</v>
      </c>
      <c r="G1054" s="16">
        <f t="shared" si="467"/>
        <v>0</v>
      </c>
      <c r="H1054" s="16">
        <f t="shared" si="467"/>
        <v>0</v>
      </c>
      <c r="I1054" s="67"/>
      <c r="J1054" s="67"/>
      <c r="K1054" s="67"/>
      <c r="L1054" s="67"/>
      <c r="M1054" s="67"/>
      <c r="N1054" s="67"/>
      <c r="O1054" s="67"/>
      <c r="P1054" s="104"/>
      <c r="Q1054" s="67"/>
      <c r="R1054" s="67"/>
      <c r="S1054" s="67"/>
      <c r="T1054" s="78"/>
    </row>
    <row r="1055" spans="1:20" ht="12.75" customHeight="1" x14ac:dyDescent="0.2">
      <c r="A1055" s="70"/>
      <c r="B1055" s="19" t="s">
        <v>0</v>
      </c>
      <c r="C1055" s="15">
        <f>SUM(D1055:H1055)</f>
        <v>282147.5</v>
      </c>
      <c r="D1055" s="16">
        <v>0</v>
      </c>
      <c r="E1055" s="16">
        <v>138230.9</v>
      </c>
      <c r="F1055" s="16">
        <v>143916.6</v>
      </c>
      <c r="G1055" s="16">
        <v>0</v>
      </c>
      <c r="H1055" s="16">
        <v>0</v>
      </c>
      <c r="I1055" s="67"/>
      <c r="J1055" s="67"/>
      <c r="K1055" s="67"/>
      <c r="L1055" s="67"/>
      <c r="M1055" s="67"/>
      <c r="N1055" s="67"/>
      <c r="O1055" s="67"/>
      <c r="P1055" s="104"/>
      <c r="Q1055" s="67"/>
      <c r="R1055" s="67"/>
      <c r="S1055" s="67"/>
      <c r="T1055" s="78"/>
    </row>
    <row r="1056" spans="1:20" ht="12.75" customHeight="1" x14ac:dyDescent="0.2">
      <c r="A1056" s="70"/>
      <c r="B1056" s="19" t="s">
        <v>1</v>
      </c>
      <c r="C1056" s="15">
        <f t="shared" ref="C1056:C1058" si="468">SUM(D1056:H1056)</f>
        <v>0</v>
      </c>
      <c r="D1056" s="16"/>
      <c r="E1056" s="16"/>
      <c r="F1056" s="16"/>
      <c r="G1056" s="16"/>
      <c r="H1056" s="16"/>
      <c r="I1056" s="67"/>
      <c r="J1056" s="67"/>
      <c r="K1056" s="67"/>
      <c r="L1056" s="67"/>
      <c r="M1056" s="67"/>
      <c r="N1056" s="67"/>
      <c r="O1056" s="67"/>
      <c r="P1056" s="104"/>
      <c r="Q1056" s="67"/>
      <c r="R1056" s="67"/>
      <c r="S1056" s="67"/>
      <c r="T1056" s="78"/>
    </row>
    <row r="1057" spans="1:20" ht="12.75" customHeight="1" x14ac:dyDescent="0.2">
      <c r="A1057" s="70"/>
      <c r="B1057" s="40" t="s">
        <v>2</v>
      </c>
      <c r="C1057" s="15">
        <f t="shared" si="468"/>
        <v>0</v>
      </c>
      <c r="D1057" s="16"/>
      <c r="E1057" s="16"/>
      <c r="F1057" s="16"/>
      <c r="G1057" s="16"/>
      <c r="H1057" s="16"/>
      <c r="I1057" s="67"/>
      <c r="J1057" s="67"/>
      <c r="K1057" s="67"/>
      <c r="L1057" s="67"/>
      <c r="M1057" s="67"/>
      <c r="N1057" s="67"/>
      <c r="O1057" s="67"/>
      <c r="P1057" s="104"/>
      <c r="Q1057" s="67"/>
      <c r="R1057" s="67"/>
      <c r="S1057" s="67"/>
      <c r="T1057" s="78"/>
    </row>
    <row r="1058" spans="1:20" ht="12.75" customHeight="1" x14ac:dyDescent="0.2">
      <c r="A1058" s="70"/>
      <c r="B1058" s="19" t="s">
        <v>3</v>
      </c>
      <c r="C1058" s="15">
        <f t="shared" si="468"/>
        <v>0</v>
      </c>
      <c r="D1058" s="16"/>
      <c r="E1058" s="16"/>
      <c r="F1058" s="16"/>
      <c r="G1058" s="16"/>
      <c r="H1058" s="16"/>
      <c r="I1058" s="68"/>
      <c r="J1058" s="68"/>
      <c r="K1058" s="68"/>
      <c r="L1058" s="68"/>
      <c r="M1058" s="68"/>
      <c r="N1058" s="68"/>
      <c r="O1058" s="68"/>
      <c r="P1058" s="105"/>
      <c r="Q1058" s="68"/>
      <c r="R1058" s="68"/>
      <c r="S1058" s="68"/>
      <c r="T1058" s="78"/>
    </row>
    <row r="1059" spans="1:20" ht="12.75" customHeight="1" x14ac:dyDescent="0.2">
      <c r="A1059" s="88" t="s">
        <v>459</v>
      </c>
      <c r="B1059" s="79" t="s">
        <v>460</v>
      </c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</row>
    <row r="1060" spans="1:20" ht="12.75" customHeight="1" x14ac:dyDescent="0.2">
      <c r="A1060" s="89"/>
      <c r="B1060" s="12" t="s">
        <v>5</v>
      </c>
      <c r="C1060" s="13">
        <f>SUM(D1060:H1060)</f>
        <v>11900</v>
      </c>
      <c r="D1060" s="13">
        <f>SUM(D1061:D1065)</f>
        <v>11900</v>
      </c>
      <c r="E1060" s="13">
        <f>SUM(E1061:E1065)</f>
        <v>0</v>
      </c>
      <c r="F1060" s="13">
        <f>SUM(F1061:F1065)</f>
        <v>0</v>
      </c>
      <c r="G1060" s="13">
        <f>SUM(G1061:G1065)</f>
        <v>0</v>
      </c>
      <c r="H1060" s="13">
        <f>SUM(H1061:H1065)</f>
        <v>0</v>
      </c>
      <c r="I1060" s="91"/>
      <c r="J1060" s="92"/>
      <c r="K1060" s="92"/>
      <c r="L1060" s="92"/>
      <c r="M1060" s="92"/>
      <c r="N1060" s="92"/>
      <c r="O1060" s="92"/>
      <c r="P1060" s="92"/>
      <c r="Q1060" s="92"/>
      <c r="R1060" s="92"/>
      <c r="S1060" s="92"/>
      <c r="T1060" s="93"/>
    </row>
    <row r="1061" spans="1:20" ht="12.75" customHeight="1" x14ac:dyDescent="0.2">
      <c r="A1061" s="89"/>
      <c r="B1061" s="12" t="s">
        <v>0</v>
      </c>
      <c r="C1061" s="13">
        <f>SUM(D1061:H1061)</f>
        <v>0</v>
      </c>
      <c r="D1061" s="13">
        <f>D1070</f>
        <v>0</v>
      </c>
      <c r="E1061" s="13">
        <f t="shared" ref="E1061:H1061" si="469">E1070</f>
        <v>0</v>
      </c>
      <c r="F1061" s="13">
        <f t="shared" si="469"/>
        <v>0</v>
      </c>
      <c r="G1061" s="13">
        <f t="shared" si="469"/>
        <v>0</v>
      </c>
      <c r="H1061" s="13">
        <f t="shared" si="469"/>
        <v>0</v>
      </c>
      <c r="I1061" s="94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6"/>
    </row>
    <row r="1062" spans="1:20" ht="12.75" customHeight="1" x14ac:dyDescent="0.2">
      <c r="A1062" s="89"/>
      <c r="B1062" s="12" t="s">
        <v>1</v>
      </c>
      <c r="C1062" s="13">
        <f t="shared" ref="C1062:C1065" si="470">SUM(D1062:H1062)</f>
        <v>0</v>
      </c>
      <c r="D1062" s="13">
        <f>D1071</f>
        <v>0</v>
      </c>
      <c r="E1062" s="13">
        <f t="shared" ref="E1062:H1062" si="471">E1071</f>
        <v>0</v>
      </c>
      <c r="F1062" s="13">
        <f t="shared" si="471"/>
        <v>0</v>
      </c>
      <c r="G1062" s="13">
        <f t="shared" si="471"/>
        <v>0</v>
      </c>
      <c r="H1062" s="13">
        <f t="shared" si="471"/>
        <v>0</v>
      </c>
      <c r="I1062" s="94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6"/>
    </row>
    <row r="1063" spans="1:20" ht="39.950000000000003" customHeight="1" x14ac:dyDescent="0.2">
      <c r="A1063" s="89"/>
      <c r="B1063" s="12" t="s">
        <v>466</v>
      </c>
      <c r="C1063" s="13">
        <f>SUM(D1063:H1063)</f>
        <v>11900</v>
      </c>
      <c r="D1063" s="13">
        <f>D1072</f>
        <v>11900</v>
      </c>
      <c r="E1063" s="13">
        <f t="shared" ref="E1063:H1063" si="472">E1072</f>
        <v>0</v>
      </c>
      <c r="F1063" s="13">
        <f t="shared" si="472"/>
        <v>0</v>
      </c>
      <c r="G1063" s="13">
        <f t="shared" si="472"/>
        <v>0</v>
      </c>
      <c r="H1063" s="13">
        <f t="shared" si="472"/>
        <v>0</v>
      </c>
      <c r="I1063" s="94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6"/>
    </row>
    <row r="1064" spans="1:20" ht="12.75" customHeight="1" x14ac:dyDescent="0.2">
      <c r="A1064" s="89"/>
      <c r="B1064" s="12" t="s">
        <v>2</v>
      </c>
      <c r="C1064" s="13">
        <f t="shared" si="470"/>
        <v>0</v>
      </c>
      <c r="D1064" s="13">
        <f>D1073</f>
        <v>0</v>
      </c>
      <c r="E1064" s="13">
        <f t="shared" ref="E1064:H1064" si="473">E1073</f>
        <v>0</v>
      </c>
      <c r="F1064" s="13">
        <f t="shared" si="473"/>
        <v>0</v>
      </c>
      <c r="G1064" s="13">
        <f t="shared" si="473"/>
        <v>0</v>
      </c>
      <c r="H1064" s="13">
        <f t="shared" si="473"/>
        <v>0</v>
      </c>
      <c r="I1064" s="94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6"/>
    </row>
    <row r="1065" spans="1:20" ht="12.75" customHeight="1" x14ac:dyDescent="0.2">
      <c r="A1065" s="90"/>
      <c r="B1065" s="12" t="s">
        <v>3</v>
      </c>
      <c r="C1065" s="13">
        <f t="shared" si="470"/>
        <v>0</v>
      </c>
      <c r="D1065" s="13">
        <f>D1074</f>
        <v>0</v>
      </c>
      <c r="E1065" s="13">
        <f t="shared" ref="E1065:H1065" si="474">E1074</f>
        <v>0</v>
      </c>
      <c r="F1065" s="13">
        <f t="shared" si="474"/>
        <v>0</v>
      </c>
      <c r="G1065" s="13">
        <f t="shared" si="474"/>
        <v>0</v>
      </c>
      <c r="H1065" s="13">
        <f t="shared" si="474"/>
        <v>0</v>
      </c>
      <c r="I1065" s="97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9"/>
    </row>
    <row r="1066" spans="1:20" ht="12.75" customHeight="1" x14ac:dyDescent="0.2">
      <c r="A1066" s="69" t="s">
        <v>467</v>
      </c>
      <c r="B1066" s="109" t="s">
        <v>461</v>
      </c>
      <c r="C1066" s="85"/>
      <c r="D1066" s="109"/>
      <c r="E1066" s="109"/>
      <c r="F1066" s="109"/>
      <c r="G1066" s="109"/>
      <c r="H1066" s="109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6"/>
    </row>
    <row r="1067" spans="1:20" ht="12.75" customHeight="1" x14ac:dyDescent="0.2">
      <c r="A1067" s="70"/>
      <c r="B1067" s="80" t="s">
        <v>462</v>
      </c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</row>
    <row r="1068" spans="1:20" ht="50.1" customHeight="1" x14ac:dyDescent="0.2">
      <c r="A1068" s="70"/>
      <c r="B1068" s="101" t="s">
        <v>468</v>
      </c>
      <c r="C1068" s="101"/>
      <c r="D1068" s="101"/>
      <c r="E1068" s="101"/>
      <c r="F1068" s="101"/>
      <c r="G1068" s="101"/>
      <c r="H1068" s="102"/>
      <c r="I1068" s="66"/>
      <c r="J1068" s="66" t="s">
        <v>22</v>
      </c>
      <c r="K1068" s="66" t="s">
        <v>463</v>
      </c>
      <c r="L1068" s="66"/>
      <c r="M1068" s="66" t="s">
        <v>464</v>
      </c>
      <c r="N1068" s="66" t="s">
        <v>461</v>
      </c>
      <c r="O1068" s="66" t="s">
        <v>465</v>
      </c>
      <c r="P1068" s="103" t="s">
        <v>469</v>
      </c>
      <c r="Q1068" s="66" t="s">
        <v>30</v>
      </c>
      <c r="R1068" s="66" t="s">
        <v>8</v>
      </c>
      <c r="S1068" s="66" t="s">
        <v>25</v>
      </c>
      <c r="T1068" s="66"/>
    </row>
    <row r="1069" spans="1:20" ht="12.75" customHeight="1" x14ac:dyDescent="0.2">
      <c r="A1069" s="70"/>
      <c r="B1069" s="19" t="s">
        <v>5</v>
      </c>
      <c r="C1069" s="15">
        <f>SUM(D1069:H1069)</f>
        <v>11900</v>
      </c>
      <c r="D1069" s="16">
        <f>SUM(D1070:D1074)</f>
        <v>11900</v>
      </c>
      <c r="E1069" s="16">
        <f t="shared" ref="E1069:H1069" si="475">SUM(E1070:E1074)</f>
        <v>0</v>
      </c>
      <c r="F1069" s="16">
        <f t="shared" si="475"/>
        <v>0</v>
      </c>
      <c r="G1069" s="16">
        <f t="shared" si="475"/>
        <v>0</v>
      </c>
      <c r="H1069" s="16">
        <f t="shared" si="475"/>
        <v>0</v>
      </c>
      <c r="I1069" s="67"/>
      <c r="J1069" s="67"/>
      <c r="K1069" s="67"/>
      <c r="L1069" s="67"/>
      <c r="M1069" s="67"/>
      <c r="N1069" s="67"/>
      <c r="O1069" s="67"/>
      <c r="P1069" s="104"/>
      <c r="Q1069" s="67"/>
      <c r="R1069" s="67"/>
      <c r="S1069" s="67"/>
      <c r="T1069" s="67"/>
    </row>
    <row r="1070" spans="1:20" ht="12.75" customHeight="1" x14ac:dyDescent="0.2">
      <c r="A1070" s="70"/>
      <c r="B1070" s="19" t="s">
        <v>0</v>
      </c>
      <c r="C1070" s="15">
        <f>SUM(D1070:H1070)</f>
        <v>0</v>
      </c>
      <c r="D1070" s="16"/>
      <c r="E1070" s="16"/>
      <c r="F1070" s="16"/>
      <c r="G1070" s="16"/>
      <c r="H1070" s="16"/>
      <c r="I1070" s="67"/>
      <c r="J1070" s="67"/>
      <c r="K1070" s="67"/>
      <c r="L1070" s="67"/>
      <c r="M1070" s="67"/>
      <c r="N1070" s="67"/>
      <c r="O1070" s="67"/>
      <c r="P1070" s="104"/>
      <c r="Q1070" s="67"/>
      <c r="R1070" s="67"/>
      <c r="S1070" s="67"/>
      <c r="T1070" s="67"/>
    </row>
    <row r="1071" spans="1:20" ht="12.75" customHeight="1" x14ac:dyDescent="0.2">
      <c r="A1071" s="70"/>
      <c r="B1071" s="19" t="s">
        <v>1</v>
      </c>
      <c r="C1071" s="15">
        <f t="shared" ref="C1071:C1074" si="476">SUM(D1071:H1071)</f>
        <v>0</v>
      </c>
      <c r="D1071" s="16"/>
      <c r="E1071" s="16"/>
      <c r="F1071" s="16"/>
      <c r="G1071" s="16"/>
      <c r="H1071" s="16"/>
      <c r="I1071" s="67"/>
      <c r="J1071" s="67"/>
      <c r="K1071" s="67"/>
      <c r="L1071" s="67"/>
      <c r="M1071" s="67"/>
      <c r="N1071" s="67"/>
      <c r="O1071" s="67"/>
      <c r="P1071" s="104"/>
      <c r="Q1071" s="67"/>
      <c r="R1071" s="67"/>
      <c r="S1071" s="67"/>
      <c r="T1071" s="67"/>
    </row>
    <row r="1072" spans="1:20" ht="39.950000000000003" customHeight="1" x14ac:dyDescent="0.2">
      <c r="A1072" s="70"/>
      <c r="B1072" s="19" t="s">
        <v>466</v>
      </c>
      <c r="C1072" s="15">
        <f t="shared" si="476"/>
        <v>11900</v>
      </c>
      <c r="D1072" s="32">
        <f>0+11900</f>
        <v>11900</v>
      </c>
      <c r="E1072" s="16"/>
      <c r="F1072" s="16"/>
      <c r="G1072" s="16"/>
      <c r="H1072" s="16"/>
      <c r="I1072" s="67"/>
      <c r="J1072" s="67"/>
      <c r="K1072" s="67"/>
      <c r="L1072" s="67"/>
      <c r="M1072" s="67"/>
      <c r="N1072" s="67"/>
      <c r="O1072" s="67"/>
      <c r="P1072" s="104"/>
      <c r="Q1072" s="67"/>
      <c r="R1072" s="67"/>
      <c r="S1072" s="67"/>
      <c r="T1072" s="67"/>
    </row>
    <row r="1073" spans="1:20" ht="12.75" customHeight="1" x14ac:dyDescent="0.2">
      <c r="A1073" s="70"/>
      <c r="B1073" s="19" t="s">
        <v>2</v>
      </c>
      <c r="C1073" s="15">
        <f t="shared" si="476"/>
        <v>0</v>
      </c>
      <c r="D1073" s="16"/>
      <c r="E1073" s="16"/>
      <c r="F1073" s="16"/>
      <c r="G1073" s="16"/>
      <c r="H1073" s="16"/>
      <c r="I1073" s="67"/>
      <c r="J1073" s="67"/>
      <c r="K1073" s="67"/>
      <c r="L1073" s="67"/>
      <c r="M1073" s="67"/>
      <c r="N1073" s="67"/>
      <c r="O1073" s="67"/>
      <c r="P1073" s="104"/>
      <c r="Q1073" s="67"/>
      <c r="R1073" s="67"/>
      <c r="S1073" s="67"/>
      <c r="T1073" s="67"/>
    </row>
    <row r="1074" spans="1:20" ht="12.75" customHeight="1" x14ac:dyDescent="0.2">
      <c r="A1074" s="71"/>
      <c r="B1074" s="41" t="s">
        <v>3</v>
      </c>
      <c r="C1074" s="13">
        <f t="shared" si="476"/>
        <v>0</v>
      </c>
      <c r="D1074" s="13"/>
      <c r="E1074" s="13"/>
      <c r="F1074" s="13"/>
      <c r="G1074" s="13"/>
      <c r="H1074" s="13"/>
      <c r="I1074" s="68"/>
      <c r="J1074" s="68"/>
      <c r="K1074" s="68"/>
      <c r="L1074" s="68"/>
      <c r="M1074" s="68"/>
      <c r="N1074" s="68"/>
      <c r="O1074" s="68"/>
      <c r="P1074" s="105"/>
      <c r="Q1074" s="68"/>
      <c r="R1074" s="68"/>
      <c r="S1074" s="68"/>
      <c r="T1074" s="68"/>
    </row>
    <row r="1075" spans="1:20" ht="12.75" customHeight="1" x14ac:dyDescent="0.2">
      <c r="A1075" s="88" t="s">
        <v>470</v>
      </c>
      <c r="B1075" s="79" t="s">
        <v>472</v>
      </c>
      <c r="C1075" s="79"/>
      <c r="D1075" s="79"/>
      <c r="E1075" s="79"/>
      <c r="F1075" s="79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</row>
    <row r="1076" spans="1:20" ht="12.75" customHeight="1" x14ac:dyDescent="0.2">
      <c r="A1076" s="89"/>
      <c r="B1076" s="12" t="s">
        <v>5</v>
      </c>
      <c r="C1076" s="13">
        <f>SUM(D1076:H1076)</f>
        <v>45573.130599999997</v>
      </c>
      <c r="D1076" s="13">
        <f>SUM(D1077:D1080)</f>
        <v>45573.130599999997</v>
      </c>
      <c r="E1076" s="13">
        <f>SUM(E1077:E1080)</f>
        <v>0</v>
      </c>
      <c r="F1076" s="13">
        <f>SUM(F1077:F1080)</f>
        <v>0</v>
      </c>
      <c r="G1076" s="13">
        <f>SUM(G1077:G1080)</f>
        <v>0</v>
      </c>
      <c r="H1076" s="13">
        <f>SUM(H1077:H1080)</f>
        <v>0</v>
      </c>
      <c r="I1076" s="91"/>
      <c r="J1076" s="92"/>
      <c r="K1076" s="92"/>
      <c r="L1076" s="92"/>
      <c r="M1076" s="92"/>
      <c r="N1076" s="92"/>
      <c r="O1076" s="92"/>
      <c r="P1076" s="92"/>
      <c r="Q1076" s="92"/>
      <c r="R1076" s="92"/>
      <c r="S1076" s="92"/>
      <c r="T1076" s="93"/>
    </row>
    <row r="1077" spans="1:20" ht="12.75" customHeight="1" x14ac:dyDescent="0.2">
      <c r="A1077" s="89"/>
      <c r="B1077" s="12" t="s">
        <v>0</v>
      </c>
      <c r="C1077" s="13">
        <f>SUM(D1077:H1077)</f>
        <v>0</v>
      </c>
      <c r="D1077" s="13">
        <f>D1085</f>
        <v>0</v>
      </c>
      <c r="E1077" s="13">
        <f t="shared" ref="E1077:H1077" si="477">E1085</f>
        <v>0</v>
      </c>
      <c r="F1077" s="13">
        <f t="shared" si="477"/>
        <v>0</v>
      </c>
      <c r="G1077" s="13">
        <f t="shared" si="477"/>
        <v>0</v>
      </c>
      <c r="H1077" s="13">
        <f t="shared" si="477"/>
        <v>0</v>
      </c>
      <c r="I1077" s="94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6"/>
    </row>
    <row r="1078" spans="1:20" ht="12.75" customHeight="1" x14ac:dyDescent="0.2">
      <c r="A1078" s="89"/>
      <c r="B1078" s="12" t="s">
        <v>1</v>
      </c>
      <c r="C1078" s="13">
        <f t="shared" ref="C1078" si="478">SUM(D1078:H1078)</f>
        <v>41015.817539999996</v>
      </c>
      <c r="D1078" s="13">
        <f t="shared" ref="D1078:H1080" si="479">D1086</f>
        <v>41015.817539999996</v>
      </c>
      <c r="E1078" s="13">
        <f t="shared" si="479"/>
        <v>0</v>
      </c>
      <c r="F1078" s="13">
        <f t="shared" si="479"/>
        <v>0</v>
      </c>
      <c r="G1078" s="13">
        <f t="shared" si="479"/>
        <v>0</v>
      </c>
      <c r="H1078" s="13">
        <f t="shared" si="479"/>
        <v>0</v>
      </c>
      <c r="I1078" s="94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6"/>
    </row>
    <row r="1079" spans="1:20" ht="12.75" customHeight="1" x14ac:dyDescent="0.2">
      <c r="A1079" s="89"/>
      <c r="B1079" s="12" t="s">
        <v>2</v>
      </c>
      <c r="C1079" s="13">
        <f t="shared" ref="C1079:C1080" si="480">SUM(D1079:H1079)</f>
        <v>4557.3130600000004</v>
      </c>
      <c r="D1079" s="13">
        <f t="shared" si="479"/>
        <v>4557.3130600000004</v>
      </c>
      <c r="E1079" s="13">
        <f t="shared" si="479"/>
        <v>0</v>
      </c>
      <c r="F1079" s="13">
        <f t="shared" si="479"/>
        <v>0</v>
      </c>
      <c r="G1079" s="13">
        <f t="shared" si="479"/>
        <v>0</v>
      </c>
      <c r="H1079" s="13">
        <f t="shared" si="479"/>
        <v>0</v>
      </c>
      <c r="I1079" s="94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6"/>
    </row>
    <row r="1080" spans="1:20" ht="12.75" customHeight="1" x14ac:dyDescent="0.2">
      <c r="A1080" s="89"/>
      <c r="B1080" s="12" t="s">
        <v>3</v>
      </c>
      <c r="C1080" s="13">
        <f t="shared" si="480"/>
        <v>0</v>
      </c>
      <c r="D1080" s="13">
        <f t="shared" si="479"/>
        <v>0</v>
      </c>
      <c r="E1080" s="13">
        <f t="shared" si="479"/>
        <v>0</v>
      </c>
      <c r="F1080" s="13">
        <f t="shared" si="479"/>
        <v>0</v>
      </c>
      <c r="G1080" s="13">
        <f t="shared" si="479"/>
        <v>0</v>
      </c>
      <c r="H1080" s="13">
        <f t="shared" si="479"/>
        <v>0</v>
      </c>
      <c r="I1080" s="97"/>
      <c r="J1080" s="98"/>
      <c r="K1080" s="98"/>
      <c r="L1080" s="98"/>
      <c r="M1080" s="98"/>
      <c r="N1080" s="98"/>
      <c r="O1080" s="98"/>
      <c r="P1080" s="98"/>
      <c r="Q1080" s="98"/>
      <c r="R1080" s="98"/>
      <c r="S1080" s="98"/>
      <c r="T1080" s="99"/>
    </row>
    <row r="1081" spans="1:20" ht="12.75" customHeight="1" x14ac:dyDescent="0.2">
      <c r="A1081" s="88" t="s">
        <v>471</v>
      </c>
      <c r="B1081" s="85" t="s">
        <v>66</v>
      </c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6"/>
    </row>
    <row r="1082" spans="1:20" ht="12.75" customHeight="1" x14ac:dyDescent="0.2">
      <c r="A1082" s="89"/>
      <c r="B1082" s="80" t="s">
        <v>473</v>
      </c>
      <c r="C1082" s="79"/>
      <c r="D1082" s="79"/>
      <c r="E1082" s="79"/>
      <c r="F1082" s="79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</row>
    <row r="1083" spans="1:20" ht="50.1" customHeight="1" x14ac:dyDescent="0.2">
      <c r="A1083" s="89"/>
      <c r="B1083" s="101" t="s">
        <v>474</v>
      </c>
      <c r="C1083" s="101"/>
      <c r="D1083" s="101"/>
      <c r="E1083" s="101"/>
      <c r="F1083" s="101"/>
      <c r="G1083" s="101"/>
      <c r="H1083" s="102"/>
      <c r="I1083" s="66">
        <v>2020</v>
      </c>
      <c r="J1083" s="66"/>
      <c r="K1083" s="66" t="s">
        <v>47</v>
      </c>
      <c r="L1083" s="66" t="s">
        <v>475</v>
      </c>
      <c r="M1083" s="66" t="s">
        <v>476</v>
      </c>
      <c r="N1083" s="66" t="s">
        <v>69</v>
      </c>
      <c r="O1083" s="66" t="s">
        <v>69</v>
      </c>
      <c r="P1083" s="103"/>
      <c r="Q1083" s="66" t="s">
        <v>7</v>
      </c>
      <c r="R1083" s="66" t="s">
        <v>476</v>
      </c>
      <c r="S1083" s="66" t="s">
        <v>31</v>
      </c>
      <c r="T1083" s="78" t="s">
        <v>571</v>
      </c>
    </row>
    <row r="1084" spans="1:20" ht="12.75" customHeight="1" x14ac:dyDescent="0.2">
      <c r="A1084" s="89"/>
      <c r="B1084" s="19" t="s">
        <v>5</v>
      </c>
      <c r="C1084" s="15">
        <f>SUM(D1084:H1084)</f>
        <v>45573.130599999997</v>
      </c>
      <c r="D1084" s="16">
        <f>SUM(D1085:D1088)</f>
        <v>45573.130599999997</v>
      </c>
      <c r="E1084" s="16">
        <f t="shared" ref="E1084:H1084" si="481">SUM(E1085:E1088)</f>
        <v>0</v>
      </c>
      <c r="F1084" s="16">
        <f t="shared" si="481"/>
        <v>0</v>
      </c>
      <c r="G1084" s="16">
        <f t="shared" si="481"/>
        <v>0</v>
      </c>
      <c r="H1084" s="16">
        <f t="shared" si="481"/>
        <v>0</v>
      </c>
      <c r="I1084" s="67"/>
      <c r="J1084" s="67"/>
      <c r="K1084" s="67"/>
      <c r="L1084" s="67"/>
      <c r="M1084" s="67"/>
      <c r="N1084" s="67"/>
      <c r="O1084" s="67"/>
      <c r="P1084" s="104"/>
      <c r="Q1084" s="67"/>
      <c r="R1084" s="67"/>
      <c r="S1084" s="67"/>
      <c r="T1084" s="78"/>
    </row>
    <row r="1085" spans="1:20" ht="12.75" customHeight="1" x14ac:dyDescent="0.2">
      <c r="A1085" s="89"/>
      <c r="B1085" s="19" t="s">
        <v>0</v>
      </c>
      <c r="C1085" s="15">
        <f>SUM(D1085:H1085)</f>
        <v>0</v>
      </c>
      <c r="D1085" s="16">
        <v>0</v>
      </c>
      <c r="E1085" s="16"/>
      <c r="F1085" s="16"/>
      <c r="G1085" s="16"/>
      <c r="H1085" s="16"/>
      <c r="I1085" s="67"/>
      <c r="J1085" s="67"/>
      <c r="K1085" s="67"/>
      <c r="L1085" s="67"/>
      <c r="M1085" s="67"/>
      <c r="N1085" s="67"/>
      <c r="O1085" s="67"/>
      <c r="P1085" s="104"/>
      <c r="Q1085" s="67"/>
      <c r="R1085" s="67"/>
      <c r="S1085" s="67"/>
      <c r="T1085" s="78"/>
    </row>
    <row r="1086" spans="1:20" ht="12.75" customHeight="1" x14ac:dyDescent="0.2">
      <c r="A1086" s="89"/>
      <c r="B1086" s="19" t="s">
        <v>1</v>
      </c>
      <c r="C1086" s="15">
        <f t="shared" ref="C1086:C1088" si="482">SUM(D1086:H1086)</f>
        <v>41015.817539999996</v>
      </c>
      <c r="D1086" s="16">
        <f>0+41015.81754</f>
        <v>41015.817539999996</v>
      </c>
      <c r="E1086" s="16"/>
      <c r="F1086" s="16"/>
      <c r="G1086" s="16"/>
      <c r="H1086" s="16"/>
      <c r="I1086" s="67"/>
      <c r="J1086" s="67"/>
      <c r="K1086" s="67"/>
      <c r="L1086" s="67"/>
      <c r="M1086" s="67"/>
      <c r="N1086" s="67"/>
      <c r="O1086" s="67"/>
      <c r="P1086" s="104"/>
      <c r="Q1086" s="67"/>
      <c r="R1086" s="67"/>
      <c r="S1086" s="67"/>
      <c r="T1086" s="78"/>
    </row>
    <row r="1087" spans="1:20" ht="12.75" customHeight="1" x14ac:dyDescent="0.2">
      <c r="A1087" s="89"/>
      <c r="B1087" s="19" t="s">
        <v>2</v>
      </c>
      <c r="C1087" s="15">
        <f t="shared" si="482"/>
        <v>4557.3130600000004</v>
      </c>
      <c r="D1087" s="16">
        <f>0+4557.31306</f>
        <v>4557.3130600000004</v>
      </c>
      <c r="E1087" s="16"/>
      <c r="F1087" s="16"/>
      <c r="G1087" s="16"/>
      <c r="H1087" s="16"/>
      <c r="I1087" s="67"/>
      <c r="J1087" s="67"/>
      <c r="K1087" s="67"/>
      <c r="L1087" s="67"/>
      <c r="M1087" s="67"/>
      <c r="N1087" s="67"/>
      <c r="O1087" s="67"/>
      <c r="P1087" s="104"/>
      <c r="Q1087" s="67"/>
      <c r="R1087" s="67"/>
      <c r="S1087" s="67"/>
      <c r="T1087" s="78"/>
    </row>
    <row r="1088" spans="1:20" ht="12.75" customHeight="1" x14ac:dyDescent="0.2">
      <c r="A1088" s="90"/>
      <c r="B1088" s="19" t="s">
        <v>3</v>
      </c>
      <c r="C1088" s="15">
        <f t="shared" si="482"/>
        <v>0</v>
      </c>
      <c r="D1088" s="16"/>
      <c r="E1088" s="16"/>
      <c r="F1088" s="16"/>
      <c r="G1088" s="16"/>
      <c r="H1088" s="16"/>
      <c r="I1088" s="68"/>
      <c r="J1088" s="68"/>
      <c r="K1088" s="68"/>
      <c r="L1088" s="68"/>
      <c r="M1088" s="68"/>
      <c r="N1088" s="68"/>
      <c r="O1088" s="68"/>
      <c r="P1088" s="105"/>
      <c r="Q1088" s="68"/>
      <c r="R1088" s="68"/>
      <c r="S1088" s="68"/>
      <c r="T1088" s="78"/>
    </row>
    <row r="1089" spans="1:20" ht="12.75" customHeight="1" x14ac:dyDescent="0.2">
      <c r="A1089" s="88" t="s">
        <v>662</v>
      </c>
      <c r="B1089" s="79" t="s">
        <v>664</v>
      </c>
      <c r="C1089" s="79"/>
      <c r="D1089" s="79"/>
      <c r="E1089" s="79"/>
      <c r="F1089" s="79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</row>
    <row r="1090" spans="1:20" ht="12.75" customHeight="1" x14ac:dyDescent="0.2">
      <c r="A1090" s="89"/>
      <c r="B1090" s="44" t="s">
        <v>5</v>
      </c>
      <c r="C1090" s="13">
        <f>SUM(D1090:H1090)</f>
        <v>21282.297999999999</v>
      </c>
      <c r="D1090" s="13">
        <f>SUM(D1091:D1094)</f>
        <v>21282.297999999999</v>
      </c>
      <c r="E1090" s="13">
        <f>SUM(E1091:E1094)</f>
        <v>0</v>
      </c>
      <c r="F1090" s="13">
        <f>SUM(F1091:F1094)</f>
        <v>0</v>
      </c>
      <c r="G1090" s="13">
        <f>SUM(G1091:G1094)</f>
        <v>0</v>
      </c>
      <c r="H1090" s="13">
        <f>SUM(H1091:H1094)</f>
        <v>0</v>
      </c>
      <c r="I1090" s="91"/>
      <c r="J1090" s="92"/>
      <c r="K1090" s="92"/>
      <c r="L1090" s="92"/>
      <c r="M1090" s="92"/>
      <c r="N1090" s="92"/>
      <c r="O1090" s="92"/>
      <c r="P1090" s="92"/>
      <c r="Q1090" s="92"/>
      <c r="R1090" s="92"/>
      <c r="S1090" s="92"/>
      <c r="T1090" s="93"/>
    </row>
    <row r="1091" spans="1:20" ht="12.75" customHeight="1" x14ac:dyDescent="0.2">
      <c r="A1091" s="89"/>
      <c r="B1091" s="44" t="s">
        <v>0</v>
      </c>
      <c r="C1091" s="13">
        <f>SUM(D1091:H1091)</f>
        <v>0</v>
      </c>
      <c r="D1091" s="13">
        <f>D1099</f>
        <v>0</v>
      </c>
      <c r="E1091" s="13">
        <f t="shared" ref="E1091:H1091" si="483">E1099</f>
        <v>0</v>
      </c>
      <c r="F1091" s="13">
        <f t="shared" si="483"/>
        <v>0</v>
      </c>
      <c r="G1091" s="13">
        <f t="shared" si="483"/>
        <v>0</v>
      </c>
      <c r="H1091" s="13">
        <f t="shared" si="483"/>
        <v>0</v>
      </c>
      <c r="I1091" s="94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6"/>
    </row>
    <row r="1092" spans="1:20" ht="12.75" customHeight="1" x14ac:dyDescent="0.2">
      <c r="A1092" s="89"/>
      <c r="B1092" s="44" t="s">
        <v>1</v>
      </c>
      <c r="C1092" s="13">
        <f t="shared" ref="C1092:C1094" si="484">SUM(D1092:H1092)</f>
        <v>21282.297999999999</v>
      </c>
      <c r="D1092" s="13">
        <f t="shared" ref="D1092:H1092" si="485">D1100</f>
        <v>21282.297999999999</v>
      </c>
      <c r="E1092" s="13">
        <f t="shared" si="485"/>
        <v>0</v>
      </c>
      <c r="F1092" s="13">
        <f t="shared" si="485"/>
        <v>0</v>
      </c>
      <c r="G1092" s="13">
        <f t="shared" si="485"/>
        <v>0</v>
      </c>
      <c r="H1092" s="13">
        <f t="shared" si="485"/>
        <v>0</v>
      </c>
      <c r="I1092" s="94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6"/>
    </row>
    <row r="1093" spans="1:20" ht="12.75" customHeight="1" x14ac:dyDescent="0.2">
      <c r="A1093" s="89"/>
      <c r="B1093" s="44" t="s">
        <v>2</v>
      </c>
      <c r="C1093" s="13">
        <f t="shared" si="484"/>
        <v>0</v>
      </c>
      <c r="D1093" s="13">
        <f t="shared" ref="D1093:H1093" si="486">D1101</f>
        <v>0</v>
      </c>
      <c r="E1093" s="13">
        <f t="shared" si="486"/>
        <v>0</v>
      </c>
      <c r="F1093" s="13">
        <f t="shared" si="486"/>
        <v>0</v>
      </c>
      <c r="G1093" s="13">
        <f t="shared" si="486"/>
        <v>0</v>
      </c>
      <c r="H1093" s="13">
        <f t="shared" si="486"/>
        <v>0</v>
      </c>
      <c r="I1093" s="94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6"/>
    </row>
    <row r="1094" spans="1:20" ht="12.75" customHeight="1" x14ac:dyDescent="0.2">
      <c r="A1094" s="166"/>
      <c r="B1094" s="49" t="s">
        <v>3</v>
      </c>
      <c r="C1094" s="50">
        <f t="shared" si="484"/>
        <v>0</v>
      </c>
      <c r="D1094" s="50">
        <f t="shared" ref="D1094:H1094" si="487">D1102</f>
        <v>0</v>
      </c>
      <c r="E1094" s="50">
        <f t="shared" si="487"/>
        <v>0</v>
      </c>
      <c r="F1094" s="50">
        <f t="shared" si="487"/>
        <v>0</v>
      </c>
      <c r="G1094" s="50">
        <f t="shared" si="487"/>
        <v>0</v>
      </c>
      <c r="H1094" s="50">
        <f t="shared" si="487"/>
        <v>0</v>
      </c>
      <c r="I1094" s="168"/>
      <c r="J1094" s="169"/>
      <c r="K1094" s="169"/>
      <c r="L1094" s="169"/>
      <c r="M1094" s="169"/>
      <c r="N1094" s="169"/>
      <c r="O1094" s="169"/>
      <c r="P1094" s="169"/>
      <c r="Q1094" s="169"/>
      <c r="R1094" s="169"/>
      <c r="S1094" s="169"/>
      <c r="T1094" s="170"/>
    </row>
    <row r="1095" spans="1:20" ht="12.75" customHeight="1" x14ac:dyDescent="0.2">
      <c r="A1095" s="89" t="s">
        <v>663</v>
      </c>
      <c r="B1095" s="127" t="s">
        <v>701</v>
      </c>
      <c r="C1095" s="128"/>
      <c r="D1095" s="128"/>
      <c r="E1095" s="128"/>
      <c r="F1095" s="128"/>
      <c r="G1095" s="128"/>
      <c r="H1095" s="128"/>
      <c r="I1095" s="128"/>
      <c r="J1095" s="128"/>
      <c r="K1095" s="128"/>
      <c r="L1095" s="128"/>
      <c r="M1095" s="128"/>
      <c r="N1095" s="128"/>
      <c r="O1095" s="128"/>
      <c r="P1095" s="128"/>
      <c r="Q1095" s="128"/>
      <c r="R1095" s="128"/>
      <c r="S1095" s="128"/>
      <c r="T1095" s="129"/>
    </row>
    <row r="1096" spans="1:20" ht="12.75" customHeight="1" x14ac:dyDescent="0.2">
      <c r="A1096" s="89"/>
      <c r="B1096" s="130" t="s">
        <v>666</v>
      </c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80"/>
    </row>
    <row r="1097" spans="1:20" ht="50.1" customHeight="1" x14ac:dyDescent="0.2">
      <c r="A1097" s="89"/>
      <c r="B1097" s="100" t="s">
        <v>667</v>
      </c>
      <c r="C1097" s="101"/>
      <c r="D1097" s="101"/>
      <c r="E1097" s="101"/>
      <c r="F1097" s="101"/>
      <c r="G1097" s="101"/>
      <c r="H1097" s="102"/>
      <c r="I1097" s="66">
        <v>2020</v>
      </c>
      <c r="J1097" s="66"/>
      <c r="K1097" s="66" t="s">
        <v>40</v>
      </c>
      <c r="L1097" s="66"/>
      <c r="M1097" s="78" t="s">
        <v>668</v>
      </c>
      <c r="N1097" s="78" t="s">
        <v>665</v>
      </c>
      <c r="O1097" s="78" t="s">
        <v>668</v>
      </c>
      <c r="P1097" s="183" t="s">
        <v>669</v>
      </c>
      <c r="Q1097" s="78" t="s">
        <v>30</v>
      </c>
      <c r="R1097" s="78" t="s">
        <v>34</v>
      </c>
      <c r="S1097" s="66" t="s">
        <v>32</v>
      </c>
      <c r="T1097" s="78" t="s">
        <v>670</v>
      </c>
    </row>
    <row r="1098" spans="1:20" ht="12.75" customHeight="1" x14ac:dyDescent="0.2">
      <c r="A1098" s="89"/>
      <c r="B1098" s="19" t="s">
        <v>5</v>
      </c>
      <c r="C1098" s="15">
        <f>SUM(D1098:H1098)</f>
        <v>21282.297999999999</v>
      </c>
      <c r="D1098" s="16">
        <f>SUM(D1099:D1102)</f>
        <v>21282.297999999999</v>
      </c>
      <c r="E1098" s="16">
        <f t="shared" ref="E1098:H1098" si="488">SUM(E1099:E1102)</f>
        <v>0</v>
      </c>
      <c r="F1098" s="16">
        <f t="shared" si="488"/>
        <v>0</v>
      </c>
      <c r="G1098" s="16">
        <f t="shared" si="488"/>
        <v>0</v>
      </c>
      <c r="H1098" s="16">
        <f t="shared" si="488"/>
        <v>0</v>
      </c>
      <c r="I1098" s="67"/>
      <c r="J1098" s="67"/>
      <c r="K1098" s="67"/>
      <c r="L1098" s="67"/>
      <c r="M1098" s="78"/>
      <c r="N1098" s="78"/>
      <c r="O1098" s="78"/>
      <c r="P1098" s="183"/>
      <c r="Q1098" s="78"/>
      <c r="R1098" s="78"/>
      <c r="S1098" s="67"/>
      <c r="T1098" s="78"/>
    </row>
    <row r="1099" spans="1:20" ht="12.75" customHeight="1" x14ac:dyDescent="0.2">
      <c r="A1099" s="89"/>
      <c r="B1099" s="19" t="s">
        <v>0</v>
      </c>
      <c r="C1099" s="15">
        <f>SUM(D1099:H1099)</f>
        <v>0</v>
      </c>
      <c r="D1099" s="16">
        <v>0</v>
      </c>
      <c r="E1099" s="16"/>
      <c r="F1099" s="16"/>
      <c r="G1099" s="16"/>
      <c r="H1099" s="16"/>
      <c r="I1099" s="67"/>
      <c r="J1099" s="67"/>
      <c r="K1099" s="67"/>
      <c r="L1099" s="67"/>
      <c r="M1099" s="78"/>
      <c r="N1099" s="78"/>
      <c r="O1099" s="78"/>
      <c r="P1099" s="183"/>
      <c r="Q1099" s="78"/>
      <c r="R1099" s="78"/>
      <c r="S1099" s="67"/>
      <c r="T1099" s="78"/>
    </row>
    <row r="1100" spans="1:20" ht="12.75" customHeight="1" x14ac:dyDescent="0.2">
      <c r="A1100" s="89"/>
      <c r="B1100" s="19" t="s">
        <v>1</v>
      </c>
      <c r="C1100" s="15">
        <f t="shared" ref="C1100:C1102" si="489">SUM(D1100:H1100)</f>
        <v>21282.297999999999</v>
      </c>
      <c r="D1100" s="32">
        <f>I11418+6282.298+20490.66748-5490.66748</f>
        <v>21282.297999999999</v>
      </c>
      <c r="E1100" s="16"/>
      <c r="F1100" s="16"/>
      <c r="G1100" s="16"/>
      <c r="H1100" s="16"/>
      <c r="I1100" s="67"/>
      <c r="J1100" s="67"/>
      <c r="K1100" s="67"/>
      <c r="L1100" s="67"/>
      <c r="M1100" s="78"/>
      <c r="N1100" s="78"/>
      <c r="O1100" s="78"/>
      <c r="P1100" s="183"/>
      <c r="Q1100" s="78"/>
      <c r="R1100" s="78"/>
      <c r="S1100" s="67"/>
      <c r="T1100" s="78"/>
    </row>
    <row r="1101" spans="1:20" ht="12.75" customHeight="1" x14ac:dyDescent="0.2">
      <c r="A1101" s="89"/>
      <c r="B1101" s="19" t="s">
        <v>2</v>
      </c>
      <c r="C1101" s="15">
        <f t="shared" si="489"/>
        <v>0</v>
      </c>
      <c r="D1101" s="16"/>
      <c r="E1101" s="16"/>
      <c r="F1101" s="16"/>
      <c r="G1101" s="16"/>
      <c r="H1101" s="16"/>
      <c r="I1101" s="67"/>
      <c r="J1101" s="67"/>
      <c r="K1101" s="67"/>
      <c r="L1101" s="67"/>
      <c r="M1101" s="78"/>
      <c r="N1101" s="78"/>
      <c r="O1101" s="78"/>
      <c r="P1101" s="183"/>
      <c r="Q1101" s="78"/>
      <c r="R1101" s="78"/>
      <c r="S1101" s="67"/>
      <c r="T1101" s="78"/>
    </row>
    <row r="1102" spans="1:20" ht="12.75" customHeight="1" x14ac:dyDescent="0.2">
      <c r="A1102" s="90"/>
      <c r="B1102" s="19" t="s">
        <v>3</v>
      </c>
      <c r="C1102" s="15">
        <f t="shared" si="489"/>
        <v>0</v>
      </c>
      <c r="D1102" s="16"/>
      <c r="E1102" s="16"/>
      <c r="F1102" s="16"/>
      <c r="G1102" s="16"/>
      <c r="H1102" s="16"/>
      <c r="I1102" s="68"/>
      <c r="J1102" s="68"/>
      <c r="K1102" s="68"/>
      <c r="L1102" s="68"/>
      <c r="M1102" s="78"/>
      <c r="N1102" s="78"/>
      <c r="O1102" s="78"/>
      <c r="P1102" s="183"/>
      <c r="Q1102" s="78"/>
      <c r="R1102" s="78"/>
      <c r="S1102" s="68"/>
      <c r="T1102" s="78"/>
    </row>
    <row r="1103" spans="1:20" x14ac:dyDescent="0.2">
      <c r="A1103" s="123"/>
      <c r="B1103" s="124"/>
      <c r="C1103" s="124"/>
      <c r="D1103" s="124"/>
      <c r="E1103" s="124"/>
      <c r="F1103" s="124"/>
      <c r="G1103" s="124"/>
      <c r="H1103" s="124"/>
      <c r="I1103" s="124"/>
      <c r="J1103" s="124"/>
      <c r="K1103" s="124"/>
      <c r="L1103" s="124"/>
      <c r="M1103" s="124"/>
      <c r="N1103" s="124"/>
      <c r="O1103" s="124"/>
      <c r="P1103" s="124"/>
      <c r="Q1103" s="124"/>
      <c r="R1103" s="124"/>
      <c r="S1103" s="124"/>
      <c r="T1103" s="124"/>
    </row>
    <row r="1104" spans="1:20" x14ac:dyDescent="0.2">
      <c r="A1104" s="122" t="s">
        <v>5</v>
      </c>
      <c r="B1104" s="122"/>
      <c r="C1104" s="13">
        <f>SUM(D1104:H1104)</f>
        <v>33171371.814830825</v>
      </c>
      <c r="D1104" s="13">
        <f>SUM(D1105:D1110)</f>
        <v>7806793.1585027277</v>
      </c>
      <c r="E1104" s="13">
        <f>SUM(E1105:E1110)</f>
        <v>7111773.2415280957</v>
      </c>
      <c r="F1104" s="13">
        <f>SUM(F1105:F1110)</f>
        <v>4724816.2636299999</v>
      </c>
      <c r="G1104" s="13">
        <f t="shared" ref="G1104:H1104" si="490">SUM(G1105:G1110)</f>
        <v>7172688.6261</v>
      </c>
      <c r="H1104" s="13">
        <f t="shared" si="490"/>
        <v>6355300.5250700004</v>
      </c>
      <c r="I1104" s="91"/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</row>
    <row r="1105" spans="1:20" ht="12.75" customHeight="1" x14ac:dyDescent="0.2">
      <c r="A1105" s="122" t="s">
        <v>0</v>
      </c>
      <c r="B1105" s="122"/>
      <c r="C1105" s="13">
        <f>SUM(D1105:H1105)</f>
        <v>17205860.898140002</v>
      </c>
      <c r="D1105" s="34">
        <f t="shared" ref="D1105:H1106" si="491">D11+D73+D231+D253+D315+D337+D521+D657+D919+D949+D1003+D1025+D1047+D1061+D1077+D1091</f>
        <v>3804547.9981399998</v>
      </c>
      <c r="E1105" s="34">
        <f t="shared" si="491"/>
        <v>4516977.3000000007</v>
      </c>
      <c r="F1105" s="13">
        <f t="shared" si="491"/>
        <v>2702658.3000000003</v>
      </c>
      <c r="G1105" s="13">
        <f t="shared" si="491"/>
        <v>3141677.3</v>
      </c>
      <c r="H1105" s="13">
        <f t="shared" si="491"/>
        <v>3040000</v>
      </c>
      <c r="I1105" s="94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</row>
    <row r="1106" spans="1:20" x14ac:dyDescent="0.2">
      <c r="A1106" s="122" t="s">
        <v>1</v>
      </c>
      <c r="B1106" s="122"/>
      <c r="C1106" s="13">
        <f>SUM(D1106:H1106)</f>
        <v>14748491.207109001</v>
      </c>
      <c r="D1106" s="34">
        <f t="shared" si="491"/>
        <v>3387893.7198900003</v>
      </c>
      <c r="E1106" s="34">
        <f t="shared" si="491"/>
        <v>1999161.3371590001</v>
      </c>
      <c r="F1106" s="13">
        <f t="shared" si="491"/>
        <v>2018722.5884100001</v>
      </c>
      <c r="G1106" s="13">
        <f t="shared" si="491"/>
        <v>4028114.8059900003</v>
      </c>
      <c r="H1106" s="13">
        <f t="shared" si="491"/>
        <v>3314598.7556600003</v>
      </c>
      <c r="I1106" s="94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</row>
    <row r="1107" spans="1:20" ht="39.950000000000003" customHeight="1" x14ac:dyDescent="0.2">
      <c r="A1107" s="120" t="s">
        <v>466</v>
      </c>
      <c r="B1107" s="121"/>
      <c r="C1107" s="13">
        <f>SUM(D1107:H1107)</f>
        <v>11900</v>
      </c>
      <c r="D1107" s="34">
        <f>D1063</f>
        <v>11900</v>
      </c>
      <c r="E1107" s="34">
        <f>E1063</f>
        <v>0</v>
      </c>
      <c r="F1107" s="13">
        <f>F1063</f>
        <v>0</v>
      </c>
      <c r="G1107" s="13">
        <f>G1063</f>
        <v>0</v>
      </c>
      <c r="H1107" s="13">
        <f>H1063</f>
        <v>0</v>
      </c>
      <c r="I1107" s="94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</row>
    <row r="1108" spans="1:20" ht="12.75" customHeight="1" x14ac:dyDescent="0.2">
      <c r="A1108" s="122" t="s">
        <v>2</v>
      </c>
      <c r="B1108" s="122"/>
      <c r="C1108" s="13">
        <f t="shared" ref="C1108:C1110" si="492">SUM(D1108:H1108)</f>
        <v>146526.63470182157</v>
      </c>
      <c r="D1108" s="34">
        <f t="shared" ref="D1108:H1109" si="493">D13+D75+D233+D255+D317+D339+D523+D659+D921+D951+D1005+D1027+D1049+D1064+D1079+D1093</f>
        <v>67249.003432727273</v>
      </c>
      <c r="E1108" s="34">
        <f t="shared" si="493"/>
        <v>72243.966529094279</v>
      </c>
      <c r="F1108" s="13">
        <f t="shared" si="493"/>
        <v>3435.3752199999999</v>
      </c>
      <c r="G1108" s="13">
        <f t="shared" si="493"/>
        <v>2896.5201100000004</v>
      </c>
      <c r="H1108" s="13">
        <f t="shared" si="493"/>
        <v>701.76940999999999</v>
      </c>
      <c r="I1108" s="94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</row>
    <row r="1109" spans="1:20" x14ac:dyDescent="0.2">
      <c r="A1109" s="122" t="s">
        <v>3</v>
      </c>
      <c r="B1109" s="122"/>
      <c r="C1109" s="13">
        <f t="shared" si="492"/>
        <v>106483.484</v>
      </c>
      <c r="D1109" s="34">
        <f t="shared" si="493"/>
        <v>38089.298000000003</v>
      </c>
      <c r="E1109" s="34">
        <f t="shared" si="493"/>
        <v>68394.186000000002</v>
      </c>
      <c r="F1109" s="13">
        <f t="shared" si="493"/>
        <v>0</v>
      </c>
      <c r="G1109" s="13">
        <f t="shared" si="493"/>
        <v>0</v>
      </c>
      <c r="H1109" s="13">
        <f t="shared" si="493"/>
        <v>0</v>
      </c>
      <c r="I1109" s="94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</row>
    <row r="1110" spans="1:20" ht="39.950000000000003" customHeight="1" x14ac:dyDescent="0.2">
      <c r="A1110" s="122" t="s">
        <v>402</v>
      </c>
      <c r="B1110" s="122"/>
      <c r="C1110" s="13">
        <f t="shared" si="492"/>
        <v>952109.59088000003</v>
      </c>
      <c r="D1110" s="34">
        <f>D341+D525</f>
        <v>497113.13904000004</v>
      </c>
      <c r="E1110" s="34">
        <f>E341+E525</f>
        <v>454996.45183999999</v>
      </c>
      <c r="F1110" s="13">
        <f>F341+F525</f>
        <v>0</v>
      </c>
      <c r="G1110" s="13">
        <f>G341+G525</f>
        <v>0</v>
      </c>
      <c r="H1110" s="13">
        <f>H341+H525</f>
        <v>0</v>
      </c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</row>
    <row r="1111" spans="1:20" ht="12.75" customHeight="1" x14ac:dyDescent="0.3">
      <c r="A1111" s="24"/>
      <c r="B1111" s="24"/>
      <c r="C1111" s="25"/>
      <c r="D1111" s="26"/>
      <c r="E1111" s="26"/>
      <c r="F1111" s="26"/>
      <c r="G1111" s="11"/>
      <c r="H1111" s="11"/>
      <c r="S1111" s="27"/>
      <c r="T1111" s="28" t="s">
        <v>456</v>
      </c>
    </row>
    <row r="1112" spans="1:20" ht="13.5" x14ac:dyDescent="0.2">
      <c r="C1112" s="29"/>
    </row>
    <row r="1113" spans="1:20" ht="13.5" x14ac:dyDescent="0.2">
      <c r="C1113" s="29"/>
    </row>
    <row r="1114" spans="1:20" ht="13.5" x14ac:dyDescent="0.2">
      <c r="C1114" s="29"/>
    </row>
  </sheetData>
  <mergeCells count="2047">
    <mergeCell ref="L933:L938"/>
    <mergeCell ref="A923:A930"/>
    <mergeCell ref="B1007:T1007"/>
    <mergeCell ref="B1008:T1008"/>
    <mergeCell ref="I1009:I1014"/>
    <mergeCell ref="J1009:J1014"/>
    <mergeCell ref="K1009:K1014"/>
    <mergeCell ref="I987:I992"/>
    <mergeCell ref="J987:J992"/>
    <mergeCell ref="K987:K992"/>
    <mergeCell ref="S979:S984"/>
    <mergeCell ref="N971:N976"/>
    <mergeCell ref="O971:O976"/>
    <mergeCell ref="B923:T923"/>
    <mergeCell ref="T933:T938"/>
    <mergeCell ref="O933:O938"/>
    <mergeCell ref="P933:P938"/>
    <mergeCell ref="A947:A952"/>
    <mergeCell ref="B947:T947"/>
    <mergeCell ref="I948:T952"/>
    <mergeCell ref="T955:T960"/>
    <mergeCell ref="O955:O960"/>
    <mergeCell ref="A953:A960"/>
    <mergeCell ref="B953:T953"/>
    <mergeCell ref="A931:A938"/>
    <mergeCell ref="A993:A1000"/>
    <mergeCell ref="J933:J938"/>
    <mergeCell ref="J925:J930"/>
    <mergeCell ref="A901:A908"/>
    <mergeCell ref="O895:O900"/>
    <mergeCell ref="P895:P900"/>
    <mergeCell ref="Q895:Q900"/>
    <mergeCell ref="R895:R900"/>
    <mergeCell ref="R1009:R1014"/>
    <mergeCell ref="A909:A916"/>
    <mergeCell ref="J971:J976"/>
    <mergeCell ref="K971:K976"/>
    <mergeCell ref="B1023:T1023"/>
    <mergeCell ref="J903:J908"/>
    <mergeCell ref="K903:K908"/>
    <mergeCell ref="L903:L908"/>
    <mergeCell ref="A977:A984"/>
    <mergeCell ref="A1089:A1094"/>
    <mergeCell ref="B1089:T1089"/>
    <mergeCell ref="I1090:T1094"/>
    <mergeCell ref="B995:H995"/>
    <mergeCell ref="A1059:A1065"/>
    <mergeCell ref="B1059:T1059"/>
    <mergeCell ref="A917:A922"/>
    <mergeCell ref="B917:T917"/>
    <mergeCell ref="I918:T922"/>
    <mergeCell ref="T925:T930"/>
    <mergeCell ref="O925:O930"/>
    <mergeCell ref="P925:P930"/>
    <mergeCell ref="Q925:Q930"/>
    <mergeCell ref="R925:R930"/>
    <mergeCell ref="B1015:T1015"/>
    <mergeCell ref="B1016:T1016"/>
    <mergeCell ref="I1017:I1022"/>
    <mergeCell ref="J1017:J1022"/>
    <mergeCell ref="S1097:S1102"/>
    <mergeCell ref="S925:S930"/>
    <mergeCell ref="B909:T909"/>
    <mergeCell ref="B910:T910"/>
    <mergeCell ref="B911:H911"/>
    <mergeCell ref="I911:I916"/>
    <mergeCell ref="J911:J916"/>
    <mergeCell ref="K911:K916"/>
    <mergeCell ref="L911:L916"/>
    <mergeCell ref="M911:M916"/>
    <mergeCell ref="N911:N916"/>
    <mergeCell ref="O911:O916"/>
    <mergeCell ref="P911:P916"/>
    <mergeCell ref="Q911:Q916"/>
    <mergeCell ref="R911:R916"/>
    <mergeCell ref="S911:S916"/>
    <mergeCell ref="T1097:T1102"/>
    <mergeCell ref="T911:T916"/>
    <mergeCell ref="B978:T978"/>
    <mergeCell ref="S1068:S1074"/>
    <mergeCell ref="T1068:T1074"/>
    <mergeCell ref="M933:M938"/>
    <mergeCell ref="I979:I984"/>
    <mergeCell ref="J979:J984"/>
    <mergeCell ref="K979:K984"/>
    <mergeCell ref="L979:L984"/>
    <mergeCell ref="M979:M984"/>
    <mergeCell ref="N979:N984"/>
    <mergeCell ref="P971:P976"/>
    <mergeCell ref="M925:M930"/>
    <mergeCell ref="L925:L930"/>
    <mergeCell ref="K933:K938"/>
    <mergeCell ref="P879:P884"/>
    <mergeCell ref="P887:P892"/>
    <mergeCell ref="Q887:Q892"/>
    <mergeCell ref="R887:R892"/>
    <mergeCell ref="P871:P876"/>
    <mergeCell ref="K887:K892"/>
    <mergeCell ref="B1097:H1097"/>
    <mergeCell ref="I1097:I1102"/>
    <mergeCell ref="J1097:J1102"/>
    <mergeCell ref="K1097:K1102"/>
    <mergeCell ref="L1097:L1102"/>
    <mergeCell ref="M1097:M1102"/>
    <mergeCell ref="N1097:N1102"/>
    <mergeCell ref="O1097:O1102"/>
    <mergeCell ref="P1097:P1102"/>
    <mergeCell ref="Q1097:Q1102"/>
    <mergeCell ref="R1097:R1102"/>
    <mergeCell ref="L895:L900"/>
    <mergeCell ref="P955:P960"/>
    <mergeCell ref="Q995:Q1000"/>
    <mergeCell ref="M963:M968"/>
    <mergeCell ref="B931:T931"/>
    <mergeCell ref="B932:T932"/>
    <mergeCell ref="I933:I938"/>
    <mergeCell ref="Q933:Q938"/>
    <mergeCell ref="R933:R938"/>
    <mergeCell ref="S933:S938"/>
    <mergeCell ref="R941:R946"/>
    <mergeCell ref="I955:I960"/>
    <mergeCell ref="J955:J960"/>
    <mergeCell ref="K955:K960"/>
    <mergeCell ref="B954:T954"/>
    <mergeCell ref="P671:P676"/>
    <mergeCell ref="Q671:Q676"/>
    <mergeCell ref="R671:R676"/>
    <mergeCell ref="S671:S676"/>
    <mergeCell ref="B782:T782"/>
    <mergeCell ref="B783:H783"/>
    <mergeCell ref="M903:M908"/>
    <mergeCell ref="N903:N908"/>
    <mergeCell ref="J895:J900"/>
    <mergeCell ref="K895:K900"/>
    <mergeCell ref="S887:S892"/>
    <mergeCell ref="S879:S884"/>
    <mergeCell ref="L871:L876"/>
    <mergeCell ref="M871:M876"/>
    <mergeCell ref="N871:N876"/>
    <mergeCell ref="O871:O876"/>
    <mergeCell ref="S895:S900"/>
    <mergeCell ref="M895:M900"/>
    <mergeCell ref="B901:T901"/>
    <mergeCell ref="B887:H887"/>
    <mergeCell ref="I887:I892"/>
    <mergeCell ref="J887:J892"/>
    <mergeCell ref="B894:T894"/>
    <mergeCell ref="I903:I908"/>
    <mergeCell ref="O903:O908"/>
    <mergeCell ref="P903:P908"/>
    <mergeCell ref="Q903:Q908"/>
    <mergeCell ref="R903:R908"/>
    <mergeCell ref="S903:S908"/>
    <mergeCell ref="T903:T908"/>
    <mergeCell ref="B903:H903"/>
    <mergeCell ref="O879:O884"/>
    <mergeCell ref="A574:A581"/>
    <mergeCell ref="N695:N700"/>
    <mergeCell ref="B695:H695"/>
    <mergeCell ref="L536:L541"/>
    <mergeCell ref="M536:M541"/>
    <mergeCell ref="T703:T708"/>
    <mergeCell ref="M863:M868"/>
    <mergeCell ref="N863:N868"/>
    <mergeCell ref="O863:O868"/>
    <mergeCell ref="P863:P868"/>
    <mergeCell ref="Q863:Q868"/>
    <mergeCell ref="R863:R868"/>
    <mergeCell ref="S863:S868"/>
    <mergeCell ref="Q649:Q654"/>
    <mergeCell ref="O703:O708"/>
    <mergeCell ref="P703:P708"/>
    <mergeCell ref="Q703:Q708"/>
    <mergeCell ref="R703:R708"/>
    <mergeCell ref="J775:J780"/>
    <mergeCell ref="K775:K780"/>
    <mergeCell ref="L775:L780"/>
    <mergeCell ref="S855:S860"/>
    <mergeCell ref="T855:T860"/>
    <mergeCell ref="Q759:Q764"/>
    <mergeCell ref="R759:R764"/>
    <mergeCell ref="S759:S764"/>
    <mergeCell ref="T695:T700"/>
    <mergeCell ref="O695:O700"/>
    <mergeCell ref="T679:T684"/>
    <mergeCell ref="O679:O684"/>
    <mergeCell ref="T671:T676"/>
    <mergeCell ref="O671:O676"/>
    <mergeCell ref="A749:A756"/>
    <mergeCell ref="A765:A772"/>
    <mergeCell ref="A630:A638"/>
    <mergeCell ref="I632:I638"/>
    <mergeCell ref="J632:J638"/>
    <mergeCell ref="K632:K638"/>
    <mergeCell ref="L632:L638"/>
    <mergeCell ref="M632:M638"/>
    <mergeCell ref="O632:O638"/>
    <mergeCell ref="R649:R654"/>
    <mergeCell ref="S649:S654"/>
    <mergeCell ref="T649:T654"/>
    <mergeCell ref="A558:A565"/>
    <mergeCell ref="B558:T558"/>
    <mergeCell ref="B559:T559"/>
    <mergeCell ref="I560:I565"/>
    <mergeCell ref="J560:J565"/>
    <mergeCell ref="K560:K565"/>
    <mergeCell ref="L560:L565"/>
    <mergeCell ref="M560:M565"/>
    <mergeCell ref="A566:A573"/>
    <mergeCell ref="B566:T566"/>
    <mergeCell ref="B567:T567"/>
    <mergeCell ref="I568:I573"/>
    <mergeCell ref="J568:J573"/>
    <mergeCell ref="K568:K573"/>
    <mergeCell ref="L568:L573"/>
    <mergeCell ref="M568:M573"/>
    <mergeCell ref="N568:N573"/>
    <mergeCell ref="B568:H568"/>
    <mergeCell ref="T568:T573"/>
    <mergeCell ref="O568:O573"/>
    <mergeCell ref="I497:I502"/>
    <mergeCell ref="T497:T502"/>
    <mergeCell ref="Q505:Q510"/>
    <mergeCell ref="R505:R510"/>
    <mergeCell ref="A757:A764"/>
    <mergeCell ref="B757:T757"/>
    <mergeCell ref="B758:T758"/>
    <mergeCell ref="I759:I764"/>
    <mergeCell ref="M719:M724"/>
    <mergeCell ref="N719:N724"/>
    <mergeCell ref="O719:O724"/>
    <mergeCell ref="R608:R613"/>
    <mergeCell ref="S608:S613"/>
    <mergeCell ref="T608:T613"/>
    <mergeCell ref="I687:I692"/>
    <mergeCell ref="L703:L708"/>
    <mergeCell ref="M703:M708"/>
    <mergeCell ref="N703:N708"/>
    <mergeCell ref="B703:H703"/>
    <mergeCell ref="Q544:Q549"/>
    <mergeCell ref="S560:S565"/>
    <mergeCell ref="J759:J764"/>
    <mergeCell ref="B709:T709"/>
    <mergeCell ref="B710:T710"/>
    <mergeCell ref="T719:T724"/>
    <mergeCell ref="I711:I716"/>
    <mergeCell ref="P735:P740"/>
    <mergeCell ref="A717:A724"/>
    <mergeCell ref="P751:P756"/>
    <mergeCell ref="Q751:Q756"/>
    <mergeCell ref="M751:M756"/>
    <mergeCell ref="L727:L732"/>
    <mergeCell ref="M489:M494"/>
    <mergeCell ref="N489:N494"/>
    <mergeCell ref="O489:O494"/>
    <mergeCell ref="P489:P494"/>
    <mergeCell ref="Q489:Q494"/>
    <mergeCell ref="R489:R494"/>
    <mergeCell ref="S489:S494"/>
    <mergeCell ref="T489:T494"/>
    <mergeCell ref="J481:J486"/>
    <mergeCell ref="K481:K486"/>
    <mergeCell ref="L481:L486"/>
    <mergeCell ref="M481:M486"/>
    <mergeCell ref="N481:N486"/>
    <mergeCell ref="S237:S242"/>
    <mergeCell ref="P497:P502"/>
    <mergeCell ref="Q497:Q502"/>
    <mergeCell ref="R497:R502"/>
    <mergeCell ref="S497:S502"/>
    <mergeCell ref="S95:S100"/>
    <mergeCell ref="B306:T306"/>
    <mergeCell ref="B307:H307"/>
    <mergeCell ref="I307:I312"/>
    <mergeCell ref="J307:J312"/>
    <mergeCell ref="K307:K312"/>
    <mergeCell ref="L307:L312"/>
    <mergeCell ref="M307:M312"/>
    <mergeCell ref="N307:N312"/>
    <mergeCell ref="O307:O312"/>
    <mergeCell ref="P307:P312"/>
    <mergeCell ref="Q307:Q312"/>
    <mergeCell ref="R307:R312"/>
    <mergeCell ref="S307:S312"/>
    <mergeCell ref="O299:O304"/>
    <mergeCell ref="P299:P304"/>
    <mergeCell ref="Q299:Q304"/>
    <mergeCell ref="K291:K296"/>
    <mergeCell ref="L237:L242"/>
    <mergeCell ref="T267:T272"/>
    <mergeCell ref="O267:O272"/>
    <mergeCell ref="B281:T281"/>
    <mergeCell ref="B282:T282"/>
    <mergeCell ref="I283:I288"/>
    <mergeCell ref="O215:O220"/>
    <mergeCell ref="P215:P220"/>
    <mergeCell ref="Q215:Q220"/>
    <mergeCell ref="S207:S212"/>
    <mergeCell ref="A55:A62"/>
    <mergeCell ref="A463:A470"/>
    <mergeCell ref="B463:T463"/>
    <mergeCell ref="B464:T464"/>
    <mergeCell ref="B465:H465"/>
    <mergeCell ref="J465:J470"/>
    <mergeCell ref="K465:K470"/>
    <mergeCell ref="L465:L470"/>
    <mergeCell ref="M465:M470"/>
    <mergeCell ref="N465:N470"/>
    <mergeCell ref="O465:O470"/>
    <mergeCell ref="P465:P470"/>
    <mergeCell ref="Q465:Q470"/>
    <mergeCell ref="R465:R470"/>
    <mergeCell ref="S465:S470"/>
    <mergeCell ref="I465:I470"/>
    <mergeCell ref="T465:T470"/>
    <mergeCell ref="T307:T312"/>
    <mergeCell ref="A398:A405"/>
    <mergeCell ref="A406:A413"/>
    <mergeCell ref="B197:T197"/>
    <mergeCell ref="B198:T198"/>
    <mergeCell ref="B57:H57"/>
    <mergeCell ref="B56:T56"/>
    <mergeCell ref="B55:T55"/>
    <mergeCell ref="I57:I62"/>
    <mergeCell ref="L424:L429"/>
    <mergeCell ref="B414:T414"/>
    <mergeCell ref="B199:H199"/>
    <mergeCell ref="B441:H441"/>
    <mergeCell ref="N441:N446"/>
    <mergeCell ref="T95:T100"/>
    <mergeCell ref="K424:K429"/>
    <mergeCell ref="O457:O462"/>
    <mergeCell ref="B719:H719"/>
    <mergeCell ref="S441:S446"/>
    <mergeCell ref="J871:J876"/>
    <mergeCell ref="R544:R549"/>
    <mergeCell ref="S544:S549"/>
    <mergeCell ref="L497:L502"/>
    <mergeCell ref="M497:M502"/>
    <mergeCell ref="N497:N502"/>
    <mergeCell ref="O497:O502"/>
    <mergeCell ref="B869:T869"/>
    <mergeCell ref="A877:A884"/>
    <mergeCell ref="T424:T429"/>
    <mergeCell ref="B432:H432"/>
    <mergeCell ref="A845:A852"/>
    <mergeCell ref="B335:T335"/>
    <mergeCell ref="A853:A860"/>
    <mergeCell ref="B471:T471"/>
    <mergeCell ref="B472:T472"/>
    <mergeCell ref="B473:H473"/>
    <mergeCell ref="J473:J478"/>
    <mergeCell ref="K473:K478"/>
    <mergeCell ref="L473:L478"/>
    <mergeCell ref="M473:M478"/>
    <mergeCell ref="N473:N478"/>
    <mergeCell ref="O473:O478"/>
    <mergeCell ref="P473:P478"/>
    <mergeCell ref="Q473:Q478"/>
    <mergeCell ref="J489:J494"/>
    <mergeCell ref="K489:K494"/>
    <mergeCell ref="L489:L494"/>
    <mergeCell ref="B902:T902"/>
    <mergeCell ref="N895:N900"/>
    <mergeCell ref="I871:I876"/>
    <mergeCell ref="T895:T900"/>
    <mergeCell ref="K871:K876"/>
    <mergeCell ref="P1017:P1022"/>
    <mergeCell ref="A885:A892"/>
    <mergeCell ref="I855:I860"/>
    <mergeCell ref="J855:J860"/>
    <mergeCell ref="L887:L892"/>
    <mergeCell ref="M887:M892"/>
    <mergeCell ref="A893:A900"/>
    <mergeCell ref="A305:A312"/>
    <mergeCell ref="A422:A429"/>
    <mergeCell ref="I336:T341"/>
    <mergeCell ref="P376:P381"/>
    <mergeCell ref="I847:I852"/>
    <mergeCell ref="J847:J852"/>
    <mergeCell ref="K847:K852"/>
    <mergeCell ref="L847:L852"/>
    <mergeCell ref="M847:M852"/>
    <mergeCell ref="N847:N852"/>
    <mergeCell ref="B861:T861"/>
    <mergeCell ref="A861:A868"/>
    <mergeCell ref="T863:T868"/>
    <mergeCell ref="A869:A876"/>
    <mergeCell ref="T879:T884"/>
    <mergeCell ref="B878:T878"/>
    <mergeCell ref="P775:P780"/>
    <mergeCell ref="P759:P764"/>
    <mergeCell ref="N632:N638"/>
    <mergeCell ref="I719:I724"/>
    <mergeCell ref="M1009:M1014"/>
    <mergeCell ref="N1009:N1014"/>
    <mergeCell ref="S1017:S1022"/>
    <mergeCell ref="M1031:M1036"/>
    <mergeCell ref="T941:T946"/>
    <mergeCell ref="Q941:Q946"/>
    <mergeCell ref="S1009:S1014"/>
    <mergeCell ref="L1017:L1022"/>
    <mergeCell ref="M1017:M1022"/>
    <mergeCell ref="N1017:N1022"/>
    <mergeCell ref="T1017:T1022"/>
    <mergeCell ref="O1017:O1022"/>
    <mergeCell ref="A961:A968"/>
    <mergeCell ref="B961:T961"/>
    <mergeCell ref="L955:L960"/>
    <mergeCell ref="M955:M960"/>
    <mergeCell ref="N955:N960"/>
    <mergeCell ref="A969:A976"/>
    <mergeCell ref="I971:I976"/>
    <mergeCell ref="S941:S946"/>
    <mergeCell ref="Q955:Q960"/>
    <mergeCell ref="R955:R960"/>
    <mergeCell ref="S955:S960"/>
    <mergeCell ref="L971:L976"/>
    <mergeCell ref="K497:K502"/>
    <mergeCell ref="N933:N938"/>
    <mergeCell ref="B977:T977"/>
    <mergeCell ref="L963:L968"/>
    <mergeCell ref="Q1009:Q1014"/>
    <mergeCell ref="B971:H971"/>
    <mergeCell ref="O979:O984"/>
    <mergeCell ref="T987:T992"/>
    <mergeCell ref="T995:T1000"/>
    <mergeCell ref="B970:T970"/>
    <mergeCell ref="J995:J1000"/>
    <mergeCell ref="S995:S1000"/>
    <mergeCell ref="S971:S976"/>
    <mergeCell ref="T971:T976"/>
    <mergeCell ref="M971:M976"/>
    <mergeCell ref="B993:T993"/>
    <mergeCell ref="B994:T994"/>
    <mergeCell ref="P979:P984"/>
    <mergeCell ref="L1009:L1014"/>
    <mergeCell ref="B1009:H1009"/>
    <mergeCell ref="I995:I1000"/>
    <mergeCell ref="K995:K1000"/>
    <mergeCell ref="L995:L1000"/>
    <mergeCell ref="M995:M1000"/>
    <mergeCell ref="O995:O1000"/>
    <mergeCell ref="P995:P1000"/>
    <mergeCell ref="B767:H767"/>
    <mergeCell ref="B963:H963"/>
    <mergeCell ref="B955:H955"/>
    <mergeCell ref="K963:K968"/>
    <mergeCell ref="B985:T985"/>
    <mergeCell ref="B986:T986"/>
    <mergeCell ref="O283:O288"/>
    <mergeCell ref="B297:T297"/>
    <mergeCell ref="Q291:Q296"/>
    <mergeCell ref="R291:R296"/>
    <mergeCell ref="A273:A280"/>
    <mergeCell ref="A281:A288"/>
    <mergeCell ref="B895:H895"/>
    <mergeCell ref="I895:I900"/>
    <mergeCell ref="M687:M692"/>
    <mergeCell ref="N687:N692"/>
    <mergeCell ref="O687:O692"/>
    <mergeCell ref="P687:P692"/>
    <mergeCell ref="Q687:Q692"/>
    <mergeCell ref="R687:R692"/>
    <mergeCell ref="S687:S692"/>
    <mergeCell ref="T687:T692"/>
    <mergeCell ref="I536:I541"/>
    <mergeCell ref="P457:P462"/>
    <mergeCell ref="Q457:Q462"/>
    <mergeCell ref="R457:R462"/>
    <mergeCell ref="B845:T845"/>
    <mergeCell ref="B846:T846"/>
    <mergeCell ref="B847:H847"/>
    <mergeCell ref="B877:T877"/>
    <mergeCell ref="B885:T885"/>
    <mergeCell ref="B893:T893"/>
    <mergeCell ref="P632:P638"/>
    <mergeCell ref="Q632:Q638"/>
    <mergeCell ref="R632:R638"/>
    <mergeCell ref="S632:S638"/>
    <mergeCell ref="P544:P549"/>
    <mergeCell ref="N767:N772"/>
    <mergeCell ref="B456:T456"/>
    <mergeCell ref="B457:H457"/>
    <mergeCell ref="J544:J549"/>
    <mergeCell ref="K544:K549"/>
    <mergeCell ref="A229:A234"/>
    <mergeCell ref="B229:T229"/>
    <mergeCell ref="I230:T234"/>
    <mergeCell ref="A243:A250"/>
    <mergeCell ref="B237:H237"/>
    <mergeCell ref="M259:M264"/>
    <mergeCell ref="N259:N264"/>
    <mergeCell ref="B259:H259"/>
    <mergeCell ref="A297:A304"/>
    <mergeCell ref="A235:A242"/>
    <mergeCell ref="B298:T298"/>
    <mergeCell ref="T291:T296"/>
    <mergeCell ref="M299:M304"/>
    <mergeCell ref="N299:N304"/>
    <mergeCell ref="N291:N296"/>
    <mergeCell ref="O291:O296"/>
    <mergeCell ref="P291:P296"/>
    <mergeCell ref="M291:M296"/>
    <mergeCell ref="A289:A296"/>
    <mergeCell ref="B289:T289"/>
    <mergeCell ref="B290:T290"/>
    <mergeCell ref="O237:O242"/>
    <mergeCell ref="P237:P242"/>
    <mergeCell ref="Q237:Q242"/>
    <mergeCell ref="R237:R242"/>
    <mergeCell ref="A430:A438"/>
    <mergeCell ref="B430:T430"/>
    <mergeCell ref="R432:R438"/>
    <mergeCell ref="S432:S438"/>
    <mergeCell ref="T432:T438"/>
    <mergeCell ref="L432:L438"/>
    <mergeCell ref="M432:M438"/>
    <mergeCell ref="N424:N429"/>
    <mergeCell ref="I424:I429"/>
    <mergeCell ref="J424:J429"/>
    <mergeCell ref="P432:P438"/>
    <mergeCell ref="T1009:T1014"/>
    <mergeCell ref="P1009:P1014"/>
    <mergeCell ref="Q1053:Q1058"/>
    <mergeCell ref="I925:I930"/>
    <mergeCell ref="K925:K930"/>
    <mergeCell ref="B925:H925"/>
    <mergeCell ref="Q971:Q976"/>
    <mergeCell ref="R971:R976"/>
    <mergeCell ref="B440:T440"/>
    <mergeCell ref="I441:I446"/>
    <mergeCell ref="P847:P852"/>
    <mergeCell ref="B781:T781"/>
    <mergeCell ref="O847:O852"/>
    <mergeCell ref="Q847:Q852"/>
    <mergeCell ref="R847:R852"/>
    <mergeCell ref="S847:S852"/>
    <mergeCell ref="T847:T852"/>
    <mergeCell ref="N759:N764"/>
    <mergeCell ref="B759:H759"/>
    <mergeCell ref="L767:L772"/>
    <mergeCell ref="M767:M772"/>
    <mergeCell ref="K457:K462"/>
    <mergeCell ref="L457:L462"/>
    <mergeCell ref="M457:M462"/>
    <mergeCell ref="A447:A454"/>
    <mergeCell ref="B447:T447"/>
    <mergeCell ref="B448:T448"/>
    <mergeCell ref="N457:N462"/>
    <mergeCell ref="B536:H536"/>
    <mergeCell ref="T544:T549"/>
    <mergeCell ref="O544:O549"/>
    <mergeCell ref="P505:P510"/>
    <mergeCell ref="B449:H449"/>
    <mergeCell ref="I449:I454"/>
    <mergeCell ref="J449:J454"/>
    <mergeCell ref="K449:K454"/>
    <mergeCell ref="L449:L454"/>
    <mergeCell ref="M449:M454"/>
    <mergeCell ref="N449:N454"/>
    <mergeCell ref="O449:O454"/>
    <mergeCell ref="T441:T446"/>
    <mergeCell ref="P449:P454"/>
    <mergeCell ref="Q449:Q454"/>
    <mergeCell ref="A455:A462"/>
    <mergeCell ref="B455:T455"/>
    <mergeCell ref="I457:I462"/>
    <mergeCell ref="S457:S462"/>
    <mergeCell ref="T457:T462"/>
    <mergeCell ref="A439:A446"/>
    <mergeCell ref="B439:T439"/>
    <mergeCell ref="A495:A502"/>
    <mergeCell ref="B495:T495"/>
    <mergeCell ref="B496:T496"/>
    <mergeCell ref="B497:H497"/>
    <mergeCell ref="J497:J502"/>
    <mergeCell ref="J536:J541"/>
    <mergeCell ref="T416:T421"/>
    <mergeCell ref="T632:T638"/>
    <mergeCell ref="O441:O446"/>
    <mergeCell ref="P441:P446"/>
    <mergeCell ref="K441:K446"/>
    <mergeCell ref="L441:L446"/>
    <mergeCell ref="M441:M446"/>
    <mergeCell ref="S424:S429"/>
    <mergeCell ref="B424:H424"/>
    <mergeCell ref="R424:R429"/>
    <mergeCell ref="N432:N438"/>
    <mergeCell ref="O432:O438"/>
    <mergeCell ref="B479:T479"/>
    <mergeCell ref="B480:T480"/>
    <mergeCell ref="Q424:Q429"/>
    <mergeCell ref="B519:T519"/>
    <mergeCell ref="B422:T422"/>
    <mergeCell ref="J457:J462"/>
    <mergeCell ref="Q441:Q446"/>
    <mergeCell ref="R441:R446"/>
    <mergeCell ref="J441:J446"/>
    <mergeCell ref="B431:T431"/>
    <mergeCell ref="K432:K438"/>
    <mergeCell ref="Q552:Q557"/>
    <mergeCell ref="R552:R557"/>
    <mergeCell ref="S552:S557"/>
    <mergeCell ref="T552:T557"/>
    <mergeCell ref="I552:I557"/>
    <mergeCell ref="J552:J557"/>
    <mergeCell ref="K552:K557"/>
    <mergeCell ref="L552:L557"/>
    <mergeCell ref="K536:K541"/>
    <mergeCell ref="P416:P421"/>
    <mergeCell ref="Q416:Q421"/>
    <mergeCell ref="R416:R421"/>
    <mergeCell ref="M424:M429"/>
    <mergeCell ref="N1:T1"/>
    <mergeCell ref="A1110:B1110"/>
    <mergeCell ref="A1045:A1050"/>
    <mergeCell ref="B1045:T1045"/>
    <mergeCell ref="I1046:T1050"/>
    <mergeCell ref="A1051:A1058"/>
    <mergeCell ref="B1051:T1051"/>
    <mergeCell ref="B1052:T1052"/>
    <mergeCell ref="I1053:I1058"/>
    <mergeCell ref="J1053:J1058"/>
    <mergeCell ref="K1053:K1058"/>
    <mergeCell ref="L1053:L1058"/>
    <mergeCell ref="M1053:M1058"/>
    <mergeCell ref="N1053:N1058"/>
    <mergeCell ref="O1053:O1058"/>
    <mergeCell ref="P1053:P1058"/>
    <mergeCell ref="A414:A421"/>
    <mergeCell ref="T536:T541"/>
    <mergeCell ref="O536:O541"/>
    <mergeCell ref="P536:P541"/>
    <mergeCell ref="Q536:Q541"/>
    <mergeCell ref="Q432:Q438"/>
    <mergeCell ref="M775:M780"/>
    <mergeCell ref="N775:N780"/>
    <mergeCell ref="B320:T320"/>
    <mergeCell ref="I321:I326"/>
    <mergeCell ref="A479:A486"/>
    <mergeCell ref="B481:H481"/>
    <mergeCell ref="I416:I421"/>
    <mergeCell ref="B366:T366"/>
    <mergeCell ref="B367:T367"/>
    <mergeCell ref="A335:A341"/>
    <mergeCell ref="O352:O357"/>
    <mergeCell ref="J344:J349"/>
    <mergeCell ref="K344:K349"/>
    <mergeCell ref="L344:L349"/>
    <mergeCell ref="A350:A357"/>
    <mergeCell ref="Q368:Q373"/>
    <mergeCell ref="R368:R373"/>
    <mergeCell ref="S368:S373"/>
    <mergeCell ref="A366:A373"/>
    <mergeCell ref="I344:I349"/>
    <mergeCell ref="M344:M349"/>
    <mergeCell ref="N344:N349"/>
    <mergeCell ref="B359:T359"/>
    <mergeCell ref="T352:T357"/>
    <mergeCell ref="P352:P357"/>
    <mergeCell ref="Q352:Q357"/>
    <mergeCell ref="R352:R357"/>
    <mergeCell ref="S352:S357"/>
    <mergeCell ref="B350:T350"/>
    <mergeCell ref="L368:L373"/>
    <mergeCell ref="M368:M373"/>
    <mergeCell ref="N368:N373"/>
    <mergeCell ref="Q360:Q365"/>
    <mergeCell ref="S416:S421"/>
    <mergeCell ref="N416:N421"/>
    <mergeCell ref="T344:T349"/>
    <mergeCell ref="B415:T415"/>
    <mergeCell ref="O416:O421"/>
    <mergeCell ref="B283:H283"/>
    <mergeCell ref="L283:L288"/>
    <mergeCell ref="M283:M288"/>
    <mergeCell ref="N283:N288"/>
    <mergeCell ref="R321:R326"/>
    <mergeCell ref="S321:S326"/>
    <mergeCell ref="B299:H299"/>
    <mergeCell ref="I299:I304"/>
    <mergeCell ref="J299:J304"/>
    <mergeCell ref="I314:T318"/>
    <mergeCell ref="A319:A326"/>
    <mergeCell ref="A313:A318"/>
    <mergeCell ref="P329:P334"/>
    <mergeCell ref="Q329:Q334"/>
    <mergeCell ref="R329:R334"/>
    <mergeCell ref="S329:S334"/>
    <mergeCell ref="A327:A334"/>
    <mergeCell ref="B327:T327"/>
    <mergeCell ref="B328:T328"/>
    <mergeCell ref="I329:I334"/>
    <mergeCell ref="J329:J334"/>
    <mergeCell ref="K329:K334"/>
    <mergeCell ref="L329:L334"/>
    <mergeCell ref="M329:M334"/>
    <mergeCell ref="N329:N334"/>
    <mergeCell ref="B329:H329"/>
    <mergeCell ref="O321:O326"/>
    <mergeCell ref="J321:J326"/>
    <mergeCell ref="K321:K326"/>
    <mergeCell ref="J283:J288"/>
    <mergeCell ref="P283:P288"/>
    <mergeCell ref="K299:K304"/>
    <mergeCell ref="J237:J242"/>
    <mergeCell ref="K237:K242"/>
    <mergeCell ref="N223:N228"/>
    <mergeCell ref="O223:O228"/>
    <mergeCell ref="T245:T250"/>
    <mergeCell ref="T237:T242"/>
    <mergeCell ref="L215:L220"/>
    <mergeCell ref="M215:M220"/>
    <mergeCell ref="N215:N220"/>
    <mergeCell ref="B344:H344"/>
    <mergeCell ref="L321:L326"/>
    <mergeCell ref="J416:J421"/>
    <mergeCell ref="K416:K421"/>
    <mergeCell ref="O344:O349"/>
    <mergeCell ref="P344:P349"/>
    <mergeCell ref="Q344:Q349"/>
    <mergeCell ref="T275:T280"/>
    <mergeCell ref="O275:O280"/>
    <mergeCell ref="P275:P280"/>
    <mergeCell ref="Q275:Q280"/>
    <mergeCell ref="R275:R280"/>
    <mergeCell ref="S275:S280"/>
    <mergeCell ref="B273:T273"/>
    <mergeCell ref="B274:T274"/>
    <mergeCell ref="I275:I280"/>
    <mergeCell ref="J275:J280"/>
    <mergeCell ref="K275:K280"/>
    <mergeCell ref="K283:K288"/>
    <mergeCell ref="R283:R288"/>
    <mergeCell ref="S283:S288"/>
    <mergeCell ref="T283:T288"/>
    <mergeCell ref="Q283:Q288"/>
    <mergeCell ref="N199:N204"/>
    <mergeCell ref="O199:O204"/>
    <mergeCell ref="P199:P204"/>
    <mergeCell ref="Q199:Q204"/>
    <mergeCell ref="B221:T221"/>
    <mergeCell ref="B222:T222"/>
    <mergeCell ref="B223:H223"/>
    <mergeCell ref="M237:M242"/>
    <mergeCell ref="N237:N242"/>
    <mergeCell ref="B351:T351"/>
    <mergeCell ref="L275:L280"/>
    <mergeCell ref="M275:M280"/>
    <mergeCell ref="N275:N280"/>
    <mergeCell ref="B275:H275"/>
    <mergeCell ref="L207:L212"/>
    <mergeCell ref="M207:M212"/>
    <mergeCell ref="N207:N212"/>
    <mergeCell ref="S245:S250"/>
    <mergeCell ref="B243:T243"/>
    <mergeCell ref="B244:T244"/>
    <mergeCell ref="I245:I250"/>
    <mergeCell ref="J245:J250"/>
    <mergeCell ref="K245:K250"/>
    <mergeCell ref="L245:L250"/>
    <mergeCell ref="M245:M250"/>
    <mergeCell ref="N245:N250"/>
    <mergeCell ref="B245:H245"/>
    <mergeCell ref="B235:T235"/>
    <mergeCell ref="Q245:Q250"/>
    <mergeCell ref="R245:R250"/>
    <mergeCell ref="B236:T236"/>
    <mergeCell ref="I237:I242"/>
    <mergeCell ref="O245:O250"/>
    <mergeCell ref="P245:P250"/>
    <mergeCell ref="O159:O164"/>
    <mergeCell ref="T159:T164"/>
    <mergeCell ref="P159:P164"/>
    <mergeCell ref="R167:R172"/>
    <mergeCell ref="S167:S172"/>
    <mergeCell ref="J183:J188"/>
    <mergeCell ref="T191:T196"/>
    <mergeCell ref="T183:T188"/>
    <mergeCell ref="S223:S228"/>
    <mergeCell ref="T223:T228"/>
    <mergeCell ref="T207:T212"/>
    <mergeCell ref="B213:T213"/>
    <mergeCell ref="B214:T214"/>
    <mergeCell ref="B215:H215"/>
    <mergeCell ref="I215:I220"/>
    <mergeCell ref="J215:J220"/>
    <mergeCell ref="J199:J204"/>
    <mergeCell ref="K199:K204"/>
    <mergeCell ref="P223:P228"/>
    <mergeCell ref="Q223:Q228"/>
    <mergeCell ref="R223:R228"/>
    <mergeCell ref="S199:S204"/>
    <mergeCell ref="R215:R220"/>
    <mergeCell ref="K207:K212"/>
    <mergeCell ref="L199:L204"/>
    <mergeCell ref="I199:I204"/>
    <mergeCell ref="K215:K220"/>
    <mergeCell ref="S215:S220"/>
    <mergeCell ref="R199:R204"/>
    <mergeCell ref="R207:R212"/>
    <mergeCell ref="A93:A100"/>
    <mergeCell ref="B93:T93"/>
    <mergeCell ref="B94:T94"/>
    <mergeCell ref="K41:K46"/>
    <mergeCell ref="N25:N30"/>
    <mergeCell ref="O25:O30"/>
    <mergeCell ref="P25:P30"/>
    <mergeCell ref="Q25:Q30"/>
    <mergeCell ref="R25:R30"/>
    <mergeCell ref="S25:S30"/>
    <mergeCell ref="L95:L100"/>
    <mergeCell ref="M95:M100"/>
    <mergeCell ref="N95:N100"/>
    <mergeCell ref="N87:N92"/>
    <mergeCell ref="O103:O108"/>
    <mergeCell ref="P103:P108"/>
    <mergeCell ref="Q103:Q108"/>
    <mergeCell ref="R103:R108"/>
    <mergeCell ref="S103:S108"/>
    <mergeCell ref="A101:A108"/>
    <mergeCell ref="B101:T101"/>
    <mergeCell ref="M25:M30"/>
    <mergeCell ref="L41:L46"/>
    <mergeCell ref="M41:M46"/>
    <mergeCell ref="T25:T30"/>
    <mergeCell ref="I95:I100"/>
    <mergeCell ref="N41:N46"/>
    <mergeCell ref="O41:O46"/>
    <mergeCell ref="P41:P46"/>
    <mergeCell ref="Q41:Q46"/>
    <mergeCell ref="R41:R46"/>
    <mergeCell ref="S41:S46"/>
    <mergeCell ref="N17:N22"/>
    <mergeCell ref="A71:A76"/>
    <mergeCell ref="B71:T71"/>
    <mergeCell ref="I72:T76"/>
    <mergeCell ref="T79:T84"/>
    <mergeCell ref="O79:O84"/>
    <mergeCell ref="P79:P84"/>
    <mergeCell ref="Q79:Q84"/>
    <mergeCell ref="O87:O92"/>
    <mergeCell ref="A85:A92"/>
    <mergeCell ref="B85:T85"/>
    <mergeCell ref="B86:T86"/>
    <mergeCell ref="I87:I92"/>
    <mergeCell ref="J87:J92"/>
    <mergeCell ref="K87:K92"/>
    <mergeCell ref="L87:L92"/>
    <mergeCell ref="M87:M92"/>
    <mergeCell ref="R79:R84"/>
    <mergeCell ref="S79:S84"/>
    <mergeCell ref="N79:N84"/>
    <mergeCell ref="T87:T92"/>
    <mergeCell ref="A23:A30"/>
    <mergeCell ref="B23:T23"/>
    <mergeCell ref="B24:T24"/>
    <mergeCell ref="I25:I30"/>
    <mergeCell ref="J25:J30"/>
    <mergeCell ref="B87:H87"/>
    <mergeCell ref="K25:K30"/>
    <mergeCell ref="L25:L30"/>
    <mergeCell ref="A77:A84"/>
    <mergeCell ref="B77:T77"/>
    <mergeCell ref="B78:T78"/>
    <mergeCell ref="P4:R4"/>
    <mergeCell ref="S4:T4"/>
    <mergeCell ref="A5:T5"/>
    <mergeCell ref="A6:T6"/>
    <mergeCell ref="T17:T22"/>
    <mergeCell ref="O17:O22"/>
    <mergeCell ref="P17:P22"/>
    <mergeCell ref="Q17:Q22"/>
    <mergeCell ref="R17:R22"/>
    <mergeCell ref="S17:S22"/>
    <mergeCell ref="A15:A22"/>
    <mergeCell ref="B15:T15"/>
    <mergeCell ref="B16:T16"/>
    <mergeCell ref="I17:I22"/>
    <mergeCell ref="A9:A14"/>
    <mergeCell ref="B9:T9"/>
    <mergeCell ref="M79:M84"/>
    <mergeCell ref="I10:T14"/>
    <mergeCell ref="B17:H17"/>
    <mergeCell ref="J17:J22"/>
    <mergeCell ref="B25:H25"/>
    <mergeCell ref="B79:H79"/>
    <mergeCell ref="A31:A38"/>
    <mergeCell ref="B31:T31"/>
    <mergeCell ref="I41:I46"/>
    <mergeCell ref="I49:I54"/>
    <mergeCell ref="A39:A46"/>
    <mergeCell ref="A47:A54"/>
    <mergeCell ref="J41:J46"/>
    <mergeCell ref="K17:K22"/>
    <mergeCell ref="L17:L22"/>
    <mergeCell ref="M17:M22"/>
    <mergeCell ref="A109:A116"/>
    <mergeCell ref="T111:T116"/>
    <mergeCell ref="O111:O116"/>
    <mergeCell ref="P111:P116"/>
    <mergeCell ref="Q111:Q116"/>
    <mergeCell ref="R111:R116"/>
    <mergeCell ref="S111:S116"/>
    <mergeCell ref="B109:T109"/>
    <mergeCell ref="B110:T110"/>
    <mergeCell ref="I111:I116"/>
    <mergeCell ref="J111:J116"/>
    <mergeCell ref="K111:K116"/>
    <mergeCell ref="L111:L116"/>
    <mergeCell ref="A117:A124"/>
    <mergeCell ref="B117:T117"/>
    <mergeCell ref="B118:T118"/>
    <mergeCell ref="I119:I124"/>
    <mergeCell ref="J119:J124"/>
    <mergeCell ref="K119:K124"/>
    <mergeCell ref="L119:L124"/>
    <mergeCell ref="M119:M124"/>
    <mergeCell ref="N119:N124"/>
    <mergeCell ref="R119:R124"/>
    <mergeCell ref="S119:S124"/>
    <mergeCell ref="M111:M116"/>
    <mergeCell ref="N111:N116"/>
    <mergeCell ref="B111:H111"/>
    <mergeCell ref="T119:T124"/>
    <mergeCell ref="O119:O124"/>
    <mergeCell ref="A133:A140"/>
    <mergeCell ref="B133:T133"/>
    <mergeCell ref="P127:P132"/>
    <mergeCell ref="Q127:Q132"/>
    <mergeCell ref="A157:A164"/>
    <mergeCell ref="B157:T157"/>
    <mergeCell ref="B141:T141"/>
    <mergeCell ref="T167:T172"/>
    <mergeCell ref="O167:O172"/>
    <mergeCell ref="P167:P172"/>
    <mergeCell ref="Q167:Q172"/>
    <mergeCell ref="N127:N132"/>
    <mergeCell ref="J135:J140"/>
    <mergeCell ref="K135:K140"/>
    <mergeCell ref="A165:A172"/>
    <mergeCell ref="O151:O156"/>
    <mergeCell ref="P151:P156"/>
    <mergeCell ref="A125:A132"/>
    <mergeCell ref="M127:M132"/>
    <mergeCell ref="I167:I172"/>
    <mergeCell ref="J167:J172"/>
    <mergeCell ref="M143:M148"/>
    <mergeCell ref="B159:H159"/>
    <mergeCell ref="B167:H167"/>
    <mergeCell ref="T127:T132"/>
    <mergeCell ref="Q151:Q156"/>
    <mergeCell ref="R151:R156"/>
    <mergeCell ref="S151:S156"/>
    <mergeCell ref="P135:P140"/>
    <mergeCell ref="K127:K132"/>
    <mergeCell ref="L127:L132"/>
    <mergeCell ref="Q135:Q140"/>
    <mergeCell ref="A197:A204"/>
    <mergeCell ref="T143:T148"/>
    <mergeCell ref="O143:O148"/>
    <mergeCell ref="P143:P148"/>
    <mergeCell ref="Q143:Q148"/>
    <mergeCell ref="R143:R148"/>
    <mergeCell ref="S143:S148"/>
    <mergeCell ref="O127:O132"/>
    <mergeCell ref="B134:T134"/>
    <mergeCell ref="A141:A148"/>
    <mergeCell ref="B142:T142"/>
    <mergeCell ref="I143:I148"/>
    <mergeCell ref="J143:J148"/>
    <mergeCell ref="A149:A156"/>
    <mergeCell ref="B149:T149"/>
    <mergeCell ref="B150:T150"/>
    <mergeCell ref="I151:I156"/>
    <mergeCell ref="J151:J156"/>
    <mergeCell ref="K151:K156"/>
    <mergeCell ref="L151:L156"/>
    <mergeCell ref="M151:M156"/>
    <mergeCell ref="N151:N156"/>
    <mergeCell ref="K143:K148"/>
    <mergeCell ref="L143:L148"/>
    <mergeCell ref="R127:R132"/>
    <mergeCell ref="S127:S132"/>
    <mergeCell ref="Q159:Q164"/>
    <mergeCell ref="R159:R164"/>
    <mergeCell ref="S159:S164"/>
    <mergeCell ref="I159:I164"/>
    <mergeCell ref="A181:A188"/>
    <mergeCell ref="B181:T181"/>
    <mergeCell ref="A265:A272"/>
    <mergeCell ref="B265:T265"/>
    <mergeCell ref="B266:T266"/>
    <mergeCell ref="I267:I272"/>
    <mergeCell ref="J267:J272"/>
    <mergeCell ref="K267:K272"/>
    <mergeCell ref="L267:L272"/>
    <mergeCell ref="M267:M272"/>
    <mergeCell ref="N267:N272"/>
    <mergeCell ref="B267:H267"/>
    <mergeCell ref="A251:A256"/>
    <mergeCell ref="B251:T251"/>
    <mergeCell ref="I252:T256"/>
    <mergeCell ref="T259:T264"/>
    <mergeCell ref="O259:O264"/>
    <mergeCell ref="P259:P264"/>
    <mergeCell ref="Q259:Q264"/>
    <mergeCell ref="R259:R264"/>
    <mergeCell ref="S259:S264"/>
    <mergeCell ref="A257:A264"/>
    <mergeCell ref="B257:T257"/>
    <mergeCell ref="B258:T258"/>
    <mergeCell ref="I259:I264"/>
    <mergeCell ref="J259:J264"/>
    <mergeCell ref="K259:K264"/>
    <mergeCell ref="L259:L264"/>
    <mergeCell ref="P267:P272"/>
    <mergeCell ref="Q267:Q272"/>
    <mergeCell ref="R267:R272"/>
    <mergeCell ref="S267:S272"/>
    <mergeCell ref="B291:H291"/>
    <mergeCell ref="B321:H321"/>
    <mergeCell ref="B313:T313"/>
    <mergeCell ref="B319:T319"/>
    <mergeCell ref="T321:T326"/>
    <mergeCell ref="B305:T305"/>
    <mergeCell ref="R299:R304"/>
    <mergeCell ref="S299:S304"/>
    <mergeCell ref="T299:T304"/>
    <mergeCell ref="J291:J296"/>
    <mergeCell ref="L291:L296"/>
    <mergeCell ref="I291:I296"/>
    <mergeCell ref="N321:N326"/>
    <mergeCell ref="S291:S296"/>
    <mergeCell ref="L299:L304"/>
    <mergeCell ref="J352:J357"/>
    <mergeCell ref="K352:K357"/>
    <mergeCell ref="L352:L357"/>
    <mergeCell ref="M352:M357"/>
    <mergeCell ref="N352:N357"/>
    <mergeCell ref="B352:H352"/>
    <mergeCell ref="R344:R349"/>
    <mergeCell ref="B342:T342"/>
    <mergeCell ref="M321:M326"/>
    <mergeCell ref="T329:T334"/>
    <mergeCell ref="O329:O334"/>
    <mergeCell ref="P321:P326"/>
    <mergeCell ref="Q321:Q326"/>
    <mergeCell ref="B343:T343"/>
    <mergeCell ref="A358:A365"/>
    <mergeCell ref="B358:T358"/>
    <mergeCell ref="K360:K365"/>
    <mergeCell ref="L360:L365"/>
    <mergeCell ref="M360:M365"/>
    <mergeCell ref="N360:N365"/>
    <mergeCell ref="S344:S349"/>
    <mergeCell ref="A342:A349"/>
    <mergeCell ref="I360:I365"/>
    <mergeCell ref="J360:J365"/>
    <mergeCell ref="B360:H360"/>
    <mergeCell ref="T360:T365"/>
    <mergeCell ref="O360:O365"/>
    <mergeCell ref="P360:P365"/>
    <mergeCell ref="R360:R365"/>
    <mergeCell ref="S360:S365"/>
    <mergeCell ref="I352:I357"/>
    <mergeCell ref="A382:A389"/>
    <mergeCell ref="B382:T382"/>
    <mergeCell ref="B383:T383"/>
    <mergeCell ref="I384:I389"/>
    <mergeCell ref="J384:J389"/>
    <mergeCell ref="K384:K389"/>
    <mergeCell ref="L384:L389"/>
    <mergeCell ref="M384:M389"/>
    <mergeCell ref="N384:N389"/>
    <mergeCell ref="B384:H384"/>
    <mergeCell ref="T376:T381"/>
    <mergeCell ref="O376:O381"/>
    <mergeCell ref="Q376:Q381"/>
    <mergeCell ref="R376:R381"/>
    <mergeCell ref="S376:S381"/>
    <mergeCell ref="A374:A381"/>
    <mergeCell ref="B374:T374"/>
    <mergeCell ref="B375:T375"/>
    <mergeCell ref="I376:I381"/>
    <mergeCell ref="J376:J381"/>
    <mergeCell ref="K376:K381"/>
    <mergeCell ref="L376:L381"/>
    <mergeCell ref="M376:M381"/>
    <mergeCell ref="N376:N381"/>
    <mergeCell ref="B376:H376"/>
    <mergeCell ref="T368:T373"/>
    <mergeCell ref="O368:O373"/>
    <mergeCell ref="P368:P373"/>
    <mergeCell ref="K400:K405"/>
    <mergeCell ref="B408:H408"/>
    <mergeCell ref="T392:T397"/>
    <mergeCell ref="O392:O397"/>
    <mergeCell ref="P392:P397"/>
    <mergeCell ref="Q392:Q397"/>
    <mergeCell ref="R392:R397"/>
    <mergeCell ref="S392:S397"/>
    <mergeCell ref="T384:T389"/>
    <mergeCell ref="O384:O389"/>
    <mergeCell ref="P384:P389"/>
    <mergeCell ref="Q384:Q389"/>
    <mergeCell ref="R384:R389"/>
    <mergeCell ref="S384:S389"/>
    <mergeCell ref="L408:L413"/>
    <mergeCell ref="M408:M413"/>
    <mergeCell ref="I408:I413"/>
    <mergeCell ref="J408:J413"/>
    <mergeCell ref="K408:K413"/>
    <mergeCell ref="N408:N413"/>
    <mergeCell ref="O408:O413"/>
    <mergeCell ref="P408:P413"/>
    <mergeCell ref="Q408:Q413"/>
    <mergeCell ref="R408:R413"/>
    <mergeCell ref="B368:H368"/>
    <mergeCell ref="S408:S413"/>
    <mergeCell ref="I368:I373"/>
    <mergeCell ref="J368:J373"/>
    <mergeCell ref="K368:K373"/>
    <mergeCell ref="A390:A397"/>
    <mergeCell ref="B390:T390"/>
    <mergeCell ref="B391:T391"/>
    <mergeCell ref="I392:I397"/>
    <mergeCell ref="J392:J397"/>
    <mergeCell ref="K392:K397"/>
    <mergeCell ref="L392:L397"/>
    <mergeCell ref="M392:M397"/>
    <mergeCell ref="N392:N397"/>
    <mergeCell ref="B392:H392"/>
    <mergeCell ref="O424:O429"/>
    <mergeCell ref="P424:P429"/>
    <mergeCell ref="L400:L405"/>
    <mergeCell ref="M400:M405"/>
    <mergeCell ref="N400:N405"/>
    <mergeCell ref="O400:O405"/>
    <mergeCell ref="P400:P405"/>
    <mergeCell ref="Q400:Q405"/>
    <mergeCell ref="R400:R405"/>
    <mergeCell ref="S400:S405"/>
    <mergeCell ref="T400:T405"/>
    <mergeCell ref="B406:T406"/>
    <mergeCell ref="B407:T407"/>
    <mergeCell ref="T408:T413"/>
    <mergeCell ref="J400:J405"/>
    <mergeCell ref="B423:T423"/>
    <mergeCell ref="B398:T398"/>
    <mergeCell ref="B399:T399"/>
    <mergeCell ref="B400:H400"/>
    <mergeCell ref="I400:I405"/>
    <mergeCell ref="L416:L421"/>
    <mergeCell ref="M416:M421"/>
    <mergeCell ref="A487:A494"/>
    <mergeCell ref="B487:T487"/>
    <mergeCell ref="N528:N533"/>
    <mergeCell ref="B528:H528"/>
    <mergeCell ref="B488:T488"/>
    <mergeCell ref="B489:H489"/>
    <mergeCell ref="I489:I494"/>
    <mergeCell ref="O481:O486"/>
    <mergeCell ref="P481:P486"/>
    <mergeCell ref="Q481:Q486"/>
    <mergeCell ref="R481:R486"/>
    <mergeCell ref="S481:S486"/>
    <mergeCell ref="I481:I486"/>
    <mergeCell ref="T481:T486"/>
    <mergeCell ref="A471:A478"/>
    <mergeCell ref="R473:R478"/>
    <mergeCell ref="I505:I510"/>
    <mergeCell ref="J505:J510"/>
    <mergeCell ref="K505:K510"/>
    <mergeCell ref="L505:L510"/>
    <mergeCell ref="M505:M510"/>
    <mergeCell ref="T528:T533"/>
    <mergeCell ref="O528:O533"/>
    <mergeCell ref="N505:N510"/>
    <mergeCell ref="O505:O510"/>
    <mergeCell ref="A503:A510"/>
    <mergeCell ref="B503:T503"/>
    <mergeCell ref="B504:T504"/>
    <mergeCell ref="B505:H505"/>
    <mergeCell ref="S473:S478"/>
    <mergeCell ref="I473:I478"/>
    <mergeCell ref="T473:T478"/>
    <mergeCell ref="R536:R541"/>
    <mergeCell ref="S536:S541"/>
    <mergeCell ref="A534:A541"/>
    <mergeCell ref="B534:T534"/>
    <mergeCell ref="B535:T535"/>
    <mergeCell ref="P528:P533"/>
    <mergeCell ref="Q528:Q533"/>
    <mergeCell ref="R528:R533"/>
    <mergeCell ref="S528:S533"/>
    <mergeCell ref="S505:S510"/>
    <mergeCell ref="T505:T510"/>
    <mergeCell ref="A526:A533"/>
    <mergeCell ref="B526:T526"/>
    <mergeCell ref="B527:T527"/>
    <mergeCell ref="I528:I533"/>
    <mergeCell ref="J528:J533"/>
    <mergeCell ref="K528:K533"/>
    <mergeCell ref="L528:L533"/>
    <mergeCell ref="M528:M533"/>
    <mergeCell ref="N536:N541"/>
    <mergeCell ref="A519:A525"/>
    <mergeCell ref="I520:T525"/>
    <mergeCell ref="A542:A549"/>
    <mergeCell ref="B542:T542"/>
    <mergeCell ref="B543:T543"/>
    <mergeCell ref="I544:I549"/>
    <mergeCell ref="N544:N549"/>
    <mergeCell ref="B544:H544"/>
    <mergeCell ref="M544:M549"/>
    <mergeCell ref="Q568:Q573"/>
    <mergeCell ref="R568:R573"/>
    <mergeCell ref="S568:S573"/>
    <mergeCell ref="L544:L549"/>
    <mergeCell ref="A550:A557"/>
    <mergeCell ref="B550:T550"/>
    <mergeCell ref="B551:T551"/>
    <mergeCell ref="M552:M557"/>
    <mergeCell ref="B552:H552"/>
    <mergeCell ref="N552:N557"/>
    <mergeCell ref="O552:O557"/>
    <mergeCell ref="P552:P557"/>
    <mergeCell ref="P568:P573"/>
    <mergeCell ref="B574:T574"/>
    <mergeCell ref="B575:T575"/>
    <mergeCell ref="I576:I581"/>
    <mergeCell ref="J576:J581"/>
    <mergeCell ref="K576:K581"/>
    <mergeCell ref="L576:L581"/>
    <mergeCell ref="M576:M581"/>
    <mergeCell ref="N576:N581"/>
    <mergeCell ref="O576:O581"/>
    <mergeCell ref="P576:P581"/>
    <mergeCell ref="Q576:Q581"/>
    <mergeCell ref="R576:R581"/>
    <mergeCell ref="S576:S581"/>
    <mergeCell ref="T576:T581"/>
    <mergeCell ref="B576:H576"/>
    <mergeCell ref="T600:T605"/>
    <mergeCell ref="A582:A589"/>
    <mergeCell ref="B582:T582"/>
    <mergeCell ref="B583:T583"/>
    <mergeCell ref="I584:I589"/>
    <mergeCell ref="J584:J589"/>
    <mergeCell ref="K584:K589"/>
    <mergeCell ref="L584:L589"/>
    <mergeCell ref="M584:M589"/>
    <mergeCell ref="N584:N589"/>
    <mergeCell ref="O584:O589"/>
    <mergeCell ref="P584:P589"/>
    <mergeCell ref="Q584:Q589"/>
    <mergeCell ref="R584:R589"/>
    <mergeCell ref="S584:S589"/>
    <mergeCell ref="T584:T589"/>
    <mergeCell ref="P600:P605"/>
    <mergeCell ref="A647:A654"/>
    <mergeCell ref="B647:T647"/>
    <mergeCell ref="B648:T648"/>
    <mergeCell ref="B649:H649"/>
    <mergeCell ref="I649:I654"/>
    <mergeCell ref="J649:J654"/>
    <mergeCell ref="K649:K654"/>
    <mergeCell ref="L649:L654"/>
    <mergeCell ref="M649:M654"/>
    <mergeCell ref="Q663:Q668"/>
    <mergeCell ref="R663:R668"/>
    <mergeCell ref="S663:S668"/>
    <mergeCell ref="A661:A668"/>
    <mergeCell ref="B661:T661"/>
    <mergeCell ref="B662:T662"/>
    <mergeCell ref="I663:I668"/>
    <mergeCell ref="J663:J668"/>
    <mergeCell ref="O663:O668"/>
    <mergeCell ref="P663:P668"/>
    <mergeCell ref="N649:N654"/>
    <mergeCell ref="O649:O654"/>
    <mergeCell ref="P649:P654"/>
    <mergeCell ref="B663:H663"/>
    <mergeCell ref="M663:M668"/>
    <mergeCell ref="N663:N668"/>
    <mergeCell ref="K879:K884"/>
    <mergeCell ref="L855:L860"/>
    <mergeCell ref="M855:M860"/>
    <mergeCell ref="N855:N860"/>
    <mergeCell ref="O855:O860"/>
    <mergeCell ref="P855:P860"/>
    <mergeCell ref="Q855:Q860"/>
    <mergeCell ref="R855:R860"/>
    <mergeCell ref="J823:J828"/>
    <mergeCell ref="Q791:Q796"/>
    <mergeCell ref="S783:S788"/>
    <mergeCell ref="N839:N844"/>
    <mergeCell ref="B855:H855"/>
    <mergeCell ref="L879:L884"/>
    <mergeCell ref="M879:M884"/>
    <mergeCell ref="N879:N884"/>
    <mergeCell ref="A655:A660"/>
    <mergeCell ref="B655:T655"/>
    <mergeCell ref="I656:T660"/>
    <mergeCell ref="T663:T668"/>
    <mergeCell ref="B853:T853"/>
    <mergeCell ref="B854:T854"/>
    <mergeCell ref="M727:M732"/>
    <mergeCell ref="N727:N732"/>
    <mergeCell ref="O775:O780"/>
    <mergeCell ref="P743:P748"/>
    <mergeCell ref="M759:M764"/>
    <mergeCell ref="O743:O748"/>
    <mergeCell ref="J751:J756"/>
    <mergeCell ref="K751:K756"/>
    <mergeCell ref="L751:L756"/>
    <mergeCell ref="A837:A844"/>
    <mergeCell ref="Q871:Q876"/>
    <mergeCell ref="R871:R876"/>
    <mergeCell ref="B871:H871"/>
    <mergeCell ref="S871:S876"/>
    <mergeCell ref="K855:K860"/>
    <mergeCell ref="A669:A676"/>
    <mergeCell ref="S679:S684"/>
    <mergeCell ref="A677:A684"/>
    <mergeCell ref="M679:M684"/>
    <mergeCell ref="B677:T677"/>
    <mergeCell ref="B678:T678"/>
    <mergeCell ref="I679:I684"/>
    <mergeCell ref="J679:J684"/>
    <mergeCell ref="B669:T669"/>
    <mergeCell ref="B670:T670"/>
    <mergeCell ref="I671:I676"/>
    <mergeCell ref="J671:J676"/>
    <mergeCell ref="L671:L676"/>
    <mergeCell ref="M671:M676"/>
    <mergeCell ref="N671:N676"/>
    <mergeCell ref="B671:H671"/>
    <mergeCell ref="B837:T837"/>
    <mergeCell ref="T759:T764"/>
    <mergeCell ref="O759:O764"/>
    <mergeCell ref="A741:A748"/>
    <mergeCell ref="B743:H743"/>
    <mergeCell ref="R783:R788"/>
    <mergeCell ref="A773:A780"/>
    <mergeCell ref="B774:T774"/>
    <mergeCell ref="S767:S772"/>
    <mergeCell ref="N751:N756"/>
    <mergeCell ref="Q775:Q780"/>
    <mergeCell ref="T887:T892"/>
    <mergeCell ref="T871:T876"/>
    <mergeCell ref="B879:H879"/>
    <mergeCell ref="I879:I884"/>
    <mergeCell ref="J879:J884"/>
    <mergeCell ref="Q711:Q716"/>
    <mergeCell ref="K783:K788"/>
    <mergeCell ref="L783:L788"/>
    <mergeCell ref="K767:K772"/>
    <mergeCell ref="I751:I756"/>
    <mergeCell ref="Q767:Q772"/>
    <mergeCell ref="R767:R772"/>
    <mergeCell ref="B773:T773"/>
    <mergeCell ref="T767:T772"/>
    <mergeCell ref="O767:O772"/>
    <mergeCell ref="P767:P772"/>
    <mergeCell ref="Q743:Q748"/>
    <mergeCell ref="R743:R748"/>
    <mergeCell ref="S743:S748"/>
    <mergeCell ref="Q783:Q788"/>
    <mergeCell ref="N887:N892"/>
    <mergeCell ref="O887:O892"/>
    <mergeCell ref="B862:T862"/>
    <mergeCell ref="B870:T870"/>
    <mergeCell ref="Q879:Q884"/>
    <mergeCell ref="R879:R884"/>
    <mergeCell ref="B886:T886"/>
    <mergeCell ref="B863:H863"/>
    <mergeCell ref="I863:I868"/>
    <mergeCell ref="J863:J868"/>
    <mergeCell ref="K863:K868"/>
    <mergeCell ref="L863:L868"/>
    <mergeCell ref="Q616:Q621"/>
    <mergeCell ref="S616:S621"/>
    <mergeCell ref="T616:T621"/>
    <mergeCell ref="A598:A605"/>
    <mergeCell ref="B598:T598"/>
    <mergeCell ref="B599:T599"/>
    <mergeCell ref="I600:I605"/>
    <mergeCell ref="J600:J605"/>
    <mergeCell ref="K600:K605"/>
    <mergeCell ref="L600:L605"/>
    <mergeCell ref="R600:R605"/>
    <mergeCell ref="S600:S605"/>
    <mergeCell ref="A733:A740"/>
    <mergeCell ref="B733:T733"/>
    <mergeCell ref="B734:T734"/>
    <mergeCell ref="T735:T740"/>
    <mergeCell ref="A725:A732"/>
    <mergeCell ref="B725:T725"/>
    <mergeCell ref="B607:T607"/>
    <mergeCell ref="I608:I613"/>
    <mergeCell ref="O608:O613"/>
    <mergeCell ref="A614:A621"/>
    <mergeCell ref="B614:T614"/>
    <mergeCell ref="P616:P621"/>
    <mergeCell ref="R695:R700"/>
    <mergeCell ref="S695:S700"/>
    <mergeCell ref="A693:A700"/>
    <mergeCell ref="B693:T693"/>
    <mergeCell ref="B694:T694"/>
    <mergeCell ref="I695:I700"/>
    <mergeCell ref="J695:J700"/>
    <mergeCell ref="K695:K700"/>
    <mergeCell ref="K687:K692"/>
    <mergeCell ref="L687:L692"/>
    <mergeCell ref="P695:P700"/>
    <mergeCell ref="Q695:Q700"/>
    <mergeCell ref="L695:L700"/>
    <mergeCell ref="M695:M700"/>
    <mergeCell ref="A709:A716"/>
    <mergeCell ref="B701:T701"/>
    <mergeCell ref="B702:T702"/>
    <mergeCell ref="J711:J716"/>
    <mergeCell ref="K711:K716"/>
    <mergeCell ref="L711:L716"/>
    <mergeCell ref="M711:M716"/>
    <mergeCell ref="N711:N716"/>
    <mergeCell ref="O711:O716"/>
    <mergeCell ref="T711:T716"/>
    <mergeCell ref="J719:J724"/>
    <mergeCell ref="B717:T717"/>
    <mergeCell ref="A685:A692"/>
    <mergeCell ref="B685:T685"/>
    <mergeCell ref="S703:S708"/>
    <mergeCell ref="B718:T718"/>
    <mergeCell ref="S711:S716"/>
    <mergeCell ref="S751:S756"/>
    <mergeCell ref="B751:H751"/>
    <mergeCell ref="I743:I748"/>
    <mergeCell ref="J743:J748"/>
    <mergeCell ref="K743:K748"/>
    <mergeCell ref="L743:L748"/>
    <mergeCell ref="S775:S780"/>
    <mergeCell ref="I775:I780"/>
    <mergeCell ref="T775:T780"/>
    <mergeCell ref="B775:H775"/>
    <mergeCell ref="N783:N788"/>
    <mergeCell ref="M743:M748"/>
    <mergeCell ref="N743:N748"/>
    <mergeCell ref="B924:T924"/>
    <mergeCell ref="A701:A708"/>
    <mergeCell ref="O727:O732"/>
    <mergeCell ref="P727:P732"/>
    <mergeCell ref="Q727:Q732"/>
    <mergeCell ref="R727:R732"/>
    <mergeCell ref="S727:S732"/>
    <mergeCell ref="O735:O740"/>
    <mergeCell ref="J727:J732"/>
    <mergeCell ref="K727:K732"/>
    <mergeCell ref="T727:T732"/>
    <mergeCell ref="S735:S740"/>
    <mergeCell ref="B823:H823"/>
    <mergeCell ref="B815:H815"/>
    <mergeCell ref="T823:T828"/>
    <mergeCell ref="O823:O828"/>
    <mergeCell ref="P823:P828"/>
    <mergeCell ref="Q823:Q828"/>
    <mergeCell ref="R823:R828"/>
    <mergeCell ref="O831:O836"/>
    <mergeCell ref="P831:P836"/>
    <mergeCell ref="Q831:Q836"/>
    <mergeCell ref="S831:S836"/>
    <mergeCell ref="N815:N820"/>
    <mergeCell ref="K815:K820"/>
    <mergeCell ref="B831:H831"/>
    <mergeCell ref="I831:I836"/>
    <mergeCell ref="A821:A828"/>
    <mergeCell ref="A829:A836"/>
    <mergeCell ref="R831:R836"/>
    <mergeCell ref="T839:T844"/>
    <mergeCell ref="J831:J836"/>
    <mergeCell ref="L831:L836"/>
    <mergeCell ref="M831:M836"/>
    <mergeCell ref="N831:N836"/>
    <mergeCell ref="K759:K764"/>
    <mergeCell ref="L759:L764"/>
    <mergeCell ref="O783:O788"/>
    <mergeCell ref="S823:S828"/>
    <mergeCell ref="I783:I788"/>
    <mergeCell ref="P783:P788"/>
    <mergeCell ref="R775:R780"/>
    <mergeCell ref="B765:T765"/>
    <mergeCell ref="B766:T766"/>
    <mergeCell ref="I767:I772"/>
    <mergeCell ref="J767:J772"/>
    <mergeCell ref="A789:A796"/>
    <mergeCell ref="I791:I796"/>
    <mergeCell ref="T807:T812"/>
    <mergeCell ref="O807:O812"/>
    <mergeCell ref="P807:P812"/>
    <mergeCell ref="Q807:Q812"/>
    <mergeCell ref="R807:R812"/>
    <mergeCell ref="K823:K828"/>
    <mergeCell ref="L823:L828"/>
    <mergeCell ref="N823:N828"/>
    <mergeCell ref="L791:L796"/>
    <mergeCell ref="J799:J804"/>
    <mergeCell ref="K799:K804"/>
    <mergeCell ref="T791:T796"/>
    <mergeCell ref="P791:P796"/>
    <mergeCell ref="S815:S820"/>
    <mergeCell ref="S791:S796"/>
    <mergeCell ref="S807:S812"/>
    <mergeCell ref="A797:A804"/>
    <mergeCell ref="B797:T797"/>
    <mergeCell ref="B798:T798"/>
    <mergeCell ref="I799:I804"/>
    <mergeCell ref="B821:T821"/>
    <mergeCell ref="B822:T822"/>
    <mergeCell ref="B789:T789"/>
    <mergeCell ref="B790:T790"/>
    <mergeCell ref="M823:M828"/>
    <mergeCell ref="M815:M820"/>
    <mergeCell ref="T815:T820"/>
    <mergeCell ref="O815:O820"/>
    <mergeCell ref="O791:O796"/>
    <mergeCell ref="R791:R796"/>
    <mergeCell ref="N995:N1000"/>
    <mergeCell ref="O839:O844"/>
    <mergeCell ref="P839:P844"/>
    <mergeCell ref="A805:A812"/>
    <mergeCell ref="B805:T805"/>
    <mergeCell ref="B806:T806"/>
    <mergeCell ref="P815:P820"/>
    <mergeCell ref="I807:I812"/>
    <mergeCell ref="J807:J812"/>
    <mergeCell ref="K807:K812"/>
    <mergeCell ref="L807:L812"/>
    <mergeCell ref="M807:M812"/>
    <mergeCell ref="N807:N812"/>
    <mergeCell ref="I823:I828"/>
    <mergeCell ref="S839:S844"/>
    <mergeCell ref="T979:T984"/>
    <mergeCell ref="B987:H987"/>
    <mergeCell ref="B979:H979"/>
    <mergeCell ref="P987:P992"/>
    <mergeCell ref="Q987:Q992"/>
    <mergeCell ref="R995:R1000"/>
    <mergeCell ref="L815:L820"/>
    <mergeCell ref="A813:A820"/>
    <mergeCell ref="B813:T813"/>
    <mergeCell ref="B814:T814"/>
    <mergeCell ref="I815:I820"/>
    <mergeCell ref="J815:J820"/>
    <mergeCell ref="Q839:Q844"/>
    <mergeCell ref="R839:R844"/>
    <mergeCell ref="B829:T829"/>
    <mergeCell ref="B830:T830"/>
    <mergeCell ref="T831:T836"/>
    <mergeCell ref="B741:T741"/>
    <mergeCell ref="B742:T742"/>
    <mergeCell ref="T743:T748"/>
    <mergeCell ref="K719:K724"/>
    <mergeCell ref="L719:L724"/>
    <mergeCell ref="B749:T749"/>
    <mergeCell ref="B750:T750"/>
    <mergeCell ref="P719:P724"/>
    <mergeCell ref="Q719:Q724"/>
    <mergeCell ref="R719:R724"/>
    <mergeCell ref="S719:S724"/>
    <mergeCell ref="B735:H735"/>
    <mergeCell ref="L735:L740"/>
    <mergeCell ref="M735:M740"/>
    <mergeCell ref="N735:N740"/>
    <mergeCell ref="K735:K740"/>
    <mergeCell ref="Q735:Q740"/>
    <mergeCell ref="R735:R740"/>
    <mergeCell ref="I735:I740"/>
    <mergeCell ref="J735:J740"/>
    <mergeCell ref="S624:S629"/>
    <mergeCell ref="P711:P716"/>
    <mergeCell ref="Q815:Q820"/>
    <mergeCell ref="R711:R716"/>
    <mergeCell ref="M783:M788"/>
    <mergeCell ref="K703:K708"/>
    <mergeCell ref="R987:R992"/>
    <mergeCell ref="S987:S992"/>
    <mergeCell ref="T783:T788"/>
    <mergeCell ref="B711:H711"/>
    <mergeCell ref="P624:P629"/>
    <mergeCell ref="N679:N684"/>
    <mergeCell ref="J791:J796"/>
    <mergeCell ref="K791:K796"/>
    <mergeCell ref="M791:M796"/>
    <mergeCell ref="N791:N796"/>
    <mergeCell ref="N799:N804"/>
    <mergeCell ref="P799:P804"/>
    <mergeCell ref="Q799:Q804"/>
    <mergeCell ref="I703:I708"/>
    <mergeCell ref="J703:J708"/>
    <mergeCell ref="B640:T640"/>
    <mergeCell ref="B641:H641"/>
    <mergeCell ref="B686:T686"/>
    <mergeCell ref="B687:H687"/>
    <mergeCell ref="J687:J692"/>
    <mergeCell ref="T751:T756"/>
    <mergeCell ref="O751:O756"/>
    <mergeCell ref="R751:R756"/>
    <mergeCell ref="B726:T726"/>
    <mergeCell ref="B727:H727"/>
    <mergeCell ref="I727:I732"/>
    <mergeCell ref="J608:J613"/>
    <mergeCell ref="K608:K613"/>
    <mergeCell ref="L608:L613"/>
    <mergeCell ref="M608:M613"/>
    <mergeCell ref="B584:H584"/>
    <mergeCell ref="T592:T597"/>
    <mergeCell ref="B590:T590"/>
    <mergeCell ref="B591:T591"/>
    <mergeCell ref="I592:I597"/>
    <mergeCell ref="J592:J597"/>
    <mergeCell ref="K592:K597"/>
    <mergeCell ref="O641:O646"/>
    <mergeCell ref="P641:P646"/>
    <mergeCell ref="Q641:Q646"/>
    <mergeCell ref="B630:T630"/>
    <mergeCell ref="B631:T631"/>
    <mergeCell ref="B632:H632"/>
    <mergeCell ref="L641:L646"/>
    <mergeCell ref="M641:M646"/>
    <mergeCell ref="N641:N646"/>
    <mergeCell ref="I641:I646"/>
    <mergeCell ref="J641:J646"/>
    <mergeCell ref="K616:K621"/>
    <mergeCell ref="L616:L621"/>
    <mergeCell ref="M616:M621"/>
    <mergeCell ref="N616:N621"/>
    <mergeCell ref="B616:H616"/>
    <mergeCell ref="B608:H608"/>
    <mergeCell ref="B600:H600"/>
    <mergeCell ref="O592:O597"/>
    <mergeCell ref="Q608:Q613"/>
    <mergeCell ref="R616:R621"/>
    <mergeCell ref="Q1017:Q1022"/>
    <mergeCell ref="R1017:R1022"/>
    <mergeCell ref="A1001:A1006"/>
    <mergeCell ref="B1001:T1001"/>
    <mergeCell ref="I1002:T1006"/>
    <mergeCell ref="O1009:O1014"/>
    <mergeCell ref="J783:J788"/>
    <mergeCell ref="N963:N968"/>
    <mergeCell ref="O963:O968"/>
    <mergeCell ref="P963:P968"/>
    <mergeCell ref="I963:I968"/>
    <mergeCell ref="J963:J968"/>
    <mergeCell ref="Q963:Q968"/>
    <mergeCell ref="A985:A992"/>
    <mergeCell ref="R979:R984"/>
    <mergeCell ref="S963:S968"/>
    <mergeCell ref="T963:T968"/>
    <mergeCell ref="B969:T969"/>
    <mergeCell ref="B962:T962"/>
    <mergeCell ref="B933:H933"/>
    <mergeCell ref="R963:R968"/>
    <mergeCell ref="O987:O992"/>
    <mergeCell ref="Q979:Q984"/>
    <mergeCell ref="T799:T804"/>
    <mergeCell ref="L987:L992"/>
    <mergeCell ref="M987:M992"/>
    <mergeCell ref="N987:N992"/>
    <mergeCell ref="R799:R804"/>
    <mergeCell ref="S799:S804"/>
    <mergeCell ref="B799:H799"/>
    <mergeCell ref="B791:H791"/>
    <mergeCell ref="K831:K836"/>
    <mergeCell ref="N3:T3"/>
    <mergeCell ref="R449:R454"/>
    <mergeCell ref="S449:S454"/>
    <mergeCell ref="T449:T454"/>
    <mergeCell ref="A939:A946"/>
    <mergeCell ref="B939:T939"/>
    <mergeCell ref="B940:T940"/>
    <mergeCell ref="B941:H941"/>
    <mergeCell ref="I941:I946"/>
    <mergeCell ref="J941:J946"/>
    <mergeCell ref="K941:K946"/>
    <mergeCell ref="L941:L946"/>
    <mergeCell ref="M941:M946"/>
    <mergeCell ref="N941:N946"/>
    <mergeCell ref="O941:O946"/>
    <mergeCell ref="P941:P946"/>
    <mergeCell ref="N925:N930"/>
    <mergeCell ref="B838:T838"/>
    <mergeCell ref="B839:H839"/>
    <mergeCell ref="I839:I844"/>
    <mergeCell ref="J839:J844"/>
    <mergeCell ref="K839:K844"/>
    <mergeCell ref="L839:L844"/>
    <mergeCell ref="M839:M844"/>
    <mergeCell ref="A781:A788"/>
    <mergeCell ref="B119:H119"/>
    <mergeCell ref="B127:H127"/>
    <mergeCell ref="B135:H135"/>
    <mergeCell ref="B143:H143"/>
    <mergeCell ref="B151:H151"/>
    <mergeCell ref="T151:T156"/>
    <mergeCell ref="M199:M204"/>
    <mergeCell ref="A1107:B1107"/>
    <mergeCell ref="A1066:A1074"/>
    <mergeCell ref="B1067:T1067"/>
    <mergeCell ref="B1068:H1068"/>
    <mergeCell ref="A1105:B1105"/>
    <mergeCell ref="A1103:T1103"/>
    <mergeCell ref="A1104:B1104"/>
    <mergeCell ref="A1081:A1088"/>
    <mergeCell ref="B1081:T1081"/>
    <mergeCell ref="B1082:T1082"/>
    <mergeCell ref="B1083:H1083"/>
    <mergeCell ref="I1083:I1088"/>
    <mergeCell ref="J1083:J1088"/>
    <mergeCell ref="K1083:K1088"/>
    <mergeCell ref="L1083:L1088"/>
    <mergeCell ref="A1015:A1022"/>
    <mergeCell ref="I1060:T1065"/>
    <mergeCell ref="I1104:T1109"/>
    <mergeCell ref="A1106:B1106"/>
    <mergeCell ref="A1108:B1108"/>
    <mergeCell ref="A1109:B1109"/>
    <mergeCell ref="R1031:R1036"/>
    <mergeCell ref="A1075:A1080"/>
    <mergeCell ref="B1075:T1075"/>
    <mergeCell ref="I1076:T1080"/>
    <mergeCell ref="A1029:A1036"/>
    <mergeCell ref="B1029:T1029"/>
    <mergeCell ref="B1030:T1030"/>
    <mergeCell ref="B1017:H1017"/>
    <mergeCell ref="A1095:A1102"/>
    <mergeCell ref="B1095:T1095"/>
    <mergeCell ref="B1096:T1096"/>
    <mergeCell ref="S1053:S1058"/>
    <mergeCell ref="Q1031:Q1036"/>
    <mergeCell ref="R1053:R1058"/>
    <mergeCell ref="S1031:S1036"/>
    <mergeCell ref="T1031:T1036"/>
    <mergeCell ref="A1037:A1044"/>
    <mergeCell ref="B1037:T1037"/>
    <mergeCell ref="K1039:K1044"/>
    <mergeCell ref="L1039:L1044"/>
    <mergeCell ref="M1039:M1044"/>
    <mergeCell ref="N1039:N1044"/>
    <mergeCell ref="O1039:O1044"/>
    <mergeCell ref="P1039:P1044"/>
    <mergeCell ref="Q1039:Q1044"/>
    <mergeCell ref="B1053:H1053"/>
    <mergeCell ref="B1031:H1031"/>
    <mergeCell ref="I1031:I1036"/>
    <mergeCell ref="B1038:T1038"/>
    <mergeCell ref="J1031:J1036"/>
    <mergeCell ref="K1031:K1036"/>
    <mergeCell ref="L1031:L1036"/>
    <mergeCell ref="P1031:P1036"/>
    <mergeCell ref="B1039:H1039"/>
    <mergeCell ref="I1039:I1044"/>
    <mergeCell ref="J1039:J1044"/>
    <mergeCell ref="R1039:R1044"/>
    <mergeCell ref="S1039:S1044"/>
    <mergeCell ref="T1039:T1044"/>
    <mergeCell ref="N1031:N1036"/>
    <mergeCell ref="O1031:O1036"/>
    <mergeCell ref="T1053:T1058"/>
    <mergeCell ref="M1083:M1088"/>
    <mergeCell ref="N1083:N1088"/>
    <mergeCell ref="O1083:O1088"/>
    <mergeCell ref="P1083:P1088"/>
    <mergeCell ref="Q1083:Q1088"/>
    <mergeCell ref="R1083:R1088"/>
    <mergeCell ref="S1083:S1088"/>
    <mergeCell ref="T1083:T1088"/>
    <mergeCell ref="B1066:T1066"/>
    <mergeCell ref="I1068:I1074"/>
    <mergeCell ref="J1068:J1074"/>
    <mergeCell ref="K1068:K1074"/>
    <mergeCell ref="L1068:L1074"/>
    <mergeCell ref="M1068:M1074"/>
    <mergeCell ref="N1068:N1074"/>
    <mergeCell ref="O1068:O1074"/>
    <mergeCell ref="P1068:P1074"/>
    <mergeCell ref="Q1068:Q1074"/>
    <mergeCell ref="R1068:R1074"/>
    <mergeCell ref="K1017:K1022"/>
    <mergeCell ref="A622:A629"/>
    <mergeCell ref="B623:T623"/>
    <mergeCell ref="I624:I629"/>
    <mergeCell ref="J624:J629"/>
    <mergeCell ref="K624:K629"/>
    <mergeCell ref="L624:L629"/>
    <mergeCell ref="M624:M629"/>
    <mergeCell ref="N624:N629"/>
    <mergeCell ref="O624:O629"/>
    <mergeCell ref="B624:H624"/>
    <mergeCell ref="T641:T646"/>
    <mergeCell ref="A639:A646"/>
    <mergeCell ref="L799:L804"/>
    <mergeCell ref="M799:M804"/>
    <mergeCell ref="O799:O804"/>
    <mergeCell ref="B807:H807"/>
    <mergeCell ref="R815:R820"/>
    <mergeCell ref="P679:P684"/>
    <mergeCell ref="Q679:Q684"/>
    <mergeCell ref="R679:R684"/>
    <mergeCell ref="B639:T639"/>
    <mergeCell ref="R641:R646"/>
    <mergeCell ref="S641:S646"/>
    <mergeCell ref="K679:K684"/>
    <mergeCell ref="L679:L684"/>
    <mergeCell ref="B679:H679"/>
    <mergeCell ref="K663:K668"/>
    <mergeCell ref="L663:L668"/>
    <mergeCell ref="T624:T629"/>
    <mergeCell ref="B622:T622"/>
    <mergeCell ref="A1007:A1014"/>
    <mergeCell ref="A1023:A1028"/>
    <mergeCell ref="I1024:T1028"/>
    <mergeCell ref="K671:K676"/>
    <mergeCell ref="Q624:Q629"/>
    <mergeCell ref="R624:R629"/>
    <mergeCell ref="K641:K646"/>
    <mergeCell ref="I103:I108"/>
    <mergeCell ref="J103:J108"/>
    <mergeCell ref="K103:K108"/>
    <mergeCell ref="L103:L108"/>
    <mergeCell ref="M103:M108"/>
    <mergeCell ref="N103:N108"/>
    <mergeCell ref="L135:L140"/>
    <mergeCell ref="M135:M140"/>
    <mergeCell ref="K167:K172"/>
    <mergeCell ref="L167:L172"/>
    <mergeCell ref="M167:M172"/>
    <mergeCell ref="N167:N172"/>
    <mergeCell ref="B173:T173"/>
    <mergeCell ref="B174:T174"/>
    <mergeCell ref="P119:P124"/>
    <mergeCell ref="Q119:Q124"/>
    <mergeCell ref="N143:N148"/>
    <mergeCell ref="I135:I140"/>
    <mergeCell ref="I223:I228"/>
    <mergeCell ref="J223:J228"/>
    <mergeCell ref="K223:K228"/>
    <mergeCell ref="L223:L228"/>
    <mergeCell ref="M223:M228"/>
    <mergeCell ref="B416:H416"/>
    <mergeCell ref="I432:I438"/>
    <mergeCell ref="J432:J438"/>
    <mergeCell ref="I616:I621"/>
    <mergeCell ref="B47:T47"/>
    <mergeCell ref="B40:T40"/>
    <mergeCell ref="B48:T48"/>
    <mergeCell ref="B49:H49"/>
    <mergeCell ref="B41:H41"/>
    <mergeCell ref="B182:T182"/>
    <mergeCell ref="I183:I188"/>
    <mergeCell ref="Q175:Q180"/>
    <mergeCell ref="R175:R180"/>
    <mergeCell ref="S175:S180"/>
    <mergeCell ref="L191:L196"/>
    <mergeCell ref="M191:M196"/>
    <mergeCell ref="O207:O212"/>
    <mergeCell ref="P207:P212"/>
    <mergeCell ref="Q207:Q212"/>
    <mergeCell ref="J616:J621"/>
    <mergeCell ref="P592:P597"/>
    <mergeCell ref="Q592:Q597"/>
    <mergeCell ref="R592:R597"/>
    <mergeCell ref="S592:S597"/>
    <mergeCell ref="P608:P613"/>
    <mergeCell ref="O616:O621"/>
    <mergeCell ref="N560:N565"/>
    <mergeCell ref="B560:H560"/>
    <mergeCell ref="T560:T565"/>
    <mergeCell ref="O560:O565"/>
    <mergeCell ref="P560:P565"/>
    <mergeCell ref="Q560:Q565"/>
    <mergeCell ref="R560:R565"/>
    <mergeCell ref="J57:J62"/>
    <mergeCell ref="P57:P62"/>
    <mergeCell ref="R57:R62"/>
    <mergeCell ref="S57:S62"/>
    <mergeCell ref="T57:T62"/>
    <mergeCell ref="P87:P92"/>
    <mergeCell ref="J95:J100"/>
    <mergeCell ref="B32:T32"/>
    <mergeCell ref="B33:H33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M49:M54"/>
    <mergeCell ref="N49:N54"/>
    <mergeCell ref="O49:O54"/>
    <mergeCell ref="T49:T54"/>
    <mergeCell ref="B39:T39"/>
    <mergeCell ref="B65:H65"/>
    <mergeCell ref="I65:I70"/>
    <mergeCell ref="J65:J70"/>
    <mergeCell ref="K65:K70"/>
    <mergeCell ref="L65:L70"/>
    <mergeCell ref="M65:M70"/>
    <mergeCell ref="N65:N70"/>
    <mergeCell ref="O95:O100"/>
    <mergeCell ref="B606:T606"/>
    <mergeCell ref="T41:T46"/>
    <mergeCell ref="J49:J54"/>
    <mergeCell ref="K49:K54"/>
    <mergeCell ref="L49:L54"/>
    <mergeCell ref="P49:P54"/>
    <mergeCell ref="Q49:Q54"/>
    <mergeCell ref="R49:R54"/>
    <mergeCell ref="S49:S54"/>
    <mergeCell ref="T199:T204"/>
    <mergeCell ref="N191:N196"/>
    <mergeCell ref="M600:M605"/>
    <mergeCell ref="N600:N605"/>
    <mergeCell ref="N608:N613"/>
    <mergeCell ref="Q87:Q92"/>
    <mergeCell ref="R87:R92"/>
    <mergeCell ref="S87:S92"/>
    <mergeCell ref="T103:T108"/>
    <mergeCell ref="J79:J84"/>
    <mergeCell ref="K79:K84"/>
    <mergeCell ref="L79:L84"/>
    <mergeCell ref="P95:P100"/>
    <mergeCell ref="Q95:Q100"/>
    <mergeCell ref="R95:R100"/>
    <mergeCell ref="K95:K100"/>
    <mergeCell ref="B175:H175"/>
    <mergeCell ref="K57:K62"/>
    <mergeCell ref="L57:L62"/>
    <mergeCell ref="M57:M62"/>
    <mergeCell ref="N57:N62"/>
    <mergeCell ref="O57:O62"/>
    <mergeCell ref="Q57:Q62"/>
    <mergeCell ref="Q600:Q605"/>
    <mergeCell ref="O600:O605"/>
    <mergeCell ref="B102:T102"/>
    <mergeCell ref="A221:A228"/>
    <mergeCell ref="J207:J212"/>
    <mergeCell ref="A189:A196"/>
    <mergeCell ref="T215:T220"/>
    <mergeCell ref="B615:T615"/>
    <mergeCell ref="A205:A212"/>
    <mergeCell ref="B205:T205"/>
    <mergeCell ref="B206:T206"/>
    <mergeCell ref="I191:I196"/>
    <mergeCell ref="J191:J196"/>
    <mergeCell ref="K191:K196"/>
    <mergeCell ref="B207:H207"/>
    <mergeCell ref="A213:A220"/>
    <mergeCell ref="K183:K188"/>
    <mergeCell ref="L183:L188"/>
    <mergeCell ref="M183:M188"/>
    <mergeCell ref="N183:N188"/>
    <mergeCell ref="O183:O188"/>
    <mergeCell ref="P183:P188"/>
    <mergeCell ref="Q191:Q196"/>
    <mergeCell ref="R191:R196"/>
    <mergeCell ref="S191:S196"/>
    <mergeCell ref="I207:I212"/>
    <mergeCell ref="A590:A597"/>
    <mergeCell ref="L592:L597"/>
    <mergeCell ref="M592:M597"/>
    <mergeCell ref="N592:N597"/>
    <mergeCell ref="B592:H592"/>
    <mergeCell ref="A606:A613"/>
    <mergeCell ref="O65:O70"/>
    <mergeCell ref="P65:P70"/>
    <mergeCell ref="Q65:Q70"/>
    <mergeCell ref="R65:R70"/>
    <mergeCell ref="S65:S70"/>
    <mergeCell ref="B95:H95"/>
    <mergeCell ref="B103:H103"/>
    <mergeCell ref="T65:T70"/>
    <mergeCell ref="B183:H183"/>
    <mergeCell ref="B191:H191"/>
    <mergeCell ref="B189:T189"/>
    <mergeCell ref="B190:T190"/>
    <mergeCell ref="I79:I84"/>
    <mergeCell ref="J127:J132"/>
    <mergeCell ref="T135:T140"/>
    <mergeCell ref="O135:O140"/>
    <mergeCell ref="Q183:Q188"/>
    <mergeCell ref="R183:R188"/>
    <mergeCell ref="S183:S188"/>
    <mergeCell ref="O191:O196"/>
    <mergeCell ref="P191:P196"/>
    <mergeCell ref="R135:R140"/>
    <mergeCell ref="S135:S140"/>
    <mergeCell ref="T175:T180"/>
    <mergeCell ref="B165:T165"/>
    <mergeCell ref="B166:T166"/>
    <mergeCell ref="B158:T158"/>
    <mergeCell ref="J159:J164"/>
    <mergeCell ref="K159:K164"/>
    <mergeCell ref="L159:L164"/>
    <mergeCell ref="M159:M164"/>
    <mergeCell ref="N159:N164"/>
    <mergeCell ref="A63:A70"/>
    <mergeCell ref="B63:T63"/>
    <mergeCell ref="A511:A518"/>
    <mergeCell ref="B511:T511"/>
    <mergeCell ref="B512:T512"/>
    <mergeCell ref="B513:H513"/>
    <mergeCell ref="I513:I518"/>
    <mergeCell ref="J513:J518"/>
    <mergeCell ref="K513:K518"/>
    <mergeCell ref="L513:L518"/>
    <mergeCell ref="M513:M518"/>
    <mergeCell ref="N513:N518"/>
    <mergeCell ref="O513:O518"/>
    <mergeCell ref="P513:P518"/>
    <mergeCell ref="Q513:Q518"/>
    <mergeCell ref="R513:R518"/>
    <mergeCell ref="S513:S518"/>
    <mergeCell ref="I175:I180"/>
    <mergeCell ref="J175:J180"/>
    <mergeCell ref="K175:K180"/>
    <mergeCell ref="L175:L180"/>
    <mergeCell ref="M175:M180"/>
    <mergeCell ref="N175:N180"/>
    <mergeCell ref="O175:O180"/>
    <mergeCell ref="P175:P180"/>
    <mergeCell ref="N135:N140"/>
    <mergeCell ref="B125:T125"/>
    <mergeCell ref="B126:T126"/>
    <mergeCell ref="I127:I132"/>
    <mergeCell ref="T513:T518"/>
    <mergeCell ref="A173:A180"/>
    <mergeCell ref="B64:T64"/>
  </mergeCells>
  <pageMargins left="0.23622047244094491" right="0.27559055118110237" top="0.39370078740157483" bottom="0.31496062992125984" header="0.23622047244094491" footer="0.31496062992125984"/>
  <pageSetup paperSize="9" scale="60" fitToHeight="0" orientation="landscape" r:id="rId1"/>
  <rowBreaks count="22" manualBreakCount="22">
    <brk id="38" max="19" man="1"/>
    <brk id="92" max="19" man="1"/>
    <brk id="140" max="19" man="1"/>
    <brk id="188" max="19" man="1"/>
    <brk id="242" max="19" man="1"/>
    <brk id="296" max="19" man="1"/>
    <brk id="349" max="19" man="1"/>
    <brk id="397" max="19" man="1"/>
    <brk id="446" max="19" man="1"/>
    <brk id="494" max="19" man="1"/>
    <brk id="541" max="19" man="1"/>
    <brk id="589" max="19" man="1"/>
    <brk id="638" max="19" man="1"/>
    <brk id="692" max="19" man="1"/>
    <brk id="740" max="19" man="1"/>
    <brk id="788" max="19" man="1"/>
    <brk id="836" max="19" man="1"/>
    <brk id="884" max="19" man="1"/>
    <brk id="938" max="19" man="1"/>
    <brk id="992" max="19" man="1"/>
    <brk id="1044" max="19" man="1"/>
    <brk id="10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ИП2020+</vt:lpstr>
      <vt:lpstr>'ИП2020+'!Заголовки_для_печати</vt:lpstr>
      <vt:lpstr>'ИП2020+'!Область_печати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2020-12-21T03:04:03Z</cp:lastPrinted>
  <dcterms:created xsi:type="dcterms:W3CDTF">2013-06-03T21:57:32Z</dcterms:created>
  <dcterms:modified xsi:type="dcterms:W3CDTF">2020-12-29T21:54:07Z</dcterms:modified>
</cp:coreProperties>
</file>