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3.53\дела в порядке программы\00_Инвестиционная программа\2021 год\05_Оптимизация и изменения\02_Проект ИП_05.02.2021\04_на опубликование\"/>
    </mc:Choice>
  </mc:AlternateContent>
  <bookViews>
    <workbookView xWindow="0" yWindow="0" windowWidth="12285" windowHeight="10425"/>
  </bookViews>
  <sheets>
    <sheet name="ИП2021+" sheetId="71" r:id="rId1"/>
  </sheets>
  <definedNames>
    <definedName name="_xlnm._FilterDatabase" localSheetId="0" hidden="1">'ИП2021+'!$A$8:$T$1229</definedName>
    <definedName name="_xlnm.Print_Area" localSheetId="0">'ИП2021+'!$A$1:$T$1266</definedName>
  </definedNames>
  <calcPr calcId="152511"/>
</workbook>
</file>

<file path=xl/calcChain.xml><?xml version="1.0" encoding="utf-8"?>
<calcChain xmlns="http://schemas.openxmlformats.org/spreadsheetml/2006/main">
  <c r="D837" i="71" l="1"/>
  <c r="D299" i="71" l="1"/>
  <c r="E474" i="71" l="1"/>
  <c r="E1260" i="71" l="1"/>
  <c r="F1260" i="71"/>
  <c r="G1260" i="71"/>
  <c r="H1260" i="71"/>
  <c r="F1261" i="71"/>
  <c r="G1261" i="71"/>
  <c r="H1261" i="71"/>
  <c r="E1262" i="71"/>
  <c r="F1262" i="71"/>
  <c r="G1262" i="71"/>
  <c r="H1262" i="71"/>
  <c r="E1263" i="71"/>
  <c r="F1263" i="71"/>
  <c r="G1263" i="71"/>
  <c r="H1263" i="71"/>
  <c r="D1263" i="71"/>
  <c r="D1260" i="71"/>
  <c r="C1257" i="71"/>
  <c r="C1256" i="71"/>
  <c r="D1255" i="71"/>
  <c r="C1255" i="71"/>
  <c r="C1254" i="71"/>
  <c r="H1253" i="71"/>
  <c r="G1253" i="71"/>
  <c r="F1253" i="71"/>
  <c r="E1253" i="71"/>
  <c r="D1253" i="71"/>
  <c r="C1253" i="71" s="1"/>
  <c r="H1249" i="71"/>
  <c r="G1249" i="71"/>
  <c r="F1249" i="71"/>
  <c r="C1249" i="71" s="1"/>
  <c r="E1249" i="71"/>
  <c r="D1249" i="71"/>
  <c r="H1248" i="71"/>
  <c r="G1248" i="71"/>
  <c r="F1248" i="71"/>
  <c r="C1248" i="71" s="1"/>
  <c r="E1248" i="71"/>
  <c r="D1248" i="71"/>
  <c r="H1247" i="71"/>
  <c r="G1247" i="71"/>
  <c r="F1247" i="71"/>
  <c r="C1247" i="71" s="1"/>
  <c r="E1247" i="71"/>
  <c r="D1247" i="71"/>
  <c r="H1246" i="71"/>
  <c r="G1246" i="71"/>
  <c r="F1246" i="71"/>
  <c r="C1246" i="71" s="1"/>
  <c r="E1246" i="71"/>
  <c r="D1246" i="71"/>
  <c r="H1245" i="71"/>
  <c r="G1245" i="71"/>
  <c r="F1245" i="71"/>
  <c r="C1245" i="71" s="1"/>
  <c r="E1245" i="71"/>
  <c r="D1245" i="71"/>
  <c r="D489" i="71" l="1"/>
  <c r="D290" i="71" l="1"/>
  <c r="D60" i="71" l="1"/>
  <c r="F1211" i="71" l="1"/>
  <c r="E1211" i="71"/>
  <c r="E1203" i="71"/>
  <c r="F939" i="71"/>
  <c r="F931" i="71"/>
  <c r="E1003" i="71"/>
  <c r="E979" i="71"/>
  <c r="E939" i="71"/>
  <c r="E836" i="71" l="1"/>
  <c r="F917" i="71" l="1"/>
  <c r="F496" i="71" l="1"/>
  <c r="E496" i="71"/>
  <c r="E413" i="71" l="1"/>
  <c r="F405" i="71" l="1"/>
  <c r="E397" i="71"/>
  <c r="F397" i="71"/>
  <c r="F413" i="71" l="1"/>
  <c r="D1203" i="71" l="1"/>
  <c r="D979" i="71" l="1"/>
  <c r="D836" i="71" l="1"/>
  <c r="D496" i="71" l="1"/>
  <c r="D397" i="71" l="1"/>
  <c r="D289" i="71" l="1"/>
  <c r="H54" i="71" l="1"/>
  <c r="G54" i="71"/>
  <c r="G249" i="71" l="1"/>
  <c r="H249" i="71"/>
  <c r="E250" i="71"/>
  <c r="F250" i="71"/>
  <c r="G250" i="71"/>
  <c r="H250" i="71"/>
  <c r="E251" i="71"/>
  <c r="F251" i="71"/>
  <c r="G251" i="71"/>
  <c r="H251" i="71"/>
  <c r="E252" i="71"/>
  <c r="F252" i="71"/>
  <c r="G252" i="71"/>
  <c r="H252" i="71"/>
  <c r="D251" i="71"/>
  <c r="D1262" i="71" s="1"/>
  <c r="D252" i="71"/>
  <c r="C348" i="71"/>
  <c r="C347" i="71"/>
  <c r="D346" i="71"/>
  <c r="C346" i="71"/>
  <c r="C345" i="71"/>
  <c r="H344" i="71"/>
  <c r="G344" i="71"/>
  <c r="F344" i="71"/>
  <c r="E344" i="71"/>
  <c r="D344" i="71"/>
  <c r="C344" i="71" l="1"/>
  <c r="D971" i="71"/>
  <c r="D963" i="71"/>
  <c r="D955" i="71"/>
  <c r="D947" i="71"/>
  <c r="C340" i="71" l="1"/>
  <c r="C339" i="71"/>
  <c r="D338" i="71"/>
  <c r="C338" i="71"/>
  <c r="C337" i="71"/>
  <c r="H336" i="71"/>
  <c r="G336" i="71"/>
  <c r="F336" i="71"/>
  <c r="E336" i="71"/>
  <c r="D336" i="71"/>
  <c r="C332" i="71"/>
  <c r="C331" i="71"/>
  <c r="D330" i="71"/>
  <c r="D250" i="71" s="1"/>
  <c r="C329" i="71"/>
  <c r="H328" i="71"/>
  <c r="G328" i="71"/>
  <c r="F328" i="71"/>
  <c r="C328" i="71" s="1"/>
  <c r="E328" i="71"/>
  <c r="D328" i="71"/>
  <c r="C330" i="71" l="1"/>
  <c r="C336" i="71"/>
  <c r="E351" i="71"/>
  <c r="F351" i="71"/>
  <c r="G351" i="71"/>
  <c r="H351" i="71"/>
  <c r="E352" i="71"/>
  <c r="F352" i="71"/>
  <c r="G352" i="71"/>
  <c r="H352" i="71"/>
  <c r="E353" i="71"/>
  <c r="F353" i="71"/>
  <c r="G353" i="71"/>
  <c r="H353" i="71"/>
  <c r="E354" i="71"/>
  <c r="F354" i="71"/>
  <c r="G354" i="71"/>
  <c r="H354" i="71"/>
  <c r="D353" i="71"/>
  <c r="D354" i="71"/>
  <c r="D351" i="71"/>
  <c r="C378" i="71"/>
  <c r="C377" i="71"/>
  <c r="D376" i="71"/>
  <c r="C376" i="71" s="1"/>
  <c r="C375" i="71"/>
  <c r="H374" i="71"/>
  <c r="G374" i="71"/>
  <c r="F374" i="71"/>
  <c r="E374" i="71"/>
  <c r="D360" i="71"/>
  <c r="D352" i="71" s="1"/>
  <c r="D374" i="71" l="1"/>
  <c r="C374" i="71" s="1"/>
  <c r="F1240" i="71"/>
  <c r="D1240" i="71"/>
  <c r="F1232" i="71"/>
  <c r="G1232" i="71"/>
  <c r="H1232" i="71"/>
  <c r="F1233" i="71"/>
  <c r="G1233" i="71"/>
  <c r="H1233" i="71"/>
  <c r="F1234" i="71"/>
  <c r="G1234" i="71"/>
  <c r="H1234" i="71"/>
  <c r="F1235" i="71"/>
  <c r="G1235" i="71"/>
  <c r="H1235" i="71"/>
  <c r="D919" i="71" l="1"/>
  <c r="G480" i="71" l="1"/>
  <c r="H480" i="71"/>
  <c r="G481" i="71"/>
  <c r="H481" i="71"/>
  <c r="E482" i="71"/>
  <c r="F482" i="71"/>
  <c r="G482" i="71"/>
  <c r="H482" i="71"/>
  <c r="E479" i="71"/>
  <c r="G479" i="71"/>
  <c r="H479" i="71"/>
  <c r="D482" i="71"/>
  <c r="D479" i="71"/>
  <c r="E419" i="71"/>
  <c r="F419" i="71"/>
  <c r="G419" i="71"/>
  <c r="H419" i="71"/>
  <c r="E420" i="71"/>
  <c r="F420" i="71"/>
  <c r="G420" i="71"/>
  <c r="H420" i="71"/>
  <c r="E421" i="71"/>
  <c r="F421" i="71"/>
  <c r="G421" i="71"/>
  <c r="H421" i="71"/>
  <c r="E422" i="71"/>
  <c r="F422" i="71"/>
  <c r="G422" i="71"/>
  <c r="H422" i="71"/>
  <c r="D420" i="71"/>
  <c r="D421" i="71"/>
  <c r="D422" i="71"/>
  <c r="D419" i="71"/>
  <c r="E44" i="71" l="1"/>
  <c r="E28" i="71"/>
  <c r="F52" i="71"/>
  <c r="E52" i="71"/>
  <c r="E12" i="71" l="1"/>
  <c r="D1232" i="71"/>
  <c r="D1217" i="71"/>
  <c r="D1195" i="71"/>
  <c r="D1196" i="71"/>
  <c r="D1165" i="71"/>
  <c r="D1135" i="71"/>
  <c r="D1121" i="71"/>
  <c r="D923" i="71"/>
  <c r="D457" i="71"/>
  <c r="D381" i="71"/>
  <c r="F12" i="71"/>
  <c r="G12" i="71"/>
  <c r="H12" i="71"/>
  <c r="D13" i="71"/>
  <c r="E13" i="71"/>
  <c r="F13" i="71"/>
  <c r="G13" i="71"/>
  <c r="H13" i="71"/>
  <c r="D14" i="71"/>
  <c r="E14" i="71"/>
  <c r="F14" i="71"/>
  <c r="G14" i="71"/>
  <c r="H14" i="71"/>
  <c r="G11" i="71"/>
  <c r="H11" i="71"/>
  <c r="D44" i="71" l="1"/>
  <c r="D28" i="71"/>
  <c r="D36" i="71"/>
  <c r="D52" i="71"/>
  <c r="C446" i="71" l="1"/>
  <c r="C445" i="71"/>
  <c r="C444" i="71"/>
  <c r="C443" i="71"/>
  <c r="H442" i="71"/>
  <c r="G442" i="71"/>
  <c r="F442" i="71"/>
  <c r="E442" i="71"/>
  <c r="D442" i="71"/>
  <c r="C438" i="71"/>
  <c r="C437" i="71"/>
  <c r="C436" i="71"/>
  <c r="C435" i="71"/>
  <c r="H434" i="71"/>
  <c r="G434" i="71"/>
  <c r="F434" i="71"/>
  <c r="E434" i="71"/>
  <c r="D434" i="71"/>
  <c r="C442" i="71" l="1"/>
  <c r="C434" i="71"/>
  <c r="E812" i="71" l="1"/>
  <c r="D814" i="71"/>
  <c r="D813" i="71"/>
  <c r="D812" i="71"/>
  <c r="E846" i="71"/>
  <c r="E845" i="71"/>
  <c r="E844" i="71"/>
  <c r="D846" i="71"/>
  <c r="D845" i="71"/>
  <c r="D844" i="71"/>
  <c r="E919" i="71" l="1"/>
  <c r="E918" i="71"/>
  <c r="E917" i="71"/>
  <c r="D918" i="71"/>
  <c r="D917" i="71"/>
  <c r="D779" i="71" s="1"/>
  <c r="F563" i="71" l="1"/>
  <c r="C246" i="71" l="1"/>
  <c r="C245" i="71"/>
  <c r="C244" i="71"/>
  <c r="C243" i="71"/>
  <c r="H242" i="71"/>
  <c r="G242" i="71"/>
  <c r="F242" i="71"/>
  <c r="E242" i="71"/>
  <c r="D242" i="71"/>
  <c r="C238" i="71"/>
  <c r="C237" i="71"/>
  <c r="C236" i="71"/>
  <c r="C235" i="71"/>
  <c r="H234" i="71"/>
  <c r="G234" i="71"/>
  <c r="F234" i="71"/>
  <c r="E234" i="71"/>
  <c r="D234" i="71"/>
  <c r="C230" i="71"/>
  <c r="C229" i="71"/>
  <c r="C228" i="71"/>
  <c r="C227" i="71"/>
  <c r="H226" i="71"/>
  <c r="G226" i="71"/>
  <c r="F226" i="71"/>
  <c r="E226" i="71"/>
  <c r="D226" i="71"/>
  <c r="C222" i="71"/>
  <c r="C221" i="71"/>
  <c r="C220" i="71"/>
  <c r="C219" i="71"/>
  <c r="H218" i="71"/>
  <c r="G218" i="71"/>
  <c r="F218" i="71"/>
  <c r="E218" i="71"/>
  <c r="D218" i="71"/>
  <c r="C214" i="71"/>
  <c r="C213" i="71"/>
  <c r="C212" i="71"/>
  <c r="C211" i="71"/>
  <c r="H210" i="71"/>
  <c r="G210" i="71"/>
  <c r="F210" i="71"/>
  <c r="E210" i="71"/>
  <c r="D210" i="71"/>
  <c r="C206" i="71"/>
  <c r="C205" i="71"/>
  <c r="C204" i="71"/>
  <c r="C203" i="71"/>
  <c r="H202" i="71"/>
  <c r="G202" i="71"/>
  <c r="F202" i="71"/>
  <c r="E202" i="71"/>
  <c r="D202" i="71"/>
  <c r="C198" i="71"/>
  <c r="C197" i="71"/>
  <c r="C196" i="71"/>
  <c r="C195" i="71"/>
  <c r="H194" i="71"/>
  <c r="G194" i="71"/>
  <c r="F194" i="71"/>
  <c r="E194" i="71"/>
  <c r="D194" i="71"/>
  <c r="C190" i="71"/>
  <c r="C189" i="71"/>
  <c r="C188" i="71"/>
  <c r="C187" i="71"/>
  <c r="H186" i="71"/>
  <c r="G186" i="71"/>
  <c r="F186" i="71"/>
  <c r="E186" i="71"/>
  <c r="D186" i="71"/>
  <c r="C182" i="71"/>
  <c r="C181" i="71"/>
  <c r="C180" i="71"/>
  <c r="C179" i="71"/>
  <c r="H178" i="71"/>
  <c r="G178" i="71"/>
  <c r="F178" i="71"/>
  <c r="E178" i="71"/>
  <c r="D178" i="71"/>
  <c r="C174" i="71"/>
  <c r="C173" i="71"/>
  <c r="C172" i="71"/>
  <c r="C171" i="71"/>
  <c r="H170" i="71"/>
  <c r="G170" i="71"/>
  <c r="F170" i="71"/>
  <c r="E170" i="71"/>
  <c r="D170" i="71"/>
  <c r="C166" i="71"/>
  <c r="C165" i="71"/>
  <c r="C164" i="71"/>
  <c r="C163" i="71"/>
  <c r="H162" i="71"/>
  <c r="G162" i="71"/>
  <c r="F162" i="71"/>
  <c r="E162" i="71"/>
  <c r="D162" i="71"/>
  <c r="C158" i="71"/>
  <c r="C157" i="71"/>
  <c r="C156" i="71"/>
  <c r="C155" i="71"/>
  <c r="H154" i="71"/>
  <c r="G154" i="71"/>
  <c r="F154" i="71"/>
  <c r="E154" i="71"/>
  <c r="D154" i="71"/>
  <c r="C150" i="71"/>
  <c r="C149" i="71"/>
  <c r="C148" i="71"/>
  <c r="C147" i="71"/>
  <c r="H146" i="71"/>
  <c r="G146" i="71"/>
  <c r="F146" i="71"/>
  <c r="E146" i="71"/>
  <c r="D146" i="71"/>
  <c r="C142" i="71"/>
  <c r="C141" i="71"/>
  <c r="C140" i="71"/>
  <c r="C139" i="71"/>
  <c r="H138" i="71"/>
  <c r="G138" i="71"/>
  <c r="F138" i="71"/>
  <c r="E138" i="71"/>
  <c r="D138" i="71"/>
  <c r="C134" i="71"/>
  <c r="C133" i="71"/>
  <c r="C132" i="71"/>
  <c r="C131" i="71"/>
  <c r="H130" i="71"/>
  <c r="G130" i="71"/>
  <c r="F130" i="71"/>
  <c r="E130" i="71"/>
  <c r="D130" i="71"/>
  <c r="C126" i="71"/>
  <c r="C125" i="71"/>
  <c r="C124" i="71"/>
  <c r="C123" i="71"/>
  <c r="H122" i="71"/>
  <c r="G122" i="71"/>
  <c r="F122" i="71"/>
  <c r="E122" i="71"/>
  <c r="D122" i="71"/>
  <c r="C118" i="71"/>
  <c r="C117" i="71"/>
  <c r="C116" i="71"/>
  <c r="C115" i="71"/>
  <c r="H114" i="71"/>
  <c r="G114" i="71"/>
  <c r="F114" i="71"/>
  <c r="E114" i="71"/>
  <c r="D114" i="71"/>
  <c r="C110" i="71"/>
  <c r="C109" i="71"/>
  <c r="C108" i="71"/>
  <c r="C107" i="71"/>
  <c r="H106" i="71"/>
  <c r="G106" i="71"/>
  <c r="F106" i="71"/>
  <c r="E106" i="71"/>
  <c r="D106" i="71"/>
  <c r="C102" i="71"/>
  <c r="C101" i="71"/>
  <c r="C100" i="71"/>
  <c r="C99" i="71"/>
  <c r="H98" i="71"/>
  <c r="G98" i="71"/>
  <c r="F98" i="71"/>
  <c r="E98" i="71"/>
  <c r="D98" i="71"/>
  <c r="C94" i="71"/>
  <c r="C93" i="71"/>
  <c r="C92" i="71"/>
  <c r="C91" i="71"/>
  <c r="H90" i="71"/>
  <c r="G90" i="71"/>
  <c r="F90" i="71"/>
  <c r="E90" i="71"/>
  <c r="D90" i="71"/>
  <c r="C86" i="71"/>
  <c r="C85" i="71"/>
  <c r="C84" i="71"/>
  <c r="C83" i="71"/>
  <c r="H82" i="71"/>
  <c r="G82" i="71"/>
  <c r="F82" i="71"/>
  <c r="E82" i="71"/>
  <c r="D82" i="71"/>
  <c r="C78" i="71"/>
  <c r="C77" i="71"/>
  <c r="C76" i="71"/>
  <c r="C75" i="71"/>
  <c r="H74" i="71"/>
  <c r="G74" i="71"/>
  <c r="F74" i="71"/>
  <c r="E74" i="71"/>
  <c r="D74" i="71"/>
  <c r="C70" i="71"/>
  <c r="C69" i="71"/>
  <c r="C68" i="71"/>
  <c r="C67" i="71"/>
  <c r="H66" i="71"/>
  <c r="G66" i="71"/>
  <c r="F66" i="71"/>
  <c r="E66" i="71"/>
  <c r="D66" i="71"/>
  <c r="C114" i="71" l="1"/>
  <c r="C82" i="71"/>
  <c r="C138" i="71"/>
  <c r="C162" i="71"/>
  <c r="C210" i="71"/>
  <c r="C226" i="71"/>
  <c r="C202" i="71"/>
  <c r="C218" i="71"/>
  <c r="C146" i="71"/>
  <c r="C194" i="71"/>
  <c r="C66" i="71"/>
  <c r="C186" i="71"/>
  <c r="C74" i="71"/>
  <c r="C98" i="71"/>
  <c r="C130" i="71"/>
  <c r="C178" i="71"/>
  <c r="C90" i="71"/>
  <c r="C122" i="71"/>
  <c r="C170" i="71"/>
  <c r="C234" i="71"/>
  <c r="C154" i="71"/>
  <c r="C106" i="71"/>
  <c r="C242" i="71"/>
  <c r="G483" i="71" l="1"/>
  <c r="H483" i="71"/>
  <c r="F548" i="71"/>
  <c r="F483" i="71" s="1"/>
  <c r="F546" i="71"/>
  <c r="F481" i="71" s="1"/>
  <c r="F545" i="71"/>
  <c r="E548" i="71"/>
  <c r="E483" i="71" s="1"/>
  <c r="E546" i="71"/>
  <c r="E481" i="71" s="1"/>
  <c r="E545" i="71"/>
  <c r="E480" i="71" s="1"/>
  <c r="D548" i="71"/>
  <c r="D546" i="71"/>
  <c r="D545" i="71"/>
  <c r="C539" i="71" l="1"/>
  <c r="C538" i="71"/>
  <c r="C537" i="71"/>
  <c r="C536" i="71"/>
  <c r="H535" i="71"/>
  <c r="G535" i="71"/>
  <c r="F535" i="71"/>
  <c r="E535" i="71"/>
  <c r="D535" i="71"/>
  <c r="C535" i="71" l="1"/>
  <c r="C531" i="71"/>
  <c r="C530" i="71"/>
  <c r="C529" i="71"/>
  <c r="C528" i="71"/>
  <c r="H527" i="71"/>
  <c r="G527" i="71"/>
  <c r="F527" i="71"/>
  <c r="E527" i="71"/>
  <c r="D527" i="71"/>
  <c r="C523" i="71"/>
  <c r="C522" i="71"/>
  <c r="C521" i="71"/>
  <c r="C520" i="71"/>
  <c r="H519" i="71"/>
  <c r="G519" i="71"/>
  <c r="F519" i="71"/>
  <c r="E519" i="71"/>
  <c r="D519" i="71"/>
  <c r="C515" i="71"/>
  <c r="C514" i="71"/>
  <c r="C513" i="71"/>
  <c r="C512" i="71"/>
  <c r="H511" i="71"/>
  <c r="G511" i="71"/>
  <c r="F511" i="71"/>
  <c r="E511" i="71"/>
  <c r="D511" i="71"/>
  <c r="C507" i="71"/>
  <c r="C506" i="71"/>
  <c r="C505" i="71"/>
  <c r="C504" i="71"/>
  <c r="H503" i="71"/>
  <c r="G503" i="71"/>
  <c r="F503" i="71"/>
  <c r="E503" i="71"/>
  <c r="D503" i="71"/>
  <c r="D829" i="71"/>
  <c r="D12" i="71"/>
  <c r="D59" i="71"/>
  <c r="C59" i="71" s="1"/>
  <c r="F51" i="71"/>
  <c r="F11" i="71" s="1"/>
  <c r="E51" i="71"/>
  <c r="E11" i="71" s="1"/>
  <c r="C62" i="71"/>
  <c r="C61" i="71"/>
  <c r="H58" i="71"/>
  <c r="G58" i="71"/>
  <c r="F58" i="71"/>
  <c r="E58" i="71"/>
  <c r="C511" i="71" l="1"/>
  <c r="C60" i="71"/>
  <c r="C503" i="71"/>
  <c r="C527" i="71"/>
  <c r="D58" i="71"/>
  <c r="C58" i="71" s="1"/>
  <c r="C519" i="71"/>
  <c r="C656" i="71" l="1"/>
  <c r="C655" i="71"/>
  <c r="C654" i="71"/>
  <c r="C653" i="71"/>
  <c r="C652" i="71"/>
  <c r="H651" i="71"/>
  <c r="G651" i="71"/>
  <c r="F651" i="71"/>
  <c r="E651" i="71"/>
  <c r="D651" i="71"/>
  <c r="C647" i="71"/>
  <c r="C646" i="71"/>
  <c r="C645" i="71"/>
  <c r="C644" i="71"/>
  <c r="C643" i="71"/>
  <c r="H642" i="71"/>
  <c r="G642" i="71"/>
  <c r="F642" i="71"/>
  <c r="E642" i="71"/>
  <c r="D642" i="71"/>
  <c r="C638" i="71"/>
  <c r="C637" i="71"/>
  <c r="C636" i="71"/>
  <c r="C635" i="71"/>
  <c r="C634" i="71"/>
  <c r="H633" i="71"/>
  <c r="G633" i="71"/>
  <c r="F633" i="71"/>
  <c r="E633" i="71"/>
  <c r="D633" i="71"/>
  <c r="C629" i="71"/>
  <c r="C628" i="71"/>
  <c r="C627" i="71"/>
  <c r="C626" i="71"/>
  <c r="C625" i="71"/>
  <c r="H624" i="71"/>
  <c r="G624" i="71"/>
  <c r="F624" i="71"/>
  <c r="E624" i="71"/>
  <c r="D624" i="71"/>
  <c r="C620" i="71"/>
  <c r="C619" i="71"/>
  <c r="C618" i="71"/>
  <c r="C617" i="71"/>
  <c r="C616" i="71"/>
  <c r="H615" i="71"/>
  <c r="G615" i="71"/>
  <c r="F615" i="71"/>
  <c r="E615" i="71"/>
  <c r="D615" i="71"/>
  <c r="D584" i="71"/>
  <c r="D582" i="71"/>
  <c r="D581" i="71"/>
  <c r="C651" i="71" l="1"/>
  <c r="C633" i="71"/>
  <c r="C624" i="71"/>
  <c r="C642" i="71"/>
  <c r="C615" i="71"/>
  <c r="D575" i="71" l="1"/>
  <c r="D566" i="71" l="1"/>
  <c r="D564" i="71"/>
  <c r="D481" i="71" s="1"/>
  <c r="D563" i="71"/>
  <c r="C563" i="71" s="1"/>
  <c r="C611" i="71"/>
  <c r="C610" i="71"/>
  <c r="C609" i="71"/>
  <c r="C608" i="71"/>
  <c r="C607" i="71"/>
  <c r="H606" i="71"/>
  <c r="G606" i="71"/>
  <c r="F606" i="71"/>
  <c r="E606" i="71"/>
  <c r="D606" i="71"/>
  <c r="C602" i="71"/>
  <c r="C601" i="71"/>
  <c r="C600" i="71"/>
  <c r="C599" i="71"/>
  <c r="C598" i="71"/>
  <c r="H597" i="71"/>
  <c r="G597" i="71"/>
  <c r="F597" i="71"/>
  <c r="E597" i="71"/>
  <c r="D597" i="71"/>
  <c r="C593" i="71"/>
  <c r="C592" i="71"/>
  <c r="C591" i="71"/>
  <c r="C590" i="71"/>
  <c r="C589" i="71"/>
  <c r="H588" i="71"/>
  <c r="G588" i="71"/>
  <c r="F588" i="71"/>
  <c r="E588" i="71"/>
  <c r="D588" i="71"/>
  <c r="C584" i="71"/>
  <c r="C583" i="71"/>
  <c r="C582" i="71"/>
  <c r="C581" i="71"/>
  <c r="C580" i="71"/>
  <c r="H579" i="71"/>
  <c r="G579" i="71"/>
  <c r="F579" i="71"/>
  <c r="E579" i="71"/>
  <c r="D579" i="71"/>
  <c r="C575" i="71"/>
  <c r="C574" i="71"/>
  <c r="C573" i="71"/>
  <c r="C572" i="71"/>
  <c r="C571" i="71"/>
  <c r="H570" i="71"/>
  <c r="G570" i="71"/>
  <c r="F570" i="71"/>
  <c r="E570" i="71"/>
  <c r="D570" i="71"/>
  <c r="C565" i="71"/>
  <c r="C562" i="71"/>
  <c r="H561" i="71"/>
  <c r="G561" i="71"/>
  <c r="F561" i="71"/>
  <c r="E561" i="71"/>
  <c r="D561" i="71"/>
  <c r="C557" i="71"/>
  <c r="C556" i="71"/>
  <c r="C555" i="71"/>
  <c r="C554" i="71"/>
  <c r="C553" i="71"/>
  <c r="H552" i="71"/>
  <c r="G552" i="71"/>
  <c r="F552" i="71"/>
  <c r="E552" i="71"/>
  <c r="D552" i="71"/>
  <c r="C564" i="71" l="1"/>
  <c r="C566" i="71"/>
  <c r="D483" i="71"/>
  <c r="C588" i="71"/>
  <c r="C579" i="71"/>
  <c r="C552" i="71"/>
  <c r="C561" i="71"/>
  <c r="C570" i="71"/>
  <c r="C597" i="71"/>
  <c r="C606" i="71"/>
  <c r="D774" i="71" l="1"/>
  <c r="C776" i="71"/>
  <c r="C775" i="71"/>
  <c r="C774" i="71"/>
  <c r="C773" i="71"/>
  <c r="H772" i="71"/>
  <c r="G772" i="71"/>
  <c r="F772" i="71"/>
  <c r="E772" i="71"/>
  <c r="D772" i="71"/>
  <c r="D766" i="71"/>
  <c r="C766" i="71" s="1"/>
  <c r="C768" i="71"/>
  <c r="C767" i="71"/>
  <c r="C765" i="71"/>
  <c r="H764" i="71"/>
  <c r="G764" i="71"/>
  <c r="F764" i="71"/>
  <c r="E764" i="71"/>
  <c r="C772" i="71" l="1"/>
  <c r="D764" i="71"/>
  <c r="C764" i="71" s="1"/>
  <c r="D758" i="71" l="1"/>
  <c r="C758" i="71" s="1"/>
  <c r="C760" i="71"/>
  <c r="C759" i="71"/>
  <c r="C757" i="71"/>
  <c r="H756" i="71"/>
  <c r="G756" i="71"/>
  <c r="F756" i="71"/>
  <c r="E756" i="71"/>
  <c r="D750" i="71"/>
  <c r="D756" i="71" l="1"/>
  <c r="C756" i="71"/>
  <c r="C752" i="71"/>
  <c r="C751" i="71"/>
  <c r="C750" i="71"/>
  <c r="F748" i="71"/>
  <c r="C749" i="71"/>
  <c r="H748" i="71"/>
  <c r="G748" i="71"/>
  <c r="E748" i="71"/>
  <c r="D748" i="71"/>
  <c r="C748" i="71" l="1"/>
  <c r="D686" i="71"/>
  <c r="D480" i="71" s="1"/>
  <c r="E1135" i="71"/>
  <c r="F1135" i="71"/>
  <c r="G1135" i="71"/>
  <c r="H1135" i="71"/>
  <c r="F1136" i="71"/>
  <c r="G1136" i="71"/>
  <c r="H1136" i="71"/>
  <c r="F1137" i="71"/>
  <c r="G1137" i="71"/>
  <c r="H1137" i="71"/>
  <c r="E1138" i="71"/>
  <c r="F1138" i="71"/>
  <c r="G1138" i="71"/>
  <c r="H1138" i="71"/>
  <c r="D1138" i="71"/>
  <c r="E1161" i="71"/>
  <c r="E1160" i="71"/>
  <c r="D1161" i="71"/>
  <c r="D1160" i="71"/>
  <c r="E1153" i="71"/>
  <c r="E1152" i="71"/>
  <c r="E1136" i="71" s="1"/>
  <c r="D1153" i="71"/>
  <c r="D1152" i="71"/>
  <c r="C1162" i="71"/>
  <c r="C1159" i="71"/>
  <c r="H1158" i="71"/>
  <c r="G1158" i="71"/>
  <c r="F1158" i="71"/>
  <c r="C1154" i="71"/>
  <c r="C1151" i="71"/>
  <c r="H1150" i="71"/>
  <c r="G1150" i="71"/>
  <c r="F1150" i="71"/>
  <c r="C1146" i="71"/>
  <c r="C1145" i="71"/>
  <c r="C1144" i="71"/>
  <c r="C1143" i="71"/>
  <c r="H1142" i="71"/>
  <c r="G1142" i="71"/>
  <c r="F1142" i="71"/>
  <c r="E1142" i="71"/>
  <c r="D1142" i="71"/>
  <c r="D1150" i="71" l="1"/>
  <c r="C1160" i="71"/>
  <c r="C1153" i="71"/>
  <c r="C1161" i="71"/>
  <c r="D1137" i="71"/>
  <c r="C1152" i="71"/>
  <c r="D1136" i="71"/>
  <c r="E1150" i="71"/>
  <c r="C1150" i="71" s="1"/>
  <c r="D1158" i="71"/>
  <c r="E1137" i="71"/>
  <c r="E1158" i="71"/>
  <c r="C1142" i="71"/>
  <c r="C1158" i="71" l="1"/>
  <c r="F321" i="71"/>
  <c r="F249" i="71" s="1"/>
  <c r="F320" i="71"/>
  <c r="G320" i="71"/>
  <c r="H320" i="71"/>
  <c r="D320" i="71"/>
  <c r="E312" i="71"/>
  <c r="E321" i="71"/>
  <c r="E320" i="71" s="1"/>
  <c r="C321" i="71"/>
  <c r="C322" i="71"/>
  <c r="C323" i="71"/>
  <c r="C324" i="71"/>
  <c r="C320" i="71" l="1"/>
  <c r="E265" i="71" l="1"/>
  <c r="E249" i="71" s="1"/>
  <c r="D265" i="71"/>
  <c r="D257" i="71"/>
  <c r="D249" i="71" s="1"/>
  <c r="F742" i="71" l="1"/>
  <c r="F741" i="71"/>
  <c r="F734" i="71"/>
  <c r="C734" i="71" s="1"/>
  <c r="F733" i="71"/>
  <c r="C733" i="71" s="1"/>
  <c r="F740" i="71"/>
  <c r="F726" i="71"/>
  <c r="F480" i="71" s="1"/>
  <c r="F725" i="71"/>
  <c r="C744" i="71"/>
  <c r="C743" i="71"/>
  <c r="C742" i="71"/>
  <c r="C741" i="71"/>
  <c r="H740" i="71"/>
  <c r="G740" i="71"/>
  <c r="E740" i="71"/>
  <c r="D740" i="71"/>
  <c r="C736" i="71"/>
  <c r="C735" i="71"/>
  <c r="H732" i="71"/>
  <c r="G732" i="71"/>
  <c r="E732" i="71"/>
  <c r="D732" i="71"/>
  <c r="F479" i="71" l="1"/>
  <c r="F732" i="71"/>
  <c r="C732" i="71" s="1"/>
  <c r="C740" i="71"/>
  <c r="C728" i="71" l="1"/>
  <c r="C727" i="71"/>
  <c r="C726" i="71"/>
  <c r="C725" i="71"/>
  <c r="H724" i="71"/>
  <c r="G724" i="71"/>
  <c r="F724" i="71"/>
  <c r="E724" i="71"/>
  <c r="D724" i="71"/>
  <c r="C724" i="71" l="1"/>
  <c r="F919" i="71" l="1"/>
  <c r="F918" i="71"/>
  <c r="F846" i="71"/>
  <c r="F845" i="71"/>
  <c r="G779" i="71" l="1"/>
  <c r="H779" i="71"/>
  <c r="E780" i="71"/>
  <c r="F780" i="71"/>
  <c r="G780" i="71"/>
  <c r="H780" i="71"/>
  <c r="E781" i="71"/>
  <c r="F781" i="71"/>
  <c r="G781" i="71"/>
  <c r="H781" i="71"/>
  <c r="E782" i="71"/>
  <c r="F782" i="71"/>
  <c r="G782" i="71"/>
  <c r="H782" i="71"/>
  <c r="D780" i="71"/>
  <c r="D1261" i="71" s="1"/>
  <c r="D781" i="71"/>
  <c r="D782" i="71"/>
  <c r="F779" i="71"/>
  <c r="E779" i="71"/>
  <c r="C920" i="71" l="1"/>
  <c r="C919" i="71"/>
  <c r="C918" i="71"/>
  <c r="C917" i="71"/>
  <c r="H916" i="71"/>
  <c r="G916" i="71"/>
  <c r="F916" i="71"/>
  <c r="E916" i="71"/>
  <c r="D916" i="71"/>
  <c r="C916" i="71" l="1"/>
  <c r="E457" i="71"/>
  <c r="F457" i="71"/>
  <c r="G457" i="71"/>
  <c r="H457" i="71"/>
  <c r="E458" i="71"/>
  <c r="E1261" i="71" s="1"/>
  <c r="F458" i="71"/>
  <c r="G458" i="71"/>
  <c r="H458" i="71"/>
  <c r="E459" i="71"/>
  <c r="F459" i="71"/>
  <c r="G459" i="71"/>
  <c r="H459" i="71"/>
  <c r="E460" i="71"/>
  <c r="F460" i="71"/>
  <c r="G460" i="71"/>
  <c r="H460" i="71"/>
  <c r="D458" i="71"/>
  <c r="D459" i="71"/>
  <c r="D460" i="71"/>
  <c r="E1232" i="71"/>
  <c r="G1231" i="71"/>
  <c r="H1231" i="71"/>
  <c r="E1233" i="71"/>
  <c r="E1234" i="71"/>
  <c r="F1231" i="71"/>
  <c r="E1235" i="71"/>
  <c r="D1233" i="71"/>
  <c r="D1234" i="71"/>
  <c r="D1235" i="71"/>
  <c r="C1243" i="71"/>
  <c r="C1242" i="71"/>
  <c r="C1241" i="71"/>
  <c r="C1240" i="71"/>
  <c r="H1239" i="71"/>
  <c r="G1239" i="71"/>
  <c r="F1239" i="71"/>
  <c r="E1239" i="71"/>
  <c r="D1239" i="71"/>
  <c r="E1231" i="71" l="1"/>
  <c r="C1235" i="71"/>
  <c r="D1231" i="71"/>
  <c r="C1239" i="71"/>
  <c r="C1233" i="71"/>
  <c r="C1232" i="71"/>
  <c r="C1234" i="71"/>
  <c r="E1217" i="71"/>
  <c r="F1217" i="71"/>
  <c r="G1217" i="71"/>
  <c r="H1217" i="71"/>
  <c r="E1218" i="71"/>
  <c r="F1218" i="71"/>
  <c r="G1218" i="71"/>
  <c r="H1218" i="71"/>
  <c r="E1219" i="71"/>
  <c r="F1219" i="71"/>
  <c r="G1219" i="71"/>
  <c r="H1219" i="71"/>
  <c r="E1220" i="71"/>
  <c r="F1220" i="71"/>
  <c r="G1220" i="71"/>
  <c r="H1220" i="71"/>
  <c r="E1221" i="71"/>
  <c r="F1221" i="71"/>
  <c r="G1221" i="71"/>
  <c r="H1221" i="71"/>
  <c r="D1218" i="71"/>
  <c r="D1219" i="71"/>
  <c r="D1220" i="71"/>
  <c r="D1221" i="71"/>
  <c r="C1231" i="71" l="1"/>
  <c r="E907" i="71"/>
  <c r="F907" i="71"/>
  <c r="E883" i="71"/>
  <c r="F883" i="71"/>
  <c r="E891" i="71"/>
  <c r="F891" i="71"/>
  <c r="E899" i="71"/>
  <c r="F899" i="71"/>
  <c r="E875" i="71"/>
  <c r="F875" i="71"/>
  <c r="E867" i="71"/>
  <c r="F867" i="71"/>
  <c r="F859" i="71"/>
  <c r="E851" i="71"/>
  <c r="F851" i="71"/>
  <c r="F811" i="71" l="1"/>
  <c r="E803" i="71"/>
  <c r="F803" i="71"/>
  <c r="F795" i="71"/>
  <c r="E1114" i="71" l="1"/>
  <c r="F1114" i="71"/>
  <c r="E1106" i="71"/>
  <c r="F1106" i="71"/>
  <c r="E1098" i="71"/>
  <c r="F1098" i="71"/>
  <c r="E1090" i="71"/>
  <c r="F1090" i="71"/>
  <c r="E1082" i="71"/>
  <c r="F1082" i="71"/>
  <c r="E1074" i="71"/>
  <c r="F1074" i="71"/>
  <c r="E1066" i="71"/>
  <c r="F1066" i="71"/>
  <c r="E1058" i="71"/>
  <c r="F1058" i="71"/>
  <c r="F1050" i="71"/>
  <c r="F1042" i="71"/>
  <c r="E1034" i="71"/>
  <c r="F1034" i="71"/>
  <c r="F1026" i="71"/>
  <c r="E1018" i="71"/>
  <c r="F1018" i="71"/>
  <c r="E1010" i="71"/>
  <c r="F1010" i="71"/>
  <c r="F1002" i="71"/>
  <c r="E994" i="71"/>
  <c r="F994" i="71"/>
  <c r="E986" i="71"/>
  <c r="F986" i="71"/>
  <c r="F978" i="71"/>
  <c r="E970" i="71"/>
  <c r="F970" i="71"/>
  <c r="E962" i="71"/>
  <c r="F962" i="71"/>
  <c r="E954" i="71"/>
  <c r="F954" i="71"/>
  <c r="E946" i="71"/>
  <c r="F946" i="71"/>
  <c r="E835" i="71" l="1"/>
  <c r="F835" i="71"/>
  <c r="E827" i="71"/>
  <c r="F827" i="71"/>
  <c r="E716" i="71"/>
  <c r="F716" i="71"/>
  <c r="E692" i="71"/>
  <c r="F692" i="71"/>
  <c r="E684" i="71"/>
  <c r="F684" i="71"/>
  <c r="E676" i="71"/>
  <c r="F676" i="71"/>
  <c r="E668" i="71"/>
  <c r="F668" i="71"/>
  <c r="E660" i="71"/>
  <c r="F660" i="71"/>
  <c r="F495" i="71"/>
  <c r="E487" i="71"/>
  <c r="F487" i="71"/>
  <c r="E450" i="71"/>
  <c r="F450" i="71"/>
  <c r="E366" i="71"/>
  <c r="D51" i="71" s="1"/>
  <c r="D11" i="71" s="1"/>
  <c r="F366" i="71"/>
  <c r="E404" i="71"/>
  <c r="F412" i="71"/>
  <c r="E426" i="71"/>
  <c r="F426" i="71"/>
  <c r="E388" i="71"/>
  <c r="F388" i="71"/>
  <c r="E358" i="71"/>
  <c r="E42" i="71"/>
  <c r="F42" i="71"/>
  <c r="E26" i="71"/>
  <c r="F26" i="71"/>
  <c r="E34" i="71"/>
  <c r="F34" i="71"/>
  <c r="E304" i="71" l="1"/>
  <c r="F304" i="71"/>
  <c r="E296" i="71"/>
  <c r="F296" i="71"/>
  <c r="F280" i="71"/>
  <c r="E288" i="71"/>
  <c r="F288" i="71"/>
  <c r="E272" i="71"/>
  <c r="F272" i="71"/>
  <c r="F264" i="71"/>
  <c r="E256" i="71"/>
  <c r="F256" i="71"/>
  <c r="C259" i="71"/>
  <c r="C258" i="71"/>
  <c r="F472" i="71" l="1"/>
  <c r="E1188" i="71" l="1"/>
  <c r="F1180" i="71"/>
  <c r="F1172" i="71"/>
  <c r="C548" i="71" l="1"/>
  <c r="C21" i="71"/>
  <c r="C22" i="71"/>
  <c r="C1130" i="71" l="1"/>
  <c r="D783" i="71" l="1"/>
  <c r="D1264" i="71" s="1"/>
  <c r="E783" i="71"/>
  <c r="E1264" i="71" s="1"/>
  <c r="F783" i="71"/>
  <c r="F1264" i="71" s="1"/>
  <c r="G783" i="71"/>
  <c r="G1264" i="71" s="1"/>
  <c r="H783" i="71"/>
  <c r="H1264" i="71" s="1"/>
  <c r="C1264" i="71" l="1"/>
  <c r="C483" i="71"/>
  <c r="C783" i="71"/>
  <c r="C1229" i="71" l="1"/>
  <c r="C1228" i="71"/>
  <c r="C1227" i="71"/>
  <c r="C1226" i="71"/>
  <c r="H1225" i="71"/>
  <c r="G1225" i="71"/>
  <c r="F1225" i="71"/>
  <c r="E1225" i="71"/>
  <c r="D1225" i="71"/>
  <c r="E1122" i="71"/>
  <c r="F1122" i="71"/>
  <c r="E1123" i="71"/>
  <c r="F1123" i="71"/>
  <c r="E1124" i="71"/>
  <c r="F1124" i="71"/>
  <c r="F1121" i="71"/>
  <c r="F1120" i="71" l="1"/>
  <c r="C1225" i="71"/>
  <c r="D924" i="71"/>
  <c r="E923" i="71"/>
  <c r="F923" i="71"/>
  <c r="G923" i="71"/>
  <c r="H923" i="71"/>
  <c r="E924" i="71"/>
  <c r="F924" i="71"/>
  <c r="G924" i="71"/>
  <c r="H924" i="71"/>
  <c r="D925" i="71"/>
  <c r="E925" i="71"/>
  <c r="F925" i="71"/>
  <c r="G925" i="71"/>
  <c r="H925" i="71"/>
  <c r="D926" i="71"/>
  <c r="E926" i="71"/>
  <c r="F926" i="71"/>
  <c r="G926" i="71"/>
  <c r="H926" i="71"/>
  <c r="E708" i="71"/>
  <c r="F708" i="71"/>
  <c r="C313" i="71"/>
  <c r="C314" i="71"/>
  <c r="C315" i="71"/>
  <c r="C316" i="71"/>
  <c r="H312" i="71"/>
  <c r="G312" i="71"/>
  <c r="F312" i="71"/>
  <c r="D312" i="71"/>
  <c r="C312" i="71" l="1"/>
  <c r="C923" i="71"/>
  <c r="C924" i="71"/>
  <c r="C250" i="71"/>
  <c r="C249" i="71"/>
  <c r="C252" i="71"/>
  <c r="C251" i="71"/>
  <c r="C359" i="71"/>
  <c r="C361" i="71"/>
  <c r="C362" i="71"/>
  <c r="C360" i="71"/>
  <c r="H358" i="71"/>
  <c r="G358" i="71"/>
  <c r="F358" i="71"/>
  <c r="D358" i="71"/>
  <c r="C358" i="71" l="1"/>
  <c r="C248" i="71"/>
  <c r="C354" i="71"/>
  <c r="C353" i="71"/>
  <c r="C351" i="71"/>
  <c r="C352" i="71"/>
  <c r="F18" i="71"/>
  <c r="G18" i="71"/>
  <c r="H18" i="71"/>
  <c r="C350" i="71" l="1"/>
  <c r="C460" i="71" l="1"/>
  <c r="C458" i="71"/>
  <c r="C457" i="71"/>
  <c r="C459" i="71"/>
  <c r="C297" i="71"/>
  <c r="C305" i="71"/>
  <c r="C307" i="71"/>
  <c r="C308" i="71"/>
  <c r="C306" i="71"/>
  <c r="C299" i="71"/>
  <c r="C300" i="71"/>
  <c r="C298" i="71"/>
  <c r="C290" i="71"/>
  <c r="C291" i="71"/>
  <c r="C292" i="71"/>
  <c r="C289" i="71"/>
  <c r="C281" i="71"/>
  <c r="C283" i="71"/>
  <c r="C284" i="71"/>
  <c r="C282" i="71"/>
  <c r="C274" i="71"/>
  <c r="C273" i="71"/>
  <c r="C275" i="71"/>
  <c r="C276" i="71"/>
  <c r="E381" i="71"/>
  <c r="F381" i="71"/>
  <c r="G381" i="71"/>
  <c r="H381" i="71"/>
  <c r="D382" i="71"/>
  <c r="E382" i="71"/>
  <c r="F382" i="71"/>
  <c r="G382" i="71"/>
  <c r="H382" i="71"/>
  <c r="D383" i="71"/>
  <c r="E383" i="71"/>
  <c r="F383" i="71"/>
  <c r="G383" i="71"/>
  <c r="H383" i="71"/>
  <c r="D384" i="71"/>
  <c r="E384" i="71"/>
  <c r="F384" i="71"/>
  <c r="G384" i="71"/>
  <c r="H384" i="71"/>
  <c r="C414" i="71"/>
  <c r="C413" i="71"/>
  <c r="C384" i="71" l="1"/>
  <c r="C456" i="71"/>
  <c r="D380" i="71"/>
  <c r="C381" i="71"/>
  <c r="C382" i="71"/>
  <c r="C383" i="71"/>
  <c r="C380" i="71" l="1"/>
  <c r="C475" i="71"/>
  <c r="C473" i="71"/>
  <c r="C476" i="71"/>
  <c r="C474" i="71"/>
  <c r="C465" i="71"/>
  <c r="C467" i="71"/>
  <c r="C468" i="71"/>
  <c r="C466" i="71"/>
  <c r="C1212" i="71" l="1"/>
  <c r="C1213" i="71"/>
  <c r="C1214" i="71"/>
  <c r="C1211" i="71"/>
  <c r="C1204" i="71"/>
  <c r="C1205" i="71"/>
  <c r="C1206" i="71"/>
  <c r="C1203" i="71"/>
  <c r="C717" i="71"/>
  <c r="C719" i="71"/>
  <c r="C720" i="71"/>
  <c r="C718" i="71"/>
  <c r="C702" i="71"/>
  <c r="C709" i="71"/>
  <c r="C711" i="71"/>
  <c r="C712" i="71"/>
  <c r="C710" i="71"/>
  <c r="C670" i="71"/>
  <c r="C1202" i="71" l="1"/>
  <c r="C451" i="71"/>
  <c r="C453" i="71"/>
  <c r="C454" i="71"/>
  <c r="C452" i="71"/>
  <c r="C405" i="71" l="1"/>
  <c r="C406" i="71"/>
  <c r="C407" i="71"/>
  <c r="C408" i="71"/>
  <c r="C397" i="71"/>
  <c r="C399" i="71"/>
  <c r="C400" i="71"/>
  <c r="C398" i="71"/>
  <c r="C390" i="71"/>
  <c r="C367" i="71" l="1"/>
  <c r="C369" i="71"/>
  <c r="C370" i="71"/>
  <c r="C368" i="71"/>
  <c r="C20" i="71"/>
  <c r="C908" i="71" l="1"/>
  <c r="C910" i="71"/>
  <c r="C911" i="71"/>
  <c r="C912" i="71"/>
  <c r="C909" i="71"/>
  <c r="C900" i="71"/>
  <c r="C902" i="71"/>
  <c r="C903" i="71"/>
  <c r="C901" i="71"/>
  <c r="C894" i="71"/>
  <c r="C892" i="71"/>
  <c r="C895" i="71"/>
  <c r="C893" i="71"/>
  <c r="C884" i="71"/>
  <c r="C886" i="71"/>
  <c r="C887" i="71"/>
  <c r="C885" i="71"/>
  <c r="C876" i="71"/>
  <c r="C878" i="71"/>
  <c r="C879" i="71"/>
  <c r="C877" i="71"/>
  <c r="C868" i="71"/>
  <c r="C870" i="71"/>
  <c r="C871" i="71"/>
  <c r="C869" i="71"/>
  <c r="C860" i="71"/>
  <c r="C862" i="71"/>
  <c r="C863" i="71"/>
  <c r="C861" i="71"/>
  <c r="C852" i="71"/>
  <c r="C854" i="71"/>
  <c r="C855" i="71"/>
  <c r="C853" i="71"/>
  <c r="C844" i="71"/>
  <c r="C846" i="71"/>
  <c r="C847" i="71"/>
  <c r="C845" i="71"/>
  <c r="C820" i="71"/>
  <c r="C822" i="71"/>
  <c r="C823" i="71"/>
  <c r="C821" i="71"/>
  <c r="C812" i="71"/>
  <c r="C814" i="71"/>
  <c r="C815" i="71"/>
  <c r="C813" i="71"/>
  <c r="C804" i="71"/>
  <c r="C806" i="71"/>
  <c r="C807" i="71"/>
  <c r="C805" i="71"/>
  <c r="C796" i="71"/>
  <c r="C798" i="71"/>
  <c r="C799" i="71"/>
  <c r="C797" i="71"/>
  <c r="C788" i="71"/>
  <c r="C790" i="71"/>
  <c r="C791" i="71"/>
  <c r="C789" i="71"/>
  <c r="D1167" i="71" l="1"/>
  <c r="D1166" i="71"/>
  <c r="C1189" i="71"/>
  <c r="C1191" i="71"/>
  <c r="C1192" i="71"/>
  <c r="C1190" i="71"/>
  <c r="C1181" i="71"/>
  <c r="C1183" i="71"/>
  <c r="C1184" i="71"/>
  <c r="C1182" i="71"/>
  <c r="C1173" i="71"/>
  <c r="C1175" i="71"/>
  <c r="C1176" i="71"/>
  <c r="C1174" i="71"/>
  <c r="C1117" i="71" l="1"/>
  <c r="C1118" i="71"/>
  <c r="C1115" i="71"/>
  <c r="C1116" i="71"/>
  <c r="C1109" i="71"/>
  <c r="C1110" i="71"/>
  <c r="C1107" i="71"/>
  <c r="C1108" i="71"/>
  <c r="C1101" i="71"/>
  <c r="C1102" i="71"/>
  <c r="C1099" i="71"/>
  <c r="C1100" i="71"/>
  <c r="C1093" i="71"/>
  <c r="C1094" i="71"/>
  <c r="C1091" i="71"/>
  <c r="C1092" i="71"/>
  <c r="C1085" i="71"/>
  <c r="C1086" i="71"/>
  <c r="C1083" i="71"/>
  <c r="C1084" i="71"/>
  <c r="C1075" i="71"/>
  <c r="C1077" i="71"/>
  <c r="C1078" i="71"/>
  <c r="C1076" i="71"/>
  <c r="C1069" i="71"/>
  <c r="C1070" i="71"/>
  <c r="C1067" i="71"/>
  <c r="C1068" i="71"/>
  <c r="C1060" i="71"/>
  <c r="C1061" i="71"/>
  <c r="C1062" i="71"/>
  <c r="C1059" i="71"/>
  <c r="C1053" i="71"/>
  <c r="C1054" i="71"/>
  <c r="C1051" i="71"/>
  <c r="C1052" i="71"/>
  <c r="C1045" i="71"/>
  <c r="C1046" i="71"/>
  <c r="C1043" i="71"/>
  <c r="C1044" i="71"/>
  <c r="C1037" i="71"/>
  <c r="C1038" i="71"/>
  <c r="C1035" i="71"/>
  <c r="C1036" i="71"/>
  <c r="C1029" i="71"/>
  <c r="C1030" i="71"/>
  <c r="C1027" i="71"/>
  <c r="C1028" i="71"/>
  <c r="C1021" i="71"/>
  <c r="C1022" i="71"/>
  <c r="C1019" i="71"/>
  <c r="C1020" i="71"/>
  <c r="C1013" i="71"/>
  <c r="C1014" i="71"/>
  <c r="C1011" i="71"/>
  <c r="C1012" i="71"/>
  <c r="C1005" i="71"/>
  <c r="C1006" i="71"/>
  <c r="C1003" i="71"/>
  <c r="C1004" i="71"/>
  <c r="C997" i="71"/>
  <c r="C998" i="71"/>
  <c r="C995" i="71"/>
  <c r="C996" i="71"/>
  <c r="C988" i="71"/>
  <c r="H1114" i="71"/>
  <c r="G1114" i="71"/>
  <c r="D1114" i="71"/>
  <c r="H1106" i="71"/>
  <c r="G1106" i="71"/>
  <c r="D1106" i="71"/>
  <c r="H1098" i="71"/>
  <c r="G1098" i="71"/>
  <c r="D1098" i="71"/>
  <c r="H1090" i="71"/>
  <c r="G1090" i="71"/>
  <c r="D1090" i="71"/>
  <c r="H1082" i="71"/>
  <c r="G1082" i="71"/>
  <c r="D1082" i="71"/>
  <c r="H1074" i="71"/>
  <c r="G1074" i="71"/>
  <c r="D1074" i="71"/>
  <c r="H1066" i="71"/>
  <c r="G1066" i="71"/>
  <c r="D1066" i="71"/>
  <c r="H1058" i="71"/>
  <c r="G1058" i="71"/>
  <c r="D1058" i="71"/>
  <c r="H1050" i="71"/>
  <c r="G1050" i="71"/>
  <c r="E1050" i="71"/>
  <c r="D1050" i="71"/>
  <c r="H1042" i="71"/>
  <c r="G1042" i="71"/>
  <c r="E1042" i="71"/>
  <c r="D1042" i="71"/>
  <c r="H1034" i="71"/>
  <c r="G1034" i="71"/>
  <c r="D1034" i="71"/>
  <c r="H1026" i="71"/>
  <c r="G1026" i="71"/>
  <c r="E1026" i="71"/>
  <c r="D1026" i="71"/>
  <c r="H1018" i="71"/>
  <c r="G1018" i="71"/>
  <c r="D1018" i="71"/>
  <c r="H1010" i="71"/>
  <c r="G1010" i="71"/>
  <c r="D1010" i="71"/>
  <c r="H1002" i="71"/>
  <c r="G1002" i="71"/>
  <c r="E1002" i="71"/>
  <c r="D1002" i="71"/>
  <c r="H994" i="71"/>
  <c r="G994" i="71"/>
  <c r="D994" i="71"/>
  <c r="C1002" i="71" l="1"/>
  <c r="C1066" i="71"/>
  <c r="C1090" i="71"/>
  <c r="C1114" i="71"/>
  <c r="C994" i="71"/>
  <c r="C1018" i="71"/>
  <c r="C1058" i="71"/>
  <c r="D922" i="71"/>
  <c r="C1010" i="71"/>
  <c r="C1042" i="71"/>
  <c r="C1098" i="71"/>
  <c r="C1074" i="71"/>
  <c r="C925" i="71"/>
  <c r="C1050" i="71"/>
  <c r="C926" i="71"/>
  <c r="C1034" i="71"/>
  <c r="C1026" i="71"/>
  <c r="C1082" i="71"/>
  <c r="C1106" i="71"/>
  <c r="C989" i="71"/>
  <c r="C990" i="71"/>
  <c r="C987" i="71"/>
  <c r="C980" i="71"/>
  <c r="C981" i="71"/>
  <c r="C982" i="71"/>
  <c r="C979" i="71"/>
  <c r="C963" i="71"/>
  <c r="C972" i="71"/>
  <c r="C973" i="71"/>
  <c r="C974" i="71"/>
  <c r="C971" i="71"/>
  <c r="C964" i="71"/>
  <c r="C965" i="71"/>
  <c r="C966" i="71"/>
  <c r="C956" i="71"/>
  <c r="C957" i="71"/>
  <c r="C958" i="71"/>
  <c r="C955" i="71"/>
  <c r="C940" i="71"/>
  <c r="C949" i="71"/>
  <c r="C950" i="71"/>
  <c r="C947" i="71"/>
  <c r="C948" i="71"/>
  <c r="C939" i="71"/>
  <c r="C941" i="71"/>
  <c r="C942" i="71"/>
  <c r="C932" i="71"/>
  <c r="C931" i="71"/>
  <c r="C933" i="71"/>
  <c r="C934" i="71"/>
  <c r="C922" i="71" l="1"/>
  <c r="C828" i="71" l="1"/>
  <c r="C837" i="71"/>
  <c r="C838" i="71"/>
  <c r="C839" i="71"/>
  <c r="C836" i="71"/>
  <c r="C831" i="71"/>
  <c r="C829" i="71"/>
  <c r="C830" i="71"/>
  <c r="C701" i="71"/>
  <c r="C703" i="71"/>
  <c r="C693" i="71"/>
  <c r="C694" i="71"/>
  <c r="C686" i="71"/>
  <c r="C677" i="71"/>
  <c r="C679" i="71"/>
  <c r="C680" i="71"/>
  <c r="C678" i="71"/>
  <c r="C669" i="71"/>
  <c r="C671" i="71"/>
  <c r="C672" i="71"/>
  <c r="C661" i="71"/>
  <c r="C662" i="71"/>
  <c r="C544" i="71"/>
  <c r="C546" i="71"/>
  <c r="C547" i="71"/>
  <c r="C545" i="71"/>
  <c r="C497" i="71"/>
  <c r="C496" i="71"/>
  <c r="C488" i="71"/>
  <c r="C489" i="71"/>
  <c r="C427" i="71"/>
  <c r="C428" i="71"/>
  <c r="E412" i="71"/>
  <c r="C415" i="71"/>
  <c r="C416" i="71"/>
  <c r="C51" i="71"/>
  <c r="C19" i="71"/>
  <c r="C27" i="71"/>
  <c r="C35" i="71"/>
  <c r="C43" i="71"/>
  <c r="C389" i="71"/>
  <c r="C267" i="71"/>
  <c r="C266" i="71"/>
  <c r="C265" i="71"/>
  <c r="C257" i="71"/>
  <c r="C44" i="71"/>
  <c r="C52" i="71"/>
  <c r="C36" i="71"/>
  <c r="C28" i="71"/>
  <c r="D835" i="71" l="1"/>
  <c r="D827" i="71"/>
  <c r="D700" i="71"/>
  <c r="D660" i="71"/>
  <c r="D676" i="71"/>
  <c r="D668" i="71"/>
  <c r="D543" i="71"/>
  <c r="D495" i="71"/>
  <c r="D487" i="71"/>
  <c r="D426" i="71"/>
  <c r="D264" i="71"/>
  <c r="D256" i="71"/>
  <c r="E1265" i="71" l="1"/>
  <c r="F1265" i="71"/>
  <c r="F1216" i="71"/>
  <c r="E1216" i="71"/>
  <c r="G1265" i="71"/>
  <c r="H1265" i="71"/>
  <c r="D1265" i="71" l="1"/>
  <c r="C1265" i="71" s="1"/>
  <c r="C1221" i="71"/>
  <c r="C1132" i="71"/>
  <c r="C1131" i="71"/>
  <c r="C1129" i="71"/>
  <c r="C704" i="71"/>
  <c r="C696" i="71"/>
  <c r="C695" i="71"/>
  <c r="C688" i="71"/>
  <c r="C687" i="71"/>
  <c r="C685" i="71"/>
  <c r="C664" i="71"/>
  <c r="C663" i="71"/>
  <c r="C499" i="71"/>
  <c r="C498" i="71"/>
  <c r="C491" i="71"/>
  <c r="C490" i="71"/>
  <c r="C430" i="71"/>
  <c r="C429" i="71"/>
  <c r="C392" i="71"/>
  <c r="C391" i="71"/>
  <c r="C268" i="71"/>
  <c r="C260" i="71"/>
  <c r="C54" i="71"/>
  <c r="C53" i="71"/>
  <c r="C46" i="71"/>
  <c r="C45" i="71"/>
  <c r="C38" i="71"/>
  <c r="C37" i="71"/>
  <c r="F1188" i="71" l="1"/>
  <c r="E1180" i="71"/>
  <c r="E1172" i="71"/>
  <c r="F1165" i="71"/>
  <c r="F1166" i="71"/>
  <c r="F1167" i="71"/>
  <c r="F1168" i="71"/>
  <c r="E1165" i="71"/>
  <c r="E1166" i="71"/>
  <c r="E1167" i="71"/>
  <c r="E1168" i="71"/>
  <c r="E859" i="71"/>
  <c r="F843" i="71"/>
  <c r="E843" i="71"/>
  <c r="F819" i="71"/>
  <c r="E819" i="71"/>
  <c r="E811" i="71"/>
  <c r="E795" i="71"/>
  <c r="F787" i="71"/>
  <c r="E787" i="71"/>
  <c r="F700" i="71"/>
  <c r="E700" i="71"/>
  <c r="F1210" i="71"/>
  <c r="E1210" i="71"/>
  <c r="E1202" i="71"/>
  <c r="F1195" i="71"/>
  <c r="F1196" i="71"/>
  <c r="F1197" i="71"/>
  <c r="F1198" i="71"/>
  <c r="E1195" i="71"/>
  <c r="E1196" i="71"/>
  <c r="E1197" i="71"/>
  <c r="E1198" i="71"/>
  <c r="E1128" i="71"/>
  <c r="E1121" i="71"/>
  <c r="E978" i="71"/>
  <c r="F938" i="71"/>
  <c r="F930" i="71"/>
  <c r="E938" i="71"/>
  <c r="E930" i="71"/>
  <c r="F543" i="71"/>
  <c r="E543" i="71"/>
  <c r="E495" i="71"/>
  <c r="E472" i="71"/>
  <c r="F404" i="71"/>
  <c r="F396" i="71"/>
  <c r="E396" i="71"/>
  <c r="F50" i="71"/>
  <c r="E280" i="71"/>
  <c r="E264" i="71"/>
  <c r="E50" i="71"/>
  <c r="E18" i="71"/>
  <c r="E778" i="71" l="1"/>
  <c r="F478" i="71"/>
  <c r="E478" i="71"/>
  <c r="F778" i="71"/>
  <c r="F248" i="71"/>
  <c r="F1134" i="71"/>
  <c r="F418" i="71"/>
  <c r="F350" i="71"/>
  <c r="F456" i="71"/>
  <c r="F1194" i="71"/>
  <c r="F10" i="71"/>
  <c r="E1120" i="71"/>
  <c r="E350" i="71"/>
  <c r="F1164" i="71"/>
  <c r="E1164" i="71"/>
  <c r="E1194" i="71"/>
  <c r="E1134" i="71"/>
  <c r="F922" i="71"/>
  <c r="E922" i="71"/>
  <c r="E456" i="71"/>
  <c r="E418" i="71"/>
  <c r="E380" i="71"/>
  <c r="F380" i="71"/>
  <c r="E248" i="71"/>
  <c r="E10" i="71"/>
  <c r="F1259" i="71" l="1"/>
  <c r="E1259" i="71"/>
  <c r="D778" i="71" l="1"/>
  <c r="H778" i="71"/>
  <c r="G778" i="71"/>
  <c r="C420" i="71"/>
  <c r="C781" i="71"/>
  <c r="C782" i="71"/>
  <c r="C779" i="71"/>
  <c r="C421" i="71"/>
  <c r="C419" i="71"/>
  <c r="D418" i="71"/>
  <c r="C422" i="71"/>
  <c r="C780" i="71"/>
  <c r="C778" i="71" l="1"/>
  <c r="C418" i="71"/>
  <c r="D907" i="71" l="1"/>
  <c r="G907" i="71"/>
  <c r="H907" i="71"/>
  <c r="C907" i="71" l="1"/>
  <c r="G478" i="71" l="1"/>
  <c r="D478" i="71"/>
  <c r="H478" i="71"/>
  <c r="C480" i="71"/>
  <c r="C481" i="71"/>
  <c r="C479" i="71"/>
  <c r="C482" i="71"/>
  <c r="H700" i="71"/>
  <c r="G700" i="71"/>
  <c r="C478" i="71" l="1"/>
  <c r="C700" i="71"/>
  <c r="H304" i="71"/>
  <c r="G304" i="71"/>
  <c r="D304" i="71"/>
  <c r="H404" i="71"/>
  <c r="G404" i="71"/>
  <c r="D404" i="71"/>
  <c r="D412" i="71"/>
  <c r="H412" i="71"/>
  <c r="G412" i="71"/>
  <c r="C404" i="71" l="1"/>
  <c r="C304" i="71"/>
  <c r="C412" i="71"/>
  <c r="D388" i="71"/>
  <c r="D42" i="71"/>
  <c r="D26" i="71"/>
  <c r="D34" i="71"/>
  <c r="C1217" i="71" l="1"/>
  <c r="C1219" i="71"/>
  <c r="C1220" i="71"/>
  <c r="C1218" i="71"/>
  <c r="C12" i="71"/>
  <c r="C11" i="71"/>
  <c r="G1216" i="71"/>
  <c r="D1216" i="71"/>
  <c r="H1216" i="71"/>
  <c r="C13" i="71" l="1"/>
  <c r="C14" i="71"/>
  <c r="C1216" i="71"/>
  <c r="C10" i="71" l="1"/>
  <c r="H1198" i="71"/>
  <c r="G1198" i="71"/>
  <c r="D1198" i="71"/>
  <c r="H1197" i="71"/>
  <c r="G1197" i="71"/>
  <c r="D1197" i="71"/>
  <c r="H1196" i="71"/>
  <c r="G1196" i="71"/>
  <c r="H1195" i="71"/>
  <c r="G1195" i="71"/>
  <c r="H1168" i="71"/>
  <c r="G1168" i="71"/>
  <c r="D1168" i="71"/>
  <c r="H1167" i="71"/>
  <c r="G1167" i="71"/>
  <c r="H1166" i="71"/>
  <c r="G1166" i="71"/>
  <c r="H1165" i="71"/>
  <c r="G1165" i="71"/>
  <c r="C1137" i="71"/>
  <c r="H1124" i="71"/>
  <c r="G1124" i="71"/>
  <c r="D1124" i="71"/>
  <c r="H1123" i="71"/>
  <c r="G1123" i="71"/>
  <c r="D1123" i="71"/>
  <c r="H1122" i="71"/>
  <c r="G1122" i="71"/>
  <c r="D1122" i="71"/>
  <c r="H1121" i="71"/>
  <c r="G1121" i="71"/>
  <c r="C1167" i="71" l="1"/>
  <c r="C1123" i="71"/>
  <c r="C1121" i="71"/>
  <c r="C1197" i="71"/>
  <c r="C1165" i="71"/>
  <c r="C1168" i="71"/>
  <c r="C1196" i="71"/>
  <c r="C1198" i="71"/>
  <c r="C1135" i="71"/>
  <c r="D1134" i="71"/>
  <c r="C1195" i="71"/>
  <c r="D1194" i="71"/>
  <c r="C1122" i="71"/>
  <c r="C1124" i="71"/>
  <c r="C1136" i="71"/>
  <c r="C1138" i="71"/>
  <c r="C1166" i="71"/>
  <c r="H296" i="71"/>
  <c r="G296" i="71"/>
  <c r="D296" i="71"/>
  <c r="C1260" i="71" l="1"/>
  <c r="G1259" i="71"/>
  <c r="C1262" i="71"/>
  <c r="H1259" i="71"/>
  <c r="D1259" i="71"/>
  <c r="C1263" i="71"/>
  <c r="C1261" i="71"/>
  <c r="C1164" i="71"/>
  <c r="C1120" i="71"/>
  <c r="C1194" i="71"/>
  <c r="C296" i="71"/>
  <c r="C1134" i="71"/>
  <c r="C1259" i="71" l="1"/>
  <c r="H803" i="71"/>
  <c r="G803" i="71"/>
  <c r="D803" i="71"/>
  <c r="H787" i="71"/>
  <c r="G787" i="71"/>
  <c r="D787" i="71"/>
  <c r="H795" i="71"/>
  <c r="G795" i="71"/>
  <c r="D795" i="71"/>
  <c r="H899" i="71"/>
  <c r="G899" i="71"/>
  <c r="D899" i="71"/>
  <c r="C795" i="71" l="1"/>
  <c r="C803" i="71"/>
  <c r="C899" i="71"/>
  <c r="C787" i="71"/>
  <c r="H692" i="71"/>
  <c r="G692" i="71"/>
  <c r="D692" i="71"/>
  <c r="C692" i="71" l="1"/>
  <c r="H388" i="71"/>
  <c r="G388" i="71"/>
  <c r="H835" i="71"/>
  <c r="G835" i="71"/>
  <c r="H827" i="71"/>
  <c r="C827" i="71" s="1"/>
  <c r="H676" i="71"/>
  <c r="G676" i="71"/>
  <c r="H668" i="71"/>
  <c r="G668" i="71"/>
  <c r="H660" i="71"/>
  <c r="G660" i="71"/>
  <c r="H543" i="71"/>
  <c r="G543" i="71"/>
  <c r="H495" i="71"/>
  <c r="G495" i="71"/>
  <c r="H487" i="71"/>
  <c r="G487" i="71"/>
  <c r="H426" i="71"/>
  <c r="G426" i="71"/>
  <c r="H264" i="71"/>
  <c r="G264" i="71"/>
  <c r="H256" i="71"/>
  <c r="G256" i="71"/>
  <c r="C256" i="71" s="1"/>
  <c r="H42" i="71"/>
  <c r="G42" i="71"/>
  <c r="H34" i="71"/>
  <c r="G34" i="71"/>
  <c r="C30" i="71"/>
  <c r="C29" i="71"/>
  <c r="H26" i="71"/>
  <c r="G26" i="71"/>
  <c r="C42" i="71" l="1"/>
  <c r="C26" i="71"/>
  <c r="C34" i="71"/>
  <c r="C264" i="71"/>
  <c r="C668" i="71"/>
  <c r="C426" i="71"/>
  <c r="C487" i="71"/>
  <c r="C543" i="71"/>
  <c r="C676" i="71"/>
  <c r="C835" i="71"/>
  <c r="C388" i="71"/>
  <c r="C495" i="71"/>
  <c r="C660" i="71"/>
  <c r="H1210" i="71"/>
  <c r="G1210" i="71"/>
  <c r="D1210" i="71"/>
  <c r="H1202" i="71"/>
  <c r="G1202" i="71"/>
  <c r="D1202" i="71"/>
  <c r="H1188" i="71"/>
  <c r="G1188" i="71"/>
  <c r="D1188" i="71"/>
  <c r="H1180" i="71"/>
  <c r="G1180" i="71"/>
  <c r="D1180" i="71"/>
  <c r="H1172" i="71"/>
  <c r="G1172" i="71"/>
  <c r="D1172" i="71"/>
  <c r="H1128" i="71"/>
  <c r="G1128" i="71"/>
  <c r="D1128" i="71"/>
  <c r="H986" i="71"/>
  <c r="G986" i="71"/>
  <c r="D986" i="71"/>
  <c r="H978" i="71"/>
  <c r="G978" i="71"/>
  <c r="D978" i="71"/>
  <c r="H970" i="71"/>
  <c r="G970" i="71"/>
  <c r="D970" i="71"/>
  <c r="H962" i="71"/>
  <c r="G962" i="71"/>
  <c r="D962" i="71"/>
  <c r="H954" i="71"/>
  <c r="G954" i="71"/>
  <c r="D954" i="71"/>
  <c r="H946" i="71"/>
  <c r="G946" i="71"/>
  <c r="D946" i="71"/>
  <c r="H938" i="71"/>
  <c r="G938" i="71"/>
  <c r="D938" i="71"/>
  <c r="H930" i="71"/>
  <c r="G930" i="71"/>
  <c r="D930" i="71"/>
  <c r="H891" i="71"/>
  <c r="G891" i="71"/>
  <c r="D891" i="71"/>
  <c r="H883" i="71"/>
  <c r="G883" i="71"/>
  <c r="D883" i="71"/>
  <c r="H875" i="71"/>
  <c r="G875" i="71"/>
  <c r="D875" i="71"/>
  <c r="H867" i="71"/>
  <c r="G867" i="71"/>
  <c r="D867" i="71"/>
  <c r="H859" i="71"/>
  <c r="G859" i="71"/>
  <c r="D859" i="71"/>
  <c r="H851" i="71"/>
  <c r="G851" i="71"/>
  <c r="D851" i="71"/>
  <c r="H843" i="71"/>
  <c r="G843" i="71"/>
  <c r="D843" i="71"/>
  <c r="H819" i="71"/>
  <c r="G819" i="71"/>
  <c r="D819" i="71"/>
  <c r="H811" i="71"/>
  <c r="G811" i="71"/>
  <c r="D811" i="71"/>
  <c r="H716" i="71"/>
  <c r="G716" i="71"/>
  <c r="D716" i="71"/>
  <c r="H708" i="71"/>
  <c r="G708" i="71"/>
  <c r="D708" i="71"/>
  <c r="H684" i="71"/>
  <c r="G684" i="71"/>
  <c r="D684" i="71"/>
  <c r="H472" i="71"/>
  <c r="G472" i="71"/>
  <c r="D472" i="71"/>
  <c r="H464" i="71"/>
  <c r="G464" i="71"/>
  <c r="D464" i="71"/>
  <c r="H450" i="71"/>
  <c r="G450" i="71"/>
  <c r="D450" i="71"/>
  <c r="H396" i="71"/>
  <c r="G396" i="71"/>
  <c r="D396" i="71"/>
  <c r="H50" i="71"/>
  <c r="G50" i="71"/>
  <c r="D50" i="71"/>
  <c r="D18" i="71"/>
  <c r="H366" i="71"/>
  <c r="G366" i="71"/>
  <c r="D366" i="71"/>
  <c r="H288" i="71"/>
  <c r="G288" i="71"/>
  <c r="D288" i="71"/>
  <c r="H280" i="71"/>
  <c r="G280" i="71"/>
  <c r="D280" i="71"/>
  <c r="H272" i="71"/>
  <c r="G272" i="71"/>
  <c r="D272" i="71"/>
  <c r="C450" i="71" l="1"/>
  <c r="C472" i="71"/>
  <c r="C708" i="71"/>
  <c r="C811" i="71"/>
  <c r="C843" i="71"/>
  <c r="C859" i="71"/>
  <c r="C875" i="71"/>
  <c r="C891" i="71"/>
  <c r="C938" i="71"/>
  <c r="C954" i="71"/>
  <c r="C970" i="71"/>
  <c r="C986" i="71"/>
  <c r="C1172" i="71"/>
  <c r="C1188" i="71"/>
  <c r="C1210" i="71"/>
  <c r="C396" i="71"/>
  <c r="C272" i="71"/>
  <c r="C18" i="71"/>
  <c r="C280" i="71"/>
  <c r="C716" i="71"/>
  <c r="C819" i="71"/>
  <c r="C851" i="71"/>
  <c r="C867" i="71"/>
  <c r="C883" i="71"/>
  <c r="C1180" i="71"/>
  <c r="C464" i="71"/>
  <c r="C366" i="71"/>
  <c r="C50" i="71"/>
  <c r="C930" i="71"/>
  <c r="C946" i="71"/>
  <c r="C962" i="71"/>
  <c r="C978" i="71"/>
  <c r="H1164" i="71"/>
  <c r="C1128" i="71"/>
  <c r="H1120" i="71"/>
  <c r="G1164" i="71"/>
  <c r="D1164" i="71"/>
  <c r="D1120" i="71"/>
  <c r="H922" i="71"/>
  <c r="G1134" i="71"/>
  <c r="G922" i="71"/>
  <c r="H1134" i="71"/>
  <c r="G1120" i="71"/>
  <c r="C684" i="71"/>
  <c r="H456" i="71"/>
  <c r="G456" i="71"/>
  <c r="D456" i="71"/>
  <c r="G418" i="71"/>
  <c r="H418" i="71"/>
  <c r="H248" i="71"/>
  <c r="H380" i="71"/>
  <c r="G380" i="71"/>
  <c r="H350" i="71"/>
  <c r="G248" i="71"/>
  <c r="C288" i="71"/>
  <c r="D350" i="71"/>
  <c r="G350" i="71"/>
  <c r="D248" i="71"/>
  <c r="G10" i="71"/>
  <c r="D10" i="71"/>
  <c r="H10" i="71"/>
  <c r="H1194" i="71" l="1"/>
  <c r="G1194" i="71" l="1"/>
</calcChain>
</file>

<file path=xl/sharedStrings.xml><?xml version="1.0" encoding="utf-8"?>
<sst xmlns="http://schemas.openxmlformats.org/spreadsheetml/2006/main" count="3005" uniqueCount="739">
  <si>
    <t>федеральный бюджет</t>
  </si>
  <si>
    <t>краевой бюджет</t>
  </si>
  <si>
    <t>местные бюджеты</t>
  </si>
  <si>
    <t>внебюджетные источники</t>
  </si>
  <si>
    <t xml:space="preserve">мощность </t>
  </si>
  <si>
    <t>Итого</t>
  </si>
  <si>
    <t>наличие ПД</t>
  </si>
  <si>
    <t>муниципальная</t>
  </si>
  <si>
    <t>Петропавловск-Камчатский городской округ</t>
  </si>
  <si>
    <t>Предельные объемы денежных средств, направляемых на реализацию объекта Инвестиционной программы, в разрезе источников финансирования на очередной финансовый год, плановый и прогнозный периоды</t>
  </si>
  <si>
    <t>1.</t>
  </si>
  <si>
    <t>субсидии на софинансирование  капитальных вложений в объекты государственной (муниципальной) собственности</t>
  </si>
  <si>
    <t>получатель средств краевого бюджета</t>
  </si>
  <si>
    <t>государственный (муниципальный) заказчик Камчатского  края</t>
  </si>
  <si>
    <t>способ финансового обеспечения осуществления капитальных вложений</t>
  </si>
  <si>
    <t>срок ввода в эксплуатацию и/или нормативный срок реализации объекта Инвестиционной программы</t>
  </si>
  <si>
    <t>застройщик (в отношении объектов Инвестиционной программы государственной собственности Камчатского края, собственности муниципальных образований)</t>
  </si>
  <si>
    <t>форма собственности</t>
  </si>
  <si>
    <t>наименование муниципального образования (муниципальных образований), на территории (ях) которого (ых) расположен (ы) объект (ы) Инвестиционной программы</t>
  </si>
  <si>
    <t>сметная стоимость в ценах соответствующих лет или предполагаемая (предельная) стоимость, либо стоимость приобретения</t>
  </si>
  <si>
    <t>2021 год</t>
  </si>
  <si>
    <t>2020 год</t>
  </si>
  <si>
    <t>Администрация Петропавловск-Камчатского городского округа</t>
  </si>
  <si>
    <t>2022 год</t>
  </si>
  <si>
    <t>2023 год</t>
  </si>
  <si>
    <t>разработка проектной документации</t>
  </si>
  <si>
    <t>№ п/п</t>
  </si>
  <si>
    <t>срок подготовки проектной документации</t>
  </si>
  <si>
    <t xml:space="preserve">статус </t>
  </si>
  <si>
    <t>2024 год</t>
  </si>
  <si>
    <t>Аппарат Губернатора и Правительства Камчатского края</t>
  </si>
  <si>
    <t>субсидии на осуществление капитальных вложений в объекты государственной (муниципальной) собственности государственным унитарным предприятиям</t>
  </si>
  <si>
    <t>ГУП "Камчатстройэнергосервис"</t>
  </si>
  <si>
    <t>региональная</t>
  </si>
  <si>
    <t>вновь начинаемый</t>
  </si>
  <si>
    <t>переходящий</t>
  </si>
  <si>
    <t>Агентство по ветеринарии Камчатского края</t>
  </si>
  <si>
    <t>Усть-Большерецкий муниципальный район</t>
  </si>
  <si>
    <t>Елизовский муниципальный район</t>
  </si>
  <si>
    <t>КГБУ "Быстринская рай СББЖ"</t>
  </si>
  <si>
    <t>Быстринский муниципальный район</t>
  </si>
  <si>
    <t>Вилючинский городской округ</t>
  </si>
  <si>
    <t>бюджетные инвестиции в объекты капитального строительства государственной (муниципальной) собственности</t>
  </si>
  <si>
    <t>Мильковский муниципальный район</t>
  </si>
  <si>
    <t>12.</t>
  </si>
  <si>
    <t>Государственная программа Камчатского края "Обращение с отходами производства и потребления в Камчатском крае"</t>
  </si>
  <si>
    <t>Государственная программа Камчатского края "Обращение с отходами производства и потребления в Камчатском крае". Подпрограмма "Развитие комплексной системы обращения с твердыми коммунальными отходами на территории Камчатского края"</t>
  </si>
  <si>
    <t>субсидии на софинансирование капитальных вложений в объекты государственной (муниципальной) собственности</t>
  </si>
  <si>
    <t>Тигильский муниципальный район</t>
  </si>
  <si>
    <t>Администрация Городского округа "поселок Палана"</t>
  </si>
  <si>
    <t>Городской округ "поселок Палана"</t>
  </si>
  <si>
    <t>2020-2021 годы</t>
  </si>
  <si>
    <t>2025 год</t>
  </si>
  <si>
    <t>2022 год, 1,5 года</t>
  </si>
  <si>
    <t>2021-2022 годы</t>
  </si>
  <si>
    <t>Министерство имущественных и земельных отношений Камчатского края</t>
  </si>
  <si>
    <t>Приобретение жилых помещений в собственность Камчатского края для обеспечения служебными жилыми помещениями медицинских работников здравоохранения Камчатского края</t>
  </si>
  <si>
    <t>Министерство ЖКХ и энергетики Камчатского края</t>
  </si>
  <si>
    <t>Администрация городского округа "поселок Палана"</t>
  </si>
  <si>
    <t>Новолесновское сельское поселение</t>
  </si>
  <si>
    <t>Администрация Новолесновского сельского поселения</t>
  </si>
  <si>
    <t>Администрация Усть-Большерецкого муниципального района</t>
  </si>
  <si>
    <t>Елизовское городское поселение</t>
  </si>
  <si>
    <t>Сельское поселение "село Лесная"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</si>
  <si>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</si>
  <si>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КГУП "Камчатский водоканал"</t>
  </si>
  <si>
    <t>Эссовское сельское поселение</t>
  </si>
  <si>
    <t>Ключевское сельское поселение</t>
  </si>
  <si>
    <t>Администрация Ключевского сельского поселения</t>
  </si>
  <si>
    <t>Усть-Камчатское сельское поселение</t>
  </si>
  <si>
    <t>Государственная программа Камчатского края "Развитие здравоохранения Камчатского края"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</si>
  <si>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</si>
  <si>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муниципальные образования в Камчатском крае</t>
  </si>
  <si>
    <t>Министерство здравоохранения Камчатского края</t>
  </si>
  <si>
    <t>1.4.</t>
  </si>
  <si>
    <t xml:space="preserve">Елизовский муниципальный район  </t>
  </si>
  <si>
    <t xml:space="preserve">Государственная программа Камчатского края "Развитие здравоохранения Камчатского края". Подпрограмма "Инвестиционные мероприятия в здравоохранении Камчатского края". </t>
  </si>
  <si>
    <t>450 коек/150 посещений в смену</t>
  </si>
  <si>
    <t>2.</t>
  </si>
  <si>
    <t>260 мест</t>
  </si>
  <si>
    <t>150 мест</t>
  </si>
  <si>
    <t>300 мест</t>
  </si>
  <si>
    <t>3.</t>
  </si>
  <si>
    <t>4.</t>
  </si>
  <si>
    <t>администрации муниципальных образований в Камчатском крае</t>
  </si>
  <si>
    <t>5.</t>
  </si>
  <si>
    <t>6.</t>
  </si>
  <si>
    <t>7.</t>
  </si>
  <si>
    <t>8.</t>
  </si>
  <si>
    <t>Министерство культуры Камчатского края</t>
  </si>
  <si>
    <t>9.</t>
  </si>
  <si>
    <t>10.</t>
  </si>
  <si>
    <t>Министерство транспорта и дорожного строительства Камчатского края</t>
  </si>
  <si>
    <t>КГКУ "Управление автомобильных дорог Камчатского края"</t>
  </si>
  <si>
    <t>Администрация Елизовского муниципального района</t>
  </si>
  <si>
    <t>11.</t>
  </si>
  <si>
    <t>14.</t>
  </si>
  <si>
    <t>500 куб.м</t>
  </si>
  <si>
    <t>администрация Вилючинского городского округа</t>
  </si>
  <si>
    <t>Государственная программа Камчатского края "Развитие здравоохранения Камчатского края". Подпрограмма "Кадровое обеспечение системы здравоохранения"</t>
  </si>
  <si>
    <t>приобретение</t>
  </si>
  <si>
    <t>Государственная программа Камчатского края "Развитие здравоохранения Камчатского края". Подпрограмма "Инвестиционные мероприятия в здравоохранении Камчатского края"</t>
  </si>
  <si>
    <t>Государственная программа Камчатского края  "Развитие образования в Камчатском крае"</t>
  </si>
  <si>
    <t>Государственная программа Камчатского края  "Развитие образования в Камчатском крае". Подпрограмма "Развитие дошкольного, общего образования и дополнительного образования детей в Камчатском крае"</t>
  </si>
  <si>
    <t>Здание. Общеобразовательная школа по проспекту Рыбаков в г. Петропавловск-Камчатский</t>
  </si>
  <si>
    <t>650 мест</t>
  </si>
  <si>
    <t>Государственная программа Камчатского края "Развитие культуры в Камчатском крае"</t>
  </si>
  <si>
    <t>Государственная программа Камчатского края "Развитие культуры в Камчатском крае". Подпрограмма "Развитие инфраструктуры в сфере культуры"</t>
  </si>
  <si>
    <t>Государственная программа Камчатского края "Социальная поддержка граждан в Камчатском крае"</t>
  </si>
  <si>
    <t>Государственная программа Камчатского края "Социальная поддержка граждан в Камчатском крае". Подпрограмма "Развитие системы социального обслуживания населения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</si>
  <si>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</si>
  <si>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крае". Подпрограмма "Развитие инфраструктуры для занятий физической культурой и спортом"</t>
  </si>
  <si>
    <t>Министерство спорта Камчатского края</t>
  </si>
  <si>
    <t>550 мест/ 176 чел/смену</t>
  </si>
  <si>
    <t>677 894,82 тыс. рублей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</si>
  <si>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</si>
  <si>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"Обеспечение эпизоотического и ветеринарно-санитарного благополучия"</t>
  </si>
  <si>
    <t>Государственная программа Камчатского края "Обеспечение доступным и комфортным жильем жителей Камчатского края"</t>
  </si>
  <si>
    <t>Государственная программа Камчатского края "Обеспечение доступным и комфортным жильем жителей Камчатского края". Подпрограмма "Переселение граждан из аварийных жилых домов и непригодных для проживания жилых помещений"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</si>
  <si>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</si>
  <si>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>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</si>
  <si>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</si>
  <si>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Государственная программа Российской Федерации "Обеспечение доступным и комфортным жильём и коммунальными услугами граждан Российской Федерации".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</si>
  <si>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Трубопровод водоснабжения протяженностью 12 км в городе Вилючинске Камчатского края</t>
  </si>
  <si>
    <t>12,0 км</t>
  </si>
  <si>
    <t>829 344,00 тыс. руб. 
в ценах 2 кв. 2016 г.</t>
  </si>
  <si>
    <t>3 769,92 м3/сут.</t>
  </si>
  <si>
    <t>Государственная программа Камчатского края "Развитие транспортной системы в Камчатском крае"</t>
  </si>
  <si>
    <t>Государственная программа Камчатского края "Развитие транспортной системы в Камчатском крае". Подпрограмма "Развитие дорожного хозяйства"</t>
  </si>
  <si>
    <t>Государственная программа Камчатского края "Развитие транспортной системы в Камчатском крае". Подпрограмма "Развитие водного транспорта"</t>
  </si>
  <si>
    <t>250 пассажиров, 1,2 тыс. тонн груза в год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</si>
  <si>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</si>
  <si>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края". Подпрограмма "Повышение эффективности управления краевым имуществом"</t>
  </si>
  <si>
    <t>Государственная программа Камчатского края "Безопасная Камчатка"</t>
  </si>
  <si>
    <t>Государственная программа Камчатского края "Безопасная Камчатка". Подпрограмма "Защита населения и территорий Камчатского края от чрезвычайных ситуаций, обеспечение пожарной безопасности и развитие гражданской обороны в Камчатском крае"</t>
  </si>
  <si>
    <t>160 мест</t>
  </si>
  <si>
    <t>Администрация Вилючинского городского округа</t>
  </si>
  <si>
    <t>Физкультурно-оздоровительный комплекс с плавательным бассейном в г. Петропавловске - Камчатском</t>
  </si>
  <si>
    <t>60 чел</t>
  </si>
  <si>
    <t>КГАУ СШОР "Морозная"</t>
  </si>
  <si>
    <t>220 371,13 тыс. рублей</t>
  </si>
  <si>
    <t xml:space="preserve">Приобретение (строительство) жилых помещений в целях формирования специализированного жилищного фонда Камчатского края </t>
  </si>
  <si>
    <t>Комплекс многоквартирных домов в жилом районе Приморский города Вилючинска Камчатского края</t>
  </si>
  <si>
    <t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 в Камчатском крае"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</si>
  <si>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"Региональная адресная программа по переселению граждан из аварийного жилищного фонда". </t>
  </si>
  <si>
    <t>Переселение граждан из аварийного жилищного фонда в соответствии с жилищным законодательством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</si>
  <si>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строительства". </t>
  </si>
  <si>
    <t>Канализационный коллектор протяженностью 1,218 км с канализационной станцией и очистными сооружениями в жилом районе Рыбачий города Вилючинска Камчатского края</t>
  </si>
  <si>
    <t>822 719,10 тыс. рублей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</si>
  <si>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</si>
  <si>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 xml:space="preserve">Министерство транспорта и дорожного строительства Камчатского края </t>
  </si>
  <si>
    <t xml:space="preserve">4,973 км </t>
  </si>
  <si>
    <t>Реконструкция автомобильной дороги Петропавловск-Камчатский - Мильково на участке км 181 - км 195. 1 этап (участок км 181 - км 188)</t>
  </si>
  <si>
    <t>7,000 км</t>
  </si>
  <si>
    <t>Реконструкция автомобильной дороги Петропавловск-Камчатский - Мильково на участке км 181 - км 195. 2 этап (участок км 188 - км 195)</t>
  </si>
  <si>
    <t>Реконструкция автомобильной дороги Петропавловск-Камчатский - Мильково на участке км 195 - км 208. 1 этап (участок км 195 - км 202)</t>
  </si>
  <si>
    <t>Реконструкция автомобильной дороги Петропавловск-Камчатский - Мильково на участке км 195 - км 208. 2 этап (участок км 202 - км 208)</t>
  </si>
  <si>
    <t>5,8540 км</t>
  </si>
  <si>
    <t>Строительство "Пожарного депо на 2 выезда" в п. Озерновский</t>
  </si>
  <si>
    <t>85 368,163 тыс. рублей.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</si>
  <si>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</t>
  </si>
  <si>
    <t>Министерство природных ресурсов и экологии Камчатского края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</si>
  <si>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крае". Подпрограмма "Использование и охрана водных объектов в Камчатском крае".</t>
  </si>
  <si>
    <t>Реконструкция комплекса защитных гидротехнических сооружений (дамба) с. Мильково Камчатский край</t>
  </si>
  <si>
    <t>Детский сад по проспекту Циолковского в г. Петропавловск-Камчатский</t>
  </si>
  <si>
    <t>400 мест</t>
  </si>
  <si>
    <t>Канализационная насосная станция № 15 в г. Петропавловске-Камчатском</t>
  </si>
  <si>
    <t>Вулканное городское поселение</t>
  </si>
  <si>
    <t>216 мест</t>
  </si>
  <si>
    <t>100 мест</t>
  </si>
  <si>
    <t xml:space="preserve">Реконструкция автомобильной дороги Петропавловск-Камчатский – Мильково  на участке км 12 - км 17 с подъездом к федеральной дороге. 2 этап </t>
  </si>
  <si>
    <t>1.1</t>
  </si>
  <si>
    <t>1.2</t>
  </si>
  <si>
    <t>Администрация Усть-Камчатского сельского поселения</t>
  </si>
  <si>
    <t xml:space="preserve">типовой проект Арх. № 00014-2011 </t>
  </si>
  <si>
    <t>1.3</t>
  </si>
  <si>
    <t>1.4</t>
  </si>
  <si>
    <t>1.5</t>
  </si>
  <si>
    <t>2.1</t>
  </si>
  <si>
    <t>2.2</t>
  </si>
  <si>
    <t>2.3</t>
  </si>
  <si>
    <t>2.5</t>
  </si>
  <si>
    <t>4.1</t>
  </si>
  <si>
    <t>4.2</t>
  </si>
  <si>
    <t>4.3</t>
  </si>
  <si>
    <t>5.1</t>
  </si>
  <si>
    <t>5.2</t>
  </si>
  <si>
    <t>5.4</t>
  </si>
  <si>
    <t>6.1</t>
  </si>
  <si>
    <t>6.2</t>
  </si>
  <si>
    <t>7.1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</si>
  <si>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</si>
  <si>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</si>
  <si>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</si>
  <si>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</si>
  <si>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</si>
  <si>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</si>
  <si>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</si>
  <si>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</si>
  <si>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</si>
  <si>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</si>
  <si>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</si>
  <si>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</si>
  <si>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</si>
  <si>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</si>
  <si>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</si>
  <si>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</si>
  <si>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</si>
  <si>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</si>
  <si>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</si>
  <si>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</si>
  <si>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</si>
  <si>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</si>
  <si>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</si>
  <si>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</si>
  <si>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</si>
  <si>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</si>
  <si>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</si>
  <si>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12.1</t>
  </si>
  <si>
    <t>12.2</t>
  </si>
  <si>
    <t>13.1</t>
  </si>
  <si>
    <t>13.2</t>
  </si>
  <si>
    <t>14.1</t>
  </si>
  <si>
    <t>103 460,454 тыс. рублей</t>
  </si>
  <si>
    <t xml:space="preserve">Пенжинский муниципальный район </t>
  </si>
  <si>
    <t>64 527,642 тыс. рублей</t>
  </si>
  <si>
    <t>Министерство образования Камчатского края</t>
  </si>
  <si>
    <t>120 мест</t>
  </si>
  <si>
    <t>325 641,14 тыс. рублей</t>
  </si>
  <si>
    <t>851 511,62 тыс. рублей</t>
  </si>
  <si>
    <t>средства Фонда содействия реформированию жилищно-коммунального хозяйства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</si>
  <si>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 "Обеспечение жилыми помещениями отдельных категорий граждан". </t>
  </si>
  <si>
    <t>Группа смешанной жилой застройки по улице Кутузова в Петропавловск-Камчатском городском округе. 1-я очередь строительства. 9-этажный 45-кв. монолитный жилой дом. Поз. 3</t>
  </si>
  <si>
    <t>2340,14 м2</t>
  </si>
  <si>
    <t>223 283,20 тыс. рублей</t>
  </si>
  <si>
    <t>270 квартир</t>
  </si>
  <si>
    <t>60 000,00 м2</t>
  </si>
  <si>
    <t>85 600,00 тыс. рублей</t>
  </si>
  <si>
    <t xml:space="preserve">Государственная программа Камчатского края "Обеспечение доступным и комфортным жильем жителей Камчатского края".  Подпрограмма "Стимулирование развития жилищного строительства". </t>
  </si>
  <si>
    <t>площадь здания КНС 307,39 м2, строительный объем здания - 5058,8 м2</t>
  </si>
  <si>
    <t>234 846,275 тыс. рублей</t>
  </si>
  <si>
    <t>2 800,00 м</t>
  </si>
  <si>
    <t xml:space="preserve">Администрация Новолесновского сельского поселения </t>
  </si>
  <si>
    <t>2021 год, 4 года</t>
  </si>
  <si>
    <t>Государственная программа Российской Федерации "Социальная поддержка граждан". Подпрограмма  "Старшее поколение". Государственная программа Камчатского края "Социальная поддержка граждан в Камчатском крае". Подпрограмма "Старшее поколение в Камчатском крае".</t>
  </si>
  <si>
    <t>4 559 318,750 тыс. рублей</t>
  </si>
  <si>
    <t>13.</t>
  </si>
  <si>
    <t>1 920185,00 тыс. рублей</t>
  </si>
  <si>
    <t>1100 т</t>
  </si>
  <si>
    <t>0,04 Гкал/ч</t>
  </si>
  <si>
    <t xml:space="preserve"> Мильковское сельское поселение</t>
  </si>
  <si>
    <t>Администрация Мильковского сельского поселения</t>
  </si>
  <si>
    <t>Общая протяженность сетей водовода 5800,50 м</t>
  </si>
  <si>
    <t>Администрация Эссовского сельского поселения</t>
  </si>
  <si>
    <t xml:space="preserve">Министерство ЖКХ и энергетики Камчатского края </t>
  </si>
  <si>
    <t xml:space="preserve">2X1665 пог. м </t>
  </si>
  <si>
    <t>Администрация Вулканного городского поселения</t>
  </si>
  <si>
    <t>7,003 км/
 34,120 п.м.</t>
  </si>
  <si>
    <t>7,750 км /
 40,950 п.м.</t>
  </si>
  <si>
    <t>Реконструкция автомобильной дороги Петропавловск-Камчатский – Мильково  на участке км 34 – км 40 ( в том числе проектные  работы)</t>
  </si>
  <si>
    <t>Елизовское городское поселение Елизовского муниципального района Камчатского края</t>
  </si>
  <si>
    <t>Строительство административного модуля КГБУ "Быстринская районная СББЖ" Быстринский район, с. Эссо, ул. Речная</t>
  </si>
  <si>
    <t>2022 год, 1 год</t>
  </si>
  <si>
    <t>5173,96 тыс. рублей/2846,04 тыс. рублей</t>
  </si>
  <si>
    <t>3906,77 тыс. рублей/2460,99 тыс. рублей</t>
  </si>
  <si>
    <t>Администрация Мильковского муниципального района</t>
  </si>
  <si>
    <t xml:space="preserve">Итого </t>
  </si>
  <si>
    <t xml:space="preserve">Строительство скотомогильника в Мильковском районе Камчатского края 
</t>
  </si>
  <si>
    <t>Дом-интернат для психически больных на 400 мест (1 этап строительства)</t>
  </si>
  <si>
    <t>Дом-интернат для психически больных на 400 мест (2 этап строительства)</t>
  </si>
  <si>
    <t>Жилая застройка на улице Пограничной в г. Петропавловске-Камчатском (разработка проектной документации)</t>
  </si>
  <si>
    <t>Многоквартирный жилой дом в районе ул. Мирная в г. Елизово Камчатского края (разработка проектной документации)</t>
  </si>
  <si>
    <t>Реконструкция водовода от водозабора до пгт Палана и внутриплощадочных сетей водовода территории совхоза пгт Палана Тигильского района Камчатского края</t>
  </si>
  <si>
    <t>332,90 м³/сут</t>
  </si>
  <si>
    <t xml:space="preserve">Реконструкция системы водоснабжения в п. Ключи, Усть-Камчатского района, Камчатского края </t>
  </si>
  <si>
    <t>804,76 м³/сут</t>
  </si>
  <si>
    <t>0,311 м³/сут</t>
  </si>
  <si>
    <t>250 м³/сут</t>
  </si>
  <si>
    <t>15000 м³</t>
  </si>
  <si>
    <t>4001 м³/сут</t>
  </si>
  <si>
    <t>1200 м³/сут</t>
  </si>
  <si>
    <t>157 320,0 тыс. рублей</t>
  </si>
  <si>
    <t>Детский сад по ул. Вилюйская, 60 в г. Петропавловске-Камчатском (в том числе проектные работы)</t>
  </si>
  <si>
    <t>434 342,1 тыс.рублей</t>
  </si>
  <si>
    <t xml:space="preserve">Детский сад в жилом районе Рыбачий в г. Вилючинск </t>
  </si>
  <si>
    <t>2.4</t>
  </si>
  <si>
    <t>2.6</t>
  </si>
  <si>
    <t>2.7</t>
  </si>
  <si>
    <t>4.4</t>
  </si>
  <si>
    <t>5.3</t>
  </si>
  <si>
    <t>10.1</t>
  </si>
  <si>
    <t>11.1</t>
  </si>
  <si>
    <t>Внутриплощадочные сети инженерно-технического обеспечения микрорайона жилой застройки в п. Лесной Елизовского района, в том числе для многодетных семей (2 очередь) (проектные работы)</t>
  </si>
  <si>
    <t>7.2</t>
  </si>
  <si>
    <t>300 000,0 тыс. рублей</t>
  </si>
  <si>
    <t>Строительство инженерной инфраструктуры на территории жилого района в Вулканном городском поселении Елизовского района Камчатского края</t>
  </si>
  <si>
    <t>3 553,00  м</t>
  </si>
  <si>
    <t>Реконструкция канализационных очистных сооружений на мысе Погодном Усть-Камчатского сельского поселения</t>
  </si>
  <si>
    <t>1500 м³/сут</t>
  </si>
  <si>
    <t>543 354,62 тыс. руб.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</si>
  <si>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</si>
  <si>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</si>
  <si>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</si>
  <si>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</si>
  <si>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</si>
  <si>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</si>
  <si>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</si>
  <si>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</si>
  <si>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</si>
  <si>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</si>
  <si>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11.2</t>
  </si>
  <si>
    <t>12.3</t>
  </si>
  <si>
    <t>расходы за счет остатков средств краевого бюджета прошлых лет</t>
  </si>
  <si>
    <t>Здание. Учебный корпус МБОУ "Средняя школа № 40 по ул. Вольского микрорайона "Северо-Восток" в г. Петропавловске-Камчатском"</t>
  </si>
  <si>
    <t>Камчатский театр кукол г. Петропавловск-Камчатский</t>
  </si>
  <si>
    <t>4,42 км</t>
  </si>
  <si>
    <t xml:space="preserve">2025 год                                </t>
  </si>
  <si>
    <t>2,185 км</t>
  </si>
  <si>
    <t>Министерство сельского хозяйства, пищевой и перерабатывающей промышленности Камчатского края</t>
  </si>
  <si>
    <t xml:space="preserve">Тигильский муниципальный район </t>
  </si>
  <si>
    <t>9.12</t>
  </si>
  <si>
    <t>Государственная программа Камчатского края "Развитие транспортной системы в Камчатском крае". Подпрограмма "Развитие воздушного транспорта"</t>
  </si>
  <si>
    <t>п. Тиличики, Олюторский муниципальный район</t>
  </si>
  <si>
    <t>9.13</t>
  </si>
  <si>
    <t xml:space="preserve">10 км </t>
  </si>
  <si>
    <t>1 711 725,187 (уточнится проектом)</t>
  </si>
  <si>
    <t>9.14</t>
  </si>
  <si>
    <t>Строительство автозимника продленного действия  Анавгай - Палана на участке км 0 - км 16</t>
  </si>
  <si>
    <t>15,859 км / 79,67 п.м.</t>
  </si>
  <si>
    <t>9.15</t>
  </si>
  <si>
    <t xml:space="preserve"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0 - 107,2 км на участке км 0 - км 5 </t>
  </si>
  <si>
    <t xml:space="preserve">4,92143 км </t>
  </si>
  <si>
    <t>9.16</t>
  </si>
  <si>
    <t>5 км (уточнится проектом)</t>
  </si>
  <si>
    <t>751 094,027 (уточнится проектом)</t>
  </si>
  <si>
    <t>9.17</t>
  </si>
  <si>
    <t xml:space="preserve">Реконструкция автомобильной дороги  подъезд к совхозу Петропавловский на участке км 0 - км 4 </t>
  </si>
  <si>
    <t>4 км
(уточнится проектом)</t>
  </si>
  <si>
    <t>9.18</t>
  </si>
  <si>
    <t>5,297 км (уточнится проектом)</t>
  </si>
  <si>
    <t>8 200 000,000 (уточнится проектом)</t>
  </si>
  <si>
    <t>9.19</t>
  </si>
  <si>
    <t>4,0 тыс.чел. в сутки</t>
  </si>
  <si>
    <t>262 000,000 (уточнится проектом)</t>
  </si>
  <si>
    <t>9.20</t>
  </si>
  <si>
    <t>10,33 Га (уточнится проектом)</t>
  </si>
  <si>
    <t>Администрация Пионерского сельского поселения</t>
  </si>
  <si>
    <t xml:space="preserve">23 949,20 тыс. рублей (уточнится проектом) </t>
  </si>
  <si>
    <t>9.21</t>
  </si>
  <si>
    <t>0,5 км / 12,05 п.м. (уточнится проектом)</t>
  </si>
  <si>
    <t xml:space="preserve">
46 398,700 тыс. рублей (уточнится проектом)</t>
  </si>
  <si>
    <t>9.22</t>
  </si>
  <si>
    <t>1 км / 12,30 п.м. (уточнится проектом)</t>
  </si>
  <si>
    <t xml:space="preserve">
 49 851,620 тыс. рублей (уточнится проектом)</t>
  </si>
  <si>
    <t>9.23</t>
  </si>
  <si>
    <t>0,3 км / 27,86 п.м. (уточнится проектом)</t>
  </si>
  <si>
    <t xml:space="preserve">
 100 293,870 тыс. рублей (уточнится проектом)</t>
  </si>
  <si>
    <t>9.24</t>
  </si>
  <si>
    <t>0,4 км / 9,0 п.м. (уточнится проектом)</t>
  </si>
  <si>
    <t>35 864,862  тыс. рублей (уточнится проектом)</t>
  </si>
  <si>
    <t>0,3 км / 50,84 п.м. (уточнится проектом)</t>
  </si>
  <si>
    <t>182 249,700  тыс. рублей (уточнится проектом)</t>
  </si>
  <si>
    <t>0,5 км / 15,0 п.м. (уточнится проектом)</t>
  </si>
  <si>
    <t>54 749,417  тыс. рублей (уточнится проектом)</t>
  </si>
  <si>
    <t>1 км / 73,95 п.м. (уточнится проектом)</t>
  </si>
  <si>
    <t>266 747,115 тыс. рублей (уточнится проектом)</t>
  </si>
  <si>
    <t>Строительство жилья для летного и технического персонала (проектные работы)</t>
  </si>
  <si>
    <t xml:space="preserve"> Реконструкция мостового перехода через р. Амшарик на км 3+865 автомобильной дороги Мильково - Кирганик  (проектные работы)</t>
  </si>
  <si>
    <t>Реконструкция мостового перехода через руч. Хуторской на км 1+698 автомобильной дороги Елизово - Паратунка, 4 км -п. Садовый - Учебный центр (проектные работы)</t>
  </si>
  <si>
    <t>Реконструкция мостового перехода через р. Гольцовка на км 78+280 автомобильной дороги Начикинский с/х - Усть-Большерецк - п. Октябрьский с подъездом к пристани Косоево и колхозу Октябрьской революции (проектные работы)</t>
  </si>
  <si>
    <t>Реконструкция мостового перехода через реку Михакина на км 1+743 автомобильной дороги Палана-строящийся аэропорт  (проектные работы)</t>
  </si>
  <si>
    <t>Реконструкция мостового перехода через р.Палана на км 6+363 автомобильной дороги Палана-строящийся аэропорт (проектные работы)</t>
  </si>
  <si>
    <t>279932,620 тыс. рублей в ценах 2 кв. 2019 г.</t>
  </si>
  <si>
    <t>250 мест 4208,3 м2</t>
  </si>
  <si>
    <t>1 625 869,68 тыс. рублей</t>
  </si>
  <si>
    <t>500 мест</t>
  </si>
  <si>
    <t>738 340,61  тыс.рублей</t>
  </si>
  <si>
    <t>Комплекс правосудия в г. Петропавловске-Камчатском. Блоки 5,7. Реконструкция</t>
  </si>
  <si>
    <t>Реконструкция руслорегулирующего сооружения реки Половинка, г. Елизово, Елизовский муниципальный район, Камчатский край</t>
  </si>
  <si>
    <t>Инвестиционная программа Камчатского края на 2021 год и на плановый период 2022-2023 годов и прогнозный период 2024-2025 годов</t>
  </si>
  <si>
    <t>Устройство пожарных резервуаров. Реконструкция узла управления и системы автоматического пожаротушения здания МБУК Дом культуры "Меридиан"</t>
  </si>
  <si>
    <t>Новолесновское сельское поселение Елизовского муниципального района</t>
  </si>
  <si>
    <t>Микрорайон жилой застройки "Северный" в г. Петропавловске-Камчатском (проектные работы)</t>
  </si>
  <si>
    <t>Сельское поселение "село Апука"</t>
  </si>
  <si>
    <t>Администрация сельского поселения "село Апука"</t>
  </si>
  <si>
    <t>Строительство дорожной инфраструктуры 1-ой очереди Жилого района в Пионерском сельском поселении</t>
  </si>
  <si>
    <t>Администрация Тигильского муниципального района</t>
  </si>
  <si>
    <t>Проектирование и строительство полигона твердых бытовых отходов  в c. Тигиль Тигильского муниципального района</t>
  </si>
  <si>
    <t xml:space="preserve">Проектирование и строительство объекта "Полигон твердых коммунальных отходов с сортировкой и переработкой мусора, скотомогильником с двумя биотермическими ямами в городском округе "поселок Палана" Камчатского края" </t>
  </si>
  <si>
    <t xml:space="preserve">вновь начинаемый </t>
  </si>
  <si>
    <t>Проектирование и строительство полигона твердых бытовых отходов на территории Мильковского муниципального района (в том числе проектные работы)</t>
  </si>
  <si>
    <t>субсидии на осуществление капитальных вложений в объекты государственной (муниципальной) собственности бюджетным учреждениям</t>
  </si>
  <si>
    <t xml:space="preserve">2021 год </t>
  </si>
  <si>
    <t>Приобретение (строительство) жилых помещений в целях обеспечения жилыми помещениями по договорам социального найма отдельных категорий граждан в соответствии с Законом Камчатского края от 31.03.2009 N 253 "О порядке предоставления жилых помещений жилищного фонда Камчатского края по договорам социального найма"</t>
  </si>
  <si>
    <t>Приобретение и реконструкция жилых помещений для реализации программ дошкольного образования в г. Елизово, в том числе проектные работы</t>
  </si>
  <si>
    <t>756 865,59 тыс.рублей</t>
  </si>
  <si>
    <t>55 500,0 тыс. рублей</t>
  </si>
  <si>
    <t>КГКУ "Единая дирекция по строительству объекта "Камчатская краевая больница"</t>
  </si>
  <si>
    <t>550 000,0 тыс рублей</t>
  </si>
  <si>
    <t>2023 год,  3 года</t>
  </si>
  <si>
    <t xml:space="preserve">2024 год, 3 года                              </t>
  </si>
  <si>
    <t>200 мест</t>
  </si>
  <si>
    <t>1414699,5 тыс. рублей</t>
  </si>
  <si>
    <t>3 666,88 кв. м.</t>
  </si>
  <si>
    <t>Региональный спортивно-тренировочный центр по зимним видам спорта у подножия вулкана "Авачинский", Камчатский край</t>
  </si>
  <si>
    <t>1 600 000,00 тыс. рублей</t>
  </si>
  <si>
    <t>Государственная программа Камчатского края "Социальное и экономическое развитие территории с особым статусом "Корякский округ"</t>
  </si>
  <si>
    <t>Государственная программа Камчатского края "Социальное и экономическое развитие территории с особым статусом "Корякский округ". Подпрограмма "Обеспечение доступным и комфортным жильем и коммунальными услугами населения Корякского округа".</t>
  </si>
  <si>
    <t>6 км (уточнится проектом)</t>
  </si>
  <si>
    <t>Реконструкция мостового перехода через р. Железная-1 на 9 км автомобильной дороги "Садовое кольцо" в Елизовском районе Камчатского края (проектные работы)</t>
  </si>
  <si>
    <t>Реконструкция мостового перехода через р. Железная-2 на 12 км автомобильной дороги "Садовое кольцо" в Елизовском районе Камчатского края (проектные работы)</t>
  </si>
  <si>
    <t>Система теплоснабжения по ул. Солнечная в с. Мильково Камчатского края</t>
  </si>
  <si>
    <t xml:space="preserve"> Реконструкция системы водоотведения центральной части г. Петропавловска-Камчатского. Канализационная насосная станция КНС "Мехзавод"</t>
  </si>
  <si>
    <t>Администрация сельского поселения "село Лесная"</t>
  </si>
  <si>
    <t>МУП "Водоканал Усть-Камчатского сельского поселения"</t>
  </si>
  <si>
    <t>КГКУ "ЦОД"</t>
  </si>
  <si>
    <t>1 644581,00 тыс. Рублей</t>
  </si>
  <si>
    <t xml:space="preserve">Дом-интернат для психически больных на 400 мест </t>
  </si>
  <si>
    <t xml:space="preserve">Государственная программа Российской Федерации "Обеспечение доступным и комфортным жильём и коммунальными услугами граждан Российской Федерации".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                  </t>
  </si>
  <si>
    <t xml:space="preserve">2024 год
</t>
  </si>
  <si>
    <t>2026 год</t>
  </si>
  <si>
    <t>доработка проектной документации</t>
  </si>
  <si>
    <t>28 248,94169 тыс. рублей</t>
  </si>
  <si>
    <t>32 099,05 тыс. рублей</t>
  </si>
  <si>
    <t>423 661,722 тыс. рублей</t>
  </si>
  <si>
    <t>16 789,853 тыс. рублей</t>
  </si>
  <si>
    <t>23 970,00 тыс. рублей</t>
  </si>
  <si>
    <t>68 478,17 тыс. рублей</t>
  </si>
  <si>
    <t>239 696,08 тыс. рублей</t>
  </si>
  <si>
    <t>265 866,02434 тыс. рублей</t>
  </si>
  <si>
    <t>10 001,00 тыс. рублей</t>
  </si>
  <si>
    <t>89 446,93877 тыс. рублей</t>
  </si>
  <si>
    <t>5 000,00 тыс. рублей</t>
  </si>
  <si>
    <t>427 954,16 тыс. рублей</t>
  </si>
  <si>
    <t>88 743,38 тыс. рублей</t>
  </si>
  <si>
    <t>2 027 528,513 тыс. рублей</t>
  </si>
  <si>
    <t>935 270,909 тыс. рублей</t>
  </si>
  <si>
    <t>872 603,24 тыс. рублей</t>
  </si>
  <si>
    <t>820 779,384 тыс. рублей</t>
  </si>
  <si>
    <t>804 891,371 тыс. рублей</t>
  </si>
  <si>
    <t>768 865,7 тыс. рублей</t>
  </si>
  <si>
    <t>912 578,86 тыс. рублей</t>
  </si>
  <si>
    <t>14 000,00 тыс. рублей</t>
  </si>
  <si>
    <t>243 200,00 тыс. рублей</t>
  </si>
  <si>
    <t>869 769,848 тыс. рублей</t>
  </si>
  <si>
    <t>713 971,542 тыс. рублей</t>
  </si>
  <si>
    <t>544 267,372 тыс. рублей</t>
  </si>
  <si>
    <t>200 200,2002 тыс. рублей</t>
  </si>
  <si>
    <t>210 210,21021 тыс. рублей</t>
  </si>
  <si>
    <t>117 084,63 тыс. рублей</t>
  </si>
  <si>
    <t>178 825,34 тыс. рублей</t>
  </si>
  <si>
    <t>Строительство детского сада на 150 мест в с.Усть-Большерецк (проектные работы)</t>
  </si>
  <si>
    <t>субсидии на осуществление капитальных вложений в объекты государственной (муниципальной) собственности автономным учреждениям</t>
  </si>
  <si>
    <t>Государственная программа Камчатского края "Комплексное развитие сельских территорий Камчатского края". Подпрограмма  "Создание и развитие инфраструктуры на сельских территориях"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</si>
  <si>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</t>
  </si>
  <si>
    <t>Государственная программа Камчатского края "Социальная поддержка граждан в Камчатском крае". Подпрограмма "Развитие системы социального обслуживания населения в Камчатском крае".</t>
  </si>
  <si>
    <t xml:space="preserve">субсидии на осуществление капитальных вложений в объекты государственной (муниципальной) собственности государственным унитарным предприятиям </t>
  </si>
  <si>
    <t xml:space="preserve">субсидии на осуществление капитальных вложений в объекты капитального строительства государственной (муниципальной) собственности </t>
  </si>
  <si>
    <t xml:space="preserve">субсидии на осуществление капитальных вложений в объекты государственной (муниципальной) собственности </t>
  </si>
  <si>
    <t>внебюджетные источники - средства МУП "Водоканал Усть-Камчатского сельского поселения"</t>
  </si>
  <si>
    <t>2024 год,  7 лет</t>
  </si>
  <si>
    <t xml:space="preserve">2023 год, 3 года </t>
  </si>
  <si>
    <t>2021 год, 3 года</t>
  </si>
  <si>
    <t xml:space="preserve">2024 год, 3 года </t>
  </si>
  <si>
    <t xml:space="preserve">2022 год, 4 года </t>
  </si>
  <si>
    <t>2023 год, 3 года</t>
  </si>
  <si>
    <t>2023 год, 4 года</t>
  </si>
  <si>
    <t xml:space="preserve">2022 год, 1 год </t>
  </si>
  <si>
    <t xml:space="preserve">2023 год, 2 года </t>
  </si>
  <si>
    <t xml:space="preserve">2020-2021 годы </t>
  </si>
  <si>
    <t>2.8</t>
  </si>
  <si>
    <t>3.1</t>
  </si>
  <si>
    <t>3.2</t>
  </si>
  <si>
    <t>от 23.03.2017
№ 41-1-1-3-0020-17, 
от 29.05.2017 
№ 1-1-6-0022-17</t>
  </si>
  <si>
    <t>от 12.08.2014
№ 41-1-5-0077-14,
от 08.06.2015
№ 1-1-6-0023-15</t>
  </si>
  <si>
    <t xml:space="preserve"> от 29.01.2018  
№ 41-1-1-2-0003-18, 
от 10.08.2018  
№ 41-1-0155-18</t>
  </si>
  <si>
    <t>от 25.02.2020 
№ 41-1-1-3-004624-2020,    
от 30.03.2020 
№ 41-1-0051-20</t>
  </si>
  <si>
    <t xml:space="preserve">от 25.07.2017                                                                      
 № 41-1-1-3-0050-17,                                                     
от 06.02.2018                                                                      
№ 41-1-0016-18 </t>
  </si>
  <si>
    <t>от 27.05.2020 
№ 41-1-0090-20</t>
  </si>
  <si>
    <t>от 25.09.2013 
№ 41-1-4-0085-13, 
от 26.09.2013 
№ 41-1-6-0086-13</t>
  </si>
  <si>
    <t xml:space="preserve">от 23.01.2018
№ 41-1-1-0001-18 </t>
  </si>
  <si>
    <t xml:space="preserve">Привязка проекта повторного применения </t>
  </si>
  <si>
    <t xml:space="preserve"> от 27.02.2018 
№ 41-1-1-3-0009-18, 
от 27.02.2018 
№ 41-1-0026-18</t>
  </si>
  <si>
    <t>от 31.05.2018                                            
№ 41-1-1-3-0031-18                                            
 от 24.12.2018 
№ 41-1-0281-18</t>
  </si>
  <si>
    <t>от 15.12.2014 
№ 41-1-5-0118-14</t>
  </si>
  <si>
    <t xml:space="preserve">от 05.03.2019 
№ 41-1-1-3-004985-2019; 
от 20.09.2019 
№ 41-1-0289-19 </t>
  </si>
  <si>
    <t xml:space="preserve"> от 29.06.2018
№ 41-1-1-3-0041-18; 
от 03.07.2018
№ 41-1-0105-18 </t>
  </si>
  <si>
    <t>от 13.05.2016 
№ 1-6-3-0011-16; 
от 14.03.2016  
№ 41-1-3-0009-16</t>
  </si>
  <si>
    <t>от 24.12.2014 
№ 41-1-5-0125-14; 
от 24.12.2014 
№ 1-1-6-0061-14;
от 22.05.2015 
№ 1-1-6-0020-15.</t>
  </si>
  <si>
    <t>от 08.08.2017                                
№ 41-1-1-3-0053-17                                                  
 от 17.08.2017                                                  
№ 1-1-6-0050-17</t>
  </si>
  <si>
    <t>от 10.06.2015 
№ 41-1-5-0042-15</t>
  </si>
  <si>
    <t>от 23.05.2013 
№ 41-1-5-0037-14</t>
  </si>
  <si>
    <t xml:space="preserve">от 20.09.2016 
№ 41-1-1-3-0066-16, 
от 28.09.2016
 № 1-1-6-0046-16 </t>
  </si>
  <si>
    <t>от 06.03.2017 
№ 41-1-1-3-0014-17;
от 30.06.2017 
№ 1-1-6-0030-17</t>
  </si>
  <si>
    <t>от 28.01.2011 
№ 41-1-5-0002-12</t>
  </si>
  <si>
    <t>от 08.04.2020 
№ 41.1.3-010996-2021</t>
  </si>
  <si>
    <t xml:space="preserve">от 04.09.2019 
№ 41-1-262-19 </t>
  </si>
  <si>
    <t>от 14.03.2017 
№ 41-1-1-3-0015-17</t>
  </si>
  <si>
    <t xml:space="preserve">от 27.12.2019
№ 108-17-2020-078 </t>
  </si>
  <si>
    <t xml:space="preserve">от 19.09.2017 
№ 41-1-1-3-0074-17 </t>
  </si>
  <si>
    <t xml:space="preserve">от 16.10.2017 
№ 41-1-1-3-0077-17 </t>
  </si>
  <si>
    <t>от 16.10.2017 
№ 41-1-1-3-0072-17</t>
  </si>
  <si>
    <t>от 17.06.2016 
№ 41-1-1-3-0042-16</t>
  </si>
  <si>
    <t xml:space="preserve">от 29.11.2018 
№ 41-1-1-3-005946-2018 </t>
  </si>
  <si>
    <t xml:space="preserve">от 26.11.2018
№ 41-1-1-3-005550-2018 </t>
  </si>
  <si>
    <t>от 11.04.2018 
№ 41-1-1-3-0020-18</t>
  </si>
  <si>
    <t>от 16.08.2017 
№ 1-1-6-0048-17, 
от 02.08.2017 
№ 41-1-1-3-0051-17</t>
  </si>
  <si>
    <t>от 12.04.2018 
№ 41-1-0053-18, 
от 05.12.2017 
№ 41-1-1-3-0091-17</t>
  </si>
  <si>
    <t xml:space="preserve">
от 05.07.2016
№ 2-1-6-0033-16
</t>
  </si>
  <si>
    <t>Государственная программа Камчатского края "Развитие транспортной системы в Камчатском крае". Подпрограмма "Развитие пассажирского автомобильного транспорта"</t>
  </si>
  <si>
    <t>Реконструкция трубопроводов тепловой сети с исчерпанным остаточным ресурсом в п. Лесной Новолесновского сельского поселения (в том числе проектные работы)</t>
  </si>
  <si>
    <t>Подключение (присоединение) к сетям инженерно-технического обеспечения. Реконструкция сетей централизованного теплоснабжения и холодного водоснабжения  улиц Березовая, Зеленая, Южная, Кедровая, пер. Медвежий угол, ул. им. Девяткина, ул. Линейная с. Эссо Быстринского района Камчатского края (в том числе проектные работы)</t>
  </si>
  <si>
    <t>15.</t>
  </si>
  <si>
    <t>15.1</t>
  </si>
  <si>
    <t>Государственная программа Камчатского края "Комплексное развитие сельских территорий Камчатского края"</t>
  </si>
  <si>
    <t xml:space="preserve">Здание Дома культуры на 100 мест в поселке Лесной Новолесновского сельского поселения Елизовского муниципального района </t>
  </si>
  <si>
    <t>Обустройство водозабора с бурением дополнительной скважины и строительство централизованной системы водоснабжения в с. Крутоберегово Усть-Камчатского сельского поселения (в том числе проектные работы)</t>
  </si>
  <si>
    <t>Обустройство водозаборных сооружений с бурением дополнительной скважины и строительством централизованной системы водоснабжения в с. Апука Олюторского района (в том числе проектные работы )</t>
  </si>
  <si>
    <t>Реконструкция резервуаров чистой воды "Богородское озеро" (в том числе проектные работы)</t>
  </si>
  <si>
    <t>Строительство напорного коллектора в 2 ветки через реку Авача от КНС-9 до КОС-29 (в том числе проектные работы)</t>
  </si>
  <si>
    <t xml:space="preserve">Реконструкция и строительство канализационной насосной станции, канализационных очистных сооружений в Вулканном городском поселении (в том числе проектные работы) </t>
  </si>
  <si>
    <t>Строительство очистных сооружений и сети централизованного коллектора с сооружением в с. Лесная Тигильского района (в том числе проектные работы)</t>
  </si>
  <si>
    <t xml:space="preserve">муниципальная  </t>
  </si>
  <si>
    <t>Приобретение судна на воздушной подушке</t>
  </si>
  <si>
    <t>8.17</t>
  </si>
  <si>
    <t>Проведение мероприятий, направленных на реконструкцию и строительство систем водоснабжения</t>
  </si>
  <si>
    <t>Министерство строительства и жилищной политики Камчатского края</t>
  </si>
  <si>
    <t>Министерство социального благополучия и семейной политики Камчатского края</t>
  </si>
  <si>
    <t>Министерство специальных программ Камчатского края</t>
  </si>
  <si>
    <t>7.13</t>
  </si>
  <si>
    <t>Строительство внеплощадочных сетей водоснабжения для микрорайона Северный в г. Петропавловске-Камчатском</t>
  </si>
  <si>
    <t>1735 п.м</t>
  </si>
  <si>
    <t>7.14</t>
  </si>
  <si>
    <t>Строительство внеплощадочных сетей водоотведения для микрорайона Северный в г. Петропавловске-Камчатском</t>
  </si>
  <si>
    <t>700 п.м</t>
  </si>
  <si>
    <t>7.15</t>
  </si>
  <si>
    <t>1300 п.м</t>
  </si>
  <si>
    <t>Строительство внеплощадочных сетей теплоснабжения для микрорайона Северный в г. Петропавловске-Камчатском</t>
  </si>
  <si>
    <t>2.9</t>
  </si>
  <si>
    <t>Сельский учебный комплекс "Школа-детский сад" в с. Средние Пахачи Олюторского района</t>
  </si>
  <si>
    <t xml:space="preserve">2023 год </t>
  </si>
  <si>
    <t>135 мест</t>
  </si>
  <si>
    <t>736 000,00 тыс. рублей</t>
  </si>
  <si>
    <t>Олюторский муниципальный район</t>
  </si>
  <si>
    <t>11.3</t>
  </si>
  <si>
    <t>4 квартиры</t>
  </si>
  <si>
    <t>Сельское поселение "село Хайрюзово"</t>
  </si>
  <si>
    <t>администрация Сельского поселения "село Хайрюзово"рае</t>
  </si>
  <si>
    <t>Министерство по делам местного самоуправления и развитию Корякского округа Камчатского края</t>
  </si>
  <si>
    <t>23 326,31000 тыс. рублей</t>
  </si>
  <si>
    <t>от 01.12.2013 № 41-1-5-0101-13</t>
  </si>
  <si>
    <t>Сельское поселение "село Слаутное"</t>
  </si>
  <si>
    <t>администрация Сельского поселения "село Слаутное"</t>
  </si>
  <si>
    <t>Сельское поселение "село Пахачи"</t>
  </si>
  <si>
    <t>администрация Сельского поселения "село Пахачи"</t>
  </si>
  <si>
    <t>7.16</t>
  </si>
  <si>
    <t>Многоквартирный жилой дом в районе ул. Спортивная в г. Елизово Камчатского края (разработка проектной документации)</t>
  </si>
  <si>
    <t>2022 год, 3 года</t>
  </si>
  <si>
    <t>2019-2020 годы, 2 года</t>
  </si>
  <si>
    <t>3 619,0  м2</t>
  </si>
  <si>
    <t>Министерство строительства Камчатского края</t>
  </si>
  <si>
    <t>7.17</t>
  </si>
  <si>
    <t>Многоквартирный жилой дом в районе ул. Жупановская в г. Елизово Камчатского края (разработка проектной документации)</t>
  </si>
  <si>
    <t>7 616,11 м2</t>
  </si>
  <si>
    <t>Группа смешанной жилой застройки по улице Кутузова в Петропавловск-Камчатском городском округе. Жилой дом позиция 4 (разработка проектной документации)</t>
  </si>
  <si>
    <t>3 703,38 м2</t>
  </si>
  <si>
    <t>656 403,38 тыс. рублей</t>
  </si>
  <si>
    <t>7.18</t>
  </si>
  <si>
    <t>7.19</t>
  </si>
  <si>
    <t>Жилая застройка на ул. Арсеньева в г. Петропавловске-Камчатском (разработка проектной документации)</t>
  </si>
  <si>
    <t>3 200,0 м2</t>
  </si>
  <si>
    <t>304 000,00 тыс. рублей</t>
  </si>
  <si>
    <t>администрация Елизовского городского поселения</t>
  </si>
  <si>
    <t>администрация Петропавловск-Камчатского городского округа</t>
  </si>
  <si>
    <t>Алеутский муниципальный округ</t>
  </si>
  <si>
    <t>ция Алеутского муниципального округа</t>
  </si>
  <si>
    <t>администрация Ключевского сельского поселения</t>
  </si>
  <si>
    <t>Мильковское сельское поселение</t>
  </si>
  <si>
    <t>администрация Мильковского сельского поселения</t>
  </si>
  <si>
    <t>администрация Вулканного городского поселения</t>
  </si>
  <si>
    <t>Паратунское сельское поселение</t>
  </si>
  <si>
    <t>администрация Паратунского сельского поселения</t>
  </si>
  <si>
    <t>администрация Эссовского сельского поселения</t>
  </si>
  <si>
    <t>Анавгайское сельское поселение</t>
  </si>
  <si>
    <t>администрация Анавгайского сельского поселения</t>
  </si>
  <si>
    <t>Сельское поселение "село Тигиль"</t>
  </si>
  <si>
    <t>администрация Сельского поселения "село Тигиль"</t>
  </si>
  <si>
    <t>Сельское поселение "село Седанка"</t>
  </si>
  <si>
    <t>администрация Сельскоего поселения "село Седанка"</t>
  </si>
  <si>
    <t xml:space="preserve">Усть-БольшнрецкоеНикольское сельское поселение </t>
  </si>
  <si>
    <t xml:space="preserve">администрация Усть-Большерецкого сельского поселения </t>
  </si>
  <si>
    <t>1.6</t>
  </si>
  <si>
    <t>Проектирование, строительство корпуса ГБУЗ Камчатского края "Елизовская районая больница"</t>
  </si>
  <si>
    <t>405 504,40 тыс. рублей</t>
  </si>
  <si>
    <t>администрация Усть-Камчатского сельского поселения</t>
  </si>
  <si>
    <t>Николаевское сельское поселение</t>
  </si>
  <si>
    <t>администрация Николаевского сельского поселения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</si>
  <si>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</si>
  <si>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</si>
  <si>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</si>
  <si>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</si>
  <si>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</si>
  <si>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</si>
  <si>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</si>
  <si>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</si>
  <si>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</si>
  <si>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</si>
  <si>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</si>
  <si>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</si>
  <si>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</si>
  <si>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</si>
  <si>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</si>
  <si>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</si>
  <si>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Строительство ФАП в с. Слаутное Пенжинского муниципального района</t>
  </si>
  <si>
    <t>6 месяцев</t>
  </si>
  <si>
    <t>182,4 кв.м</t>
  </si>
  <si>
    <t>КГКУ «Единая дирекция по строительству объекта «Камчатская краевая больница»</t>
  </si>
  <si>
    <t>Строительство ФАП в с. Лесная Тигильского муниципального района</t>
  </si>
  <si>
    <t>Строительство ФАП в с. Ачайваям Олюторского муниципального района</t>
  </si>
  <si>
    <t>Олюторский муницпальный район</t>
  </si>
  <si>
    <t>Строительство Быстринской районной больницы</t>
  </si>
  <si>
    <t>10 месяцев</t>
  </si>
  <si>
    <t>2 500 кв.м</t>
  </si>
  <si>
    <t>Сметная стоимость будет внесена по итогам разработки проектной документации</t>
  </si>
  <si>
    <t>Отсутствует</t>
  </si>
  <si>
    <t>8 месяцев</t>
  </si>
  <si>
    <t>320 кв.м</t>
  </si>
  <si>
    <t>Усть-Камчатский муниципальный район</t>
  </si>
  <si>
    <t>Строительство врачебной амбулатории в п. Пионерский Елизовского муниципального района</t>
  </si>
  <si>
    <t>Строительство врачебной амбулатории в с. Николаевка Елизовского муниципального района</t>
  </si>
  <si>
    <t>Строительство Карагинской районной больницы</t>
  </si>
  <si>
    <t>3 100 кв.м</t>
  </si>
  <si>
    <t>Карагинский муниципальный район</t>
  </si>
  <si>
    <t>Строительство Никольской районной больницы</t>
  </si>
  <si>
    <t>900 кв.м</t>
  </si>
  <si>
    <t>Алеутский муниципальный район</t>
  </si>
  <si>
    <t>Строительство ОВОП в п. Крутогоровский Соболевского муниципального района</t>
  </si>
  <si>
    <t>347,4 кв.м</t>
  </si>
  <si>
    <t>Соболевский муниципальный район</t>
  </si>
  <si>
    <t>№41-1-0098-19 от 07.05.2019</t>
  </si>
  <si>
    <t>Строительство ОВОП в с. Анавгай Быстринского муниципального района</t>
  </si>
  <si>
    <t>182 кв.м</t>
  </si>
  <si>
    <t>Строительство ОВОП в с. Манилы Пенжинского муниципального района</t>
  </si>
  <si>
    <t>Строительство ОВОП в с. Пахачи Олюторского муниципального района</t>
  </si>
  <si>
    <t>Строительство ОВОП в с. Седанка Тигильского муниципального района</t>
  </si>
  <si>
    <t>Строительство ОВОП в с. Тымлат Карагинского муниципального района</t>
  </si>
  <si>
    <t>Строительство Соболевской районной больницы</t>
  </si>
  <si>
    <t>Строительство ФАП в с. Апука Олюторского муниципального района</t>
  </si>
  <si>
    <t>Строительство ФАП в с. Аянка Пенжинского муниципального района</t>
  </si>
  <si>
    <t>№44-1-1-3-0019-17 от 23.03.2017</t>
  </si>
  <si>
    <t>Строительство ФАП в с. Запорожье Усть-Большерецкого муниципального района</t>
  </si>
  <si>
    <t>127,4 кв.м</t>
  </si>
  <si>
    <t>Строительство ФАП в с. Кавалерское Усть- Большерецкого муниципального района</t>
  </si>
  <si>
    <t>Строительство ФАП в с. Карага Карагинского муниципального района</t>
  </si>
  <si>
    <t>Строительство ФАП в с. Ковран Тигильского муниципального района</t>
  </si>
  <si>
    <t>192,4 кв.м</t>
  </si>
  <si>
    <t>Строительство ФАП в с. Хайрюзово Тигильского муниципального района</t>
  </si>
  <si>
    <t>Строительство ФП в с. Березняки Елизовского муниципального района</t>
  </si>
  <si>
    <t>70 кв.м</t>
  </si>
  <si>
    <t>Строительство ФП в с. Двуречье Елизовского муниципального района</t>
  </si>
  <si>
    <t>4 месяцев</t>
  </si>
  <si>
    <t>Строительство ФП в с. Крутоберегово Усть-Камчатского муниципального района</t>
  </si>
  <si>
    <t>Реконструкция автомобильной дороги Мильково – Ключи – Усть-Камчатск на участке км 0 - км 10 (проектные работы)</t>
  </si>
  <si>
    <t>Строительство автостанции регионального значения с реконструкцией имеющихся зданий и сооружений (проектные работы)</t>
  </si>
  <si>
    <t>1628,2 кв. м.</t>
  </si>
  <si>
    <t>Администрация Усть-Камчатского муниципального района</t>
  </si>
  <si>
    <t>МКУ "Дирекция по строительству Усть-Камчатского муниципального района"</t>
  </si>
  <si>
    <t>398457,31525 тыс. рублей</t>
  </si>
  <si>
    <t>Козыревское сельское поселение</t>
  </si>
  <si>
    <t>Ледовый дворец в г. Елизово, Камчатский край</t>
  </si>
  <si>
    <t>МКУ Елизовское РУС</t>
  </si>
  <si>
    <t>146822,70766 тыс. рублей</t>
  </si>
  <si>
    <t>Елизовсеое городское поселение</t>
  </si>
  <si>
    <t>Физкультурно-оздоровительный комплекс в п. Козыревск, Усть-Камчатского района, Камчатского края</t>
  </si>
  <si>
    <t>Строительство врачебной амбулатории в п. Козыревск Усть-Камчатского муниципального района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</si>
  <si>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</si>
  <si>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</si>
  <si>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</si>
  <si>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</si>
  <si>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</si>
  <si>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</si>
  <si>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</si>
  <si>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</si>
  <si>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</si>
  <si>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</si>
  <si>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</si>
  <si>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</si>
  <si>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</si>
  <si>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</si>
  <si>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</si>
  <si>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</si>
  <si>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</si>
  <si>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</si>
  <si>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</si>
  <si>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</si>
  <si>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</si>
  <si>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</si>
  <si>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</si>
  <si>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"Приложение к постановлению  Правительства Камчатского края
от 06.10.2020 № 394-П</t>
  </si>
  <si>
    <t xml:space="preserve">Дом-интернат для граждан пожилого возраста </t>
  </si>
  <si>
    <t>Строительство площадок временного размещения золошлаковых отходов на котельной № 1 в п. Лесной Новолесновского сельского поселения  (в том числе проектные работы)</t>
  </si>
  <si>
    <t>Строительство подъезда к проектируемому аэровокзалу в г. Елизово от автомобильной дороги А-401 "Подъездная дорога от морского порта Петропавловск-Камчатский к аэропорту Петропавловск-Камчатский на участке 34"</t>
  </si>
  <si>
    <t>".</t>
  </si>
  <si>
    <t>3.3</t>
  </si>
  <si>
    <t>Реконструкция здания КГБУ ДО "Корякская школа искусств им. Д.Б. Кабалевского"</t>
  </si>
  <si>
    <t>156 914,31 тыс. рублей</t>
  </si>
  <si>
    <t>Городской округ «посёлок Палана»</t>
  </si>
  <si>
    <t>пусковой</t>
  </si>
  <si>
    <t>от 18.07.2018 № 41-1-1-3-0032-18</t>
  </si>
  <si>
    <t>Средняя общеобразовательная школа в с. Кавалерское Усть-Большерецкого района</t>
  </si>
  <si>
    <t>2.10</t>
  </si>
  <si>
    <t xml:space="preserve">Детский сад по ул. Геофизическая в г. Елизово </t>
  </si>
  <si>
    <t>2019 год</t>
  </si>
  <si>
    <t>Положительное заключение гос.экспертизы от 15.06.20 № 41-1-0118-20</t>
  </si>
  <si>
    <t>2.11</t>
  </si>
  <si>
    <t xml:space="preserve">Детский сад по ул. Дальневосточная в г. Елизово </t>
  </si>
  <si>
    <t>Положительное заключение гос.экспертизы от 12.05.20 № 41-1-0075-20</t>
  </si>
  <si>
    <t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0 - 107,2 км на участке км 5 - км 10 (проектные работы)</t>
  </si>
  <si>
    <t xml:space="preserve">Реконструкция автомобильной дороги Петропавловск-Камчатский - Мильково на участке западного обхода г. Елизово км 27- км 30 с подъездом к Аэропорту (проектные работы) </t>
  </si>
  <si>
    <t>90 мест</t>
  </si>
  <si>
    <t>Строительство Камчатской краевой больницы</t>
  </si>
  <si>
    <t>2.12</t>
  </si>
  <si>
    <t>Детский сад на 200 мест в  п. Ключи Усть-Камчатского района</t>
  </si>
  <si>
    <t>445 848,03 тыс. рублей</t>
  </si>
  <si>
    <t>от 30.09.2015 №  41-1-5-0081-15, 
от 06.10.2015 № 1-1-6-0039-15</t>
  </si>
  <si>
    <t>15 196 053,0 тыс. рублей</t>
  </si>
  <si>
    <t>16.</t>
  </si>
  <si>
    <t>Государственная программа Камчатского края "Развитие внутреннего и въездного туризма в Камчатском крае"</t>
  </si>
  <si>
    <t>16.1</t>
  </si>
  <si>
    <t>Государственная программа Камчатского края "Развитие внутреннего и въездного туризма в Камчатском крае". Подпрограмма "Создание и развитие туристской инфраструктуры в Камчатском крае".</t>
  </si>
  <si>
    <t>Реконструкция здания, расположенного по адресу: Камчатский край, Тигильский район, пгт. Палана, ул. Поротова д.24</t>
  </si>
  <si>
    <t>1 ед.</t>
  </si>
  <si>
    <t>городской округ "поселок Палана"</t>
  </si>
  <si>
    <t xml:space="preserve"> от 07.07.2016 № 2-1-6-0034-16</t>
  </si>
  <si>
    <t xml:space="preserve">Переселение граждан из аварийных жилых домов и непригодных для проживания жилых помещений в соответствии с жилищным законодательством </t>
  </si>
  <si>
    <t xml:space="preserve">Строительство 4-х квартирного дома </t>
  </si>
  <si>
    <t xml:space="preserve">Приобретение жилых помещений в строящемся многоквартирном доме </t>
  </si>
  <si>
    <t>КГКУ "Служба заказчика Министерства строительства и жилищной политики Камчатского края"</t>
  </si>
  <si>
    <t>Приложение к постановлению  Правительства Камчатского края
от 19.02.2021 № 63-П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</si>
</sst>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00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Helv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2"/>
      <name val="Times New Roman Cyr"/>
      <charset val="204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3">
    <xf numFmtId="0" fontId="0" fillId="0" borderId="0"/>
    <xf numFmtId="0" fontId="1" fillId="0" borderId="0"/>
    <xf numFmtId="0" fontId="1" fillId="0" borderId="0"/>
    <xf numFmtId="0" fontId="6" fillId="0" borderId="0"/>
    <xf numFmtId="0" fontId="24" fillId="0" borderId="0"/>
    <xf numFmtId="0" fontId="25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6" applyNumberFormat="0" applyAlignment="0" applyProtection="0"/>
    <xf numFmtId="0" fontId="9" fillId="11" borderId="17" applyNumberFormat="0" applyAlignment="0" applyProtection="0"/>
    <xf numFmtId="0" fontId="10" fillId="11" borderId="16" applyNumberFormat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1" applyNumberFormat="0" applyFill="0" applyAlignment="0" applyProtection="0"/>
    <xf numFmtId="0" fontId="15" fillId="12" borderId="22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4" borderId="23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24" applyNumberFormat="0" applyFill="0" applyAlignment="0" applyProtection="0"/>
    <xf numFmtId="0" fontId="18" fillId="0" borderId="0"/>
    <xf numFmtId="0" fontId="2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3" borderId="0" applyNumberFormat="0" applyBorder="0" applyAlignment="0" applyProtection="0"/>
    <xf numFmtId="166" fontId="1" fillId="0" borderId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164" fontId="2" fillId="0" borderId="1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164" fontId="2" fillId="0" borderId="13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0" xfId="0" applyFont="1" applyFill="1" applyBorder="1"/>
    <xf numFmtId="1" fontId="2" fillId="0" borderId="14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/>
    <xf numFmtId="164" fontId="2" fillId="0" borderId="0" xfId="0" applyNumberFormat="1" applyFont="1" applyFill="1"/>
    <xf numFmtId="164" fontId="4" fillId="0" borderId="0" xfId="0" applyNumberFormat="1" applyFont="1" applyFill="1" applyAlignment="1"/>
    <xf numFmtId="0" fontId="4" fillId="0" borderId="0" xfId="0" applyFont="1" applyFill="1" applyAlignment="1"/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0" fillId="0" borderId="14" xfId="0" applyFill="1" applyBorder="1" applyAlignment="1">
      <alignment horizontal="justify" vertical="top" wrapText="1"/>
    </xf>
    <xf numFmtId="0" fontId="0" fillId="0" borderId="15" xfId="0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164" fontId="2" fillId="0" borderId="2" xfId="0" applyNumberFormat="1" applyFont="1" applyFill="1" applyBorder="1" applyAlignment="1">
      <alignment horizontal="center" vertical="center" textRotation="90" wrapText="1"/>
    </xf>
    <xf numFmtId="164" fontId="2" fillId="0" borderId="3" xfId="0" applyNumberFormat="1" applyFont="1" applyFill="1" applyBorder="1" applyAlignment="1">
      <alignment horizontal="center" vertical="center" textRotation="90" wrapText="1"/>
    </xf>
    <xf numFmtId="164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1" fontId="4" fillId="0" borderId="6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" fontId="2" fillId="0" borderId="13" xfId="0" applyNumberFormat="1" applyFont="1" applyFill="1" applyBorder="1" applyAlignment="1">
      <alignment horizontal="left" vertical="top" wrapText="1"/>
    </xf>
    <xf numFmtId="16" fontId="2" fillId="0" borderId="14" xfId="0" applyNumberFormat="1" applyFont="1" applyFill="1" applyBorder="1" applyAlignment="1">
      <alignment horizontal="left" vertical="top" wrapText="1"/>
    </xf>
    <xf numFmtId="16" fontId="2" fillId="0" borderId="15" xfId="0" applyNumberFormat="1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2" fillId="0" borderId="4" xfId="1" applyFont="1" applyFill="1" applyBorder="1" applyAlignment="1">
      <alignment horizontal="center" vertical="center" textRotation="90" wrapText="1"/>
    </xf>
    <xf numFmtId="4" fontId="2" fillId="0" borderId="2" xfId="1" applyNumberFormat="1" applyFont="1" applyFill="1" applyBorder="1" applyAlignment="1">
      <alignment horizontal="center" vertical="center" textRotation="90" wrapText="1"/>
    </xf>
    <xf numFmtId="4" fontId="2" fillId="0" borderId="3" xfId="1" applyNumberFormat="1" applyFont="1" applyFill="1" applyBorder="1" applyAlignment="1">
      <alignment horizontal="center" vertical="center" textRotation="90" wrapText="1"/>
    </xf>
    <xf numFmtId="4" fontId="2" fillId="0" borderId="4" xfId="1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left" vertical="top" wrapText="1"/>
    </xf>
    <xf numFmtId="16" fontId="2" fillId="0" borderId="6" xfId="0" applyNumberFormat="1" applyFont="1" applyFill="1" applyBorder="1" applyAlignment="1">
      <alignment horizontal="left" vertical="top" wrapText="1"/>
    </xf>
    <xf numFmtId="16" fontId="2" fillId="0" borderId="7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justify" vertical="top" wrapText="1"/>
    </xf>
    <xf numFmtId="0" fontId="30" fillId="0" borderId="15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</cellXfs>
  <cellStyles count="73">
    <cellStyle name="_Информация по  дорожным работам 2010 года" xfId="4"/>
    <cellStyle name="Normal_вып720-767ведом объемов(лот1)2 русск" xfId="5"/>
    <cellStyle name="Акцент1 2" xfId="6"/>
    <cellStyle name="Акцент2 2" xfId="7"/>
    <cellStyle name="Акцент3 2" xfId="8"/>
    <cellStyle name="Акцент4 2" xfId="9"/>
    <cellStyle name="Акцент5 2" xfId="10"/>
    <cellStyle name="Акцент6 2" xfId="11"/>
    <cellStyle name="Ввод  2" xfId="12"/>
    <cellStyle name="Вывод 2" xfId="13"/>
    <cellStyle name="Вычисление 2" xfId="14"/>
    <cellStyle name="Денежный 2" xfId="42"/>
    <cellStyle name="Заголовок 1 2" xfId="15"/>
    <cellStyle name="Заголовок 2 2" xfId="16"/>
    <cellStyle name="Заголовок 3 2" xfId="17"/>
    <cellStyle name="Заголовок 4 2" xfId="18"/>
    <cellStyle name="Итог 2" xfId="19"/>
    <cellStyle name="Контрольная ячейка 2" xfId="20"/>
    <cellStyle name="Название 2" xfId="21"/>
    <cellStyle name="Нейтральный 2" xfId="22"/>
    <cellStyle name="Обычный" xfId="0" builtinId="0"/>
    <cellStyle name="Обычный 10" xfId="44"/>
    <cellStyle name="Обычный 11" xfId="45"/>
    <cellStyle name="Обычный 12" xfId="43"/>
    <cellStyle name="Обычный 16" xfId="46"/>
    <cellStyle name="Обычный 2" xfId="1"/>
    <cellStyle name="Обычный 2 2" xfId="23"/>
    <cellStyle name="Обычный 2 3" xfId="47"/>
    <cellStyle name="Обычный 2 4" xfId="24"/>
    <cellStyle name="Обычный 3" xfId="25"/>
    <cellStyle name="Обычный 3 2" xfId="48"/>
    <cellStyle name="Обычный 3 3" xfId="2"/>
    <cellStyle name="Обычный 4" xfId="26"/>
    <cellStyle name="Обычный 4 2" xfId="49"/>
    <cellStyle name="Обычный 5" xfId="27"/>
    <cellStyle name="Обычный 6" xfId="28"/>
    <cellStyle name="Обычный 6 2" xfId="50"/>
    <cellStyle name="Обычный 6 2 2" xfId="51"/>
    <cellStyle name="Обычный 7" xfId="3"/>
    <cellStyle name="Обычный 7 2" xfId="52"/>
    <cellStyle name="Обычный 8" xfId="53"/>
    <cellStyle name="Обычный 8 2" xfId="54"/>
    <cellStyle name="Обычный 9" xfId="55"/>
    <cellStyle name="Плохой 2" xfId="29"/>
    <cellStyle name="Пояснение 2" xfId="30"/>
    <cellStyle name="Примечание 2" xfId="31"/>
    <cellStyle name="Процентный 2" xfId="32"/>
    <cellStyle name="Процентный 2 2" xfId="57"/>
    <cellStyle name="Процентный 2 3" xfId="56"/>
    <cellStyle name="Процентный 3" xfId="33"/>
    <cellStyle name="Процентный 3 2" xfId="58"/>
    <cellStyle name="Процентный 4" xfId="34"/>
    <cellStyle name="Процентный 4 2" xfId="59"/>
    <cellStyle name="Связанная ячейка 2" xfId="35"/>
    <cellStyle name="Стиль 1" xfId="36"/>
    <cellStyle name="Стиль 1 2" xfId="60"/>
    <cellStyle name="Текст предупреждения 2" xfId="37"/>
    <cellStyle name="Тысячи [0]_S2-ETAL" xfId="38"/>
    <cellStyle name="Тысячи_S2-ETAL" xfId="39"/>
    <cellStyle name="Финансовый 2" xfId="40"/>
    <cellStyle name="Финансовый 2 2" xfId="61"/>
    <cellStyle name="Финансовый 2 2 2" xfId="67"/>
    <cellStyle name="Финансовый 2 3" xfId="63"/>
    <cellStyle name="Финансовый 2 3 2" xfId="69"/>
    <cellStyle name="Финансовый 2 4" xfId="65"/>
    <cellStyle name="Финансовый 2 4 2" xfId="71"/>
    <cellStyle name="Финансовый 3" xfId="62"/>
    <cellStyle name="Финансовый 3 2" xfId="64"/>
    <cellStyle name="Финансовый 3 2 2" xfId="70"/>
    <cellStyle name="Финансовый 3 3" xfId="66"/>
    <cellStyle name="Финансовый 3 3 2" xfId="72"/>
    <cellStyle name="Финансовый 3 4" xfId="68"/>
    <cellStyle name="Хороший 2" xfId="41"/>
  </cellStyles>
  <dxfs count="0"/>
  <tableStyles count="0" defaultTableStyle="TableStyleMedium2" defaultPivotStyle="PivotStyleLight16"/>
  <colors>
    <mruColors>
      <color rgb="FFAAFE22"/>
      <color rgb="FFCCFFCC"/>
      <color rgb="FFFFCCCC"/>
      <color rgb="FFFA856E"/>
      <color rgb="FFFDC9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70"/>
  <sheetViews>
    <sheetView tabSelected="1" view="pageBreakPreview" zoomScale="85" zoomScaleNormal="85" zoomScaleSheetLayoutView="85" workbookViewId="0">
      <selection activeCell="C3" sqref="C3"/>
    </sheetView>
  </sheetViews>
  <sheetFormatPr defaultColWidth="11.5703125" defaultRowHeight="12.75" x14ac:dyDescent="0.2"/>
  <cols>
    <col min="1" max="1" width="6.42578125" style="1" bestFit="1" customWidth="1"/>
    <col min="2" max="2" width="25.5703125" style="1" customWidth="1"/>
    <col min="3" max="3" width="17" style="1" bestFit="1" customWidth="1"/>
    <col min="4" max="4" width="16.5703125" style="1" customWidth="1"/>
    <col min="5" max="5" width="15.42578125" style="1" customWidth="1"/>
    <col min="6" max="6" width="16.5703125" style="1" customWidth="1"/>
    <col min="7" max="7" width="15.85546875" style="1" customWidth="1"/>
    <col min="8" max="8" width="14.85546875" style="1" customWidth="1"/>
    <col min="9" max="9" width="11" style="1" customWidth="1"/>
    <col min="10" max="10" width="9" style="1" customWidth="1"/>
    <col min="11" max="11" width="21.140625" style="1" customWidth="1"/>
    <col min="12" max="12" width="8.85546875" style="1" customWidth="1"/>
    <col min="13" max="13" width="15.7109375" style="1" customWidth="1"/>
    <col min="14" max="14" width="14.5703125" style="1" customWidth="1"/>
    <col min="15" max="15" width="16.28515625" style="1" customWidth="1"/>
    <col min="16" max="16" width="13.7109375" style="1" customWidth="1"/>
    <col min="17" max="17" width="7" style="1" customWidth="1"/>
    <col min="18" max="18" width="16.85546875" style="1" customWidth="1"/>
    <col min="19" max="19" width="8.28515625" style="1" customWidth="1"/>
    <col min="20" max="20" width="15.85546875" style="1" customWidth="1"/>
    <col min="21" max="22" width="11.5703125" style="1" customWidth="1"/>
    <col min="23" max="16384" width="11.5703125" style="1"/>
  </cols>
  <sheetData>
    <row r="1" spans="1:20" ht="84" customHeight="1" x14ac:dyDescent="0.4">
      <c r="P1" s="91" t="s">
        <v>738</v>
      </c>
      <c r="Q1" s="91"/>
      <c r="R1" s="91"/>
      <c r="S1" s="91"/>
      <c r="T1" s="91"/>
    </row>
    <row r="2" spans="1:20" s="2" customFormat="1" ht="15.75" x14ac:dyDescent="0.2">
      <c r="P2" s="26"/>
      <c r="Q2" s="26"/>
      <c r="R2" s="26"/>
      <c r="S2" s="26"/>
      <c r="T2" s="26"/>
    </row>
    <row r="3" spans="1:20" s="21" customFormat="1" ht="90" customHeight="1" x14ac:dyDescent="0.4">
      <c r="P3" s="92" t="s">
        <v>698</v>
      </c>
      <c r="Q3" s="92"/>
      <c r="R3" s="92"/>
      <c r="S3" s="92"/>
      <c r="T3" s="92"/>
    </row>
    <row r="4" spans="1:20" s="2" customFormat="1" x14ac:dyDescent="0.2">
      <c r="P4" s="12"/>
      <c r="Q4" s="12"/>
      <c r="R4" s="12"/>
      <c r="S4" s="12"/>
      <c r="T4" s="12"/>
    </row>
    <row r="5" spans="1:20" ht="26.25" x14ac:dyDescent="0.2">
      <c r="A5" s="87" t="s">
        <v>379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0" ht="23.25" customHeight="1" x14ac:dyDescent="0.2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</row>
    <row r="7" spans="1:20" s="16" customFormat="1" ht="134.25" customHeight="1" x14ac:dyDescent="0.2">
      <c r="A7" s="13" t="s">
        <v>26</v>
      </c>
      <c r="B7" s="14" t="s">
        <v>9</v>
      </c>
      <c r="C7" s="14" t="s">
        <v>266</v>
      </c>
      <c r="D7" s="14" t="s">
        <v>20</v>
      </c>
      <c r="E7" s="14" t="s">
        <v>23</v>
      </c>
      <c r="F7" s="14" t="s">
        <v>24</v>
      </c>
      <c r="G7" s="14" t="s">
        <v>29</v>
      </c>
      <c r="H7" s="14" t="s">
        <v>52</v>
      </c>
      <c r="I7" s="24" t="s">
        <v>15</v>
      </c>
      <c r="J7" s="24" t="s">
        <v>27</v>
      </c>
      <c r="K7" s="24" t="s">
        <v>14</v>
      </c>
      <c r="L7" s="24" t="s">
        <v>4</v>
      </c>
      <c r="M7" s="24" t="s">
        <v>12</v>
      </c>
      <c r="N7" s="24" t="s">
        <v>13</v>
      </c>
      <c r="O7" s="24" t="s">
        <v>16</v>
      </c>
      <c r="P7" s="24" t="s">
        <v>19</v>
      </c>
      <c r="Q7" s="24" t="s">
        <v>17</v>
      </c>
      <c r="R7" s="24" t="s">
        <v>18</v>
      </c>
      <c r="S7" s="24" t="s">
        <v>28</v>
      </c>
      <c r="T7" s="15" t="s">
        <v>6</v>
      </c>
    </row>
    <row r="8" spans="1:20" s="16" customForma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</row>
    <row r="9" spans="1:20" s="16" customFormat="1" ht="15.95" customHeight="1" x14ac:dyDescent="0.2">
      <c r="A9" s="78" t="s">
        <v>10</v>
      </c>
      <c r="B9" s="82" t="s">
        <v>70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ht="15.95" customHeight="1" x14ac:dyDescent="0.2">
      <c r="A10" s="79"/>
      <c r="B10" s="22" t="s">
        <v>5</v>
      </c>
      <c r="C10" s="3">
        <f>SUM(C11:C14)</f>
        <v>19329402.928159997</v>
      </c>
      <c r="D10" s="3">
        <f t="shared" ref="D10:H10" si="0">SUM(D11:D14)</f>
        <v>3904489.5103500001</v>
      </c>
      <c r="E10" s="3">
        <f t="shared" ref="E10" si="1">SUM(E11:E14)</f>
        <v>1568293.9684599997</v>
      </c>
      <c r="F10" s="3">
        <f t="shared" ref="F10" si="2">SUM(F11:F14)</f>
        <v>5450030.4493499994</v>
      </c>
      <c r="G10" s="3">
        <f t="shared" si="0"/>
        <v>4555565</v>
      </c>
      <c r="H10" s="3">
        <f t="shared" si="0"/>
        <v>3851024</v>
      </c>
      <c r="I10" s="60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2"/>
    </row>
    <row r="11" spans="1:20" ht="15.95" customHeight="1" x14ac:dyDescent="0.2">
      <c r="A11" s="79"/>
      <c r="B11" s="22" t="s">
        <v>0</v>
      </c>
      <c r="C11" s="3">
        <f>D11+E11+F11+G11+H11</f>
        <v>10829216.215189999</v>
      </c>
      <c r="D11" s="3">
        <f>D19+D27+D35+D43+D51+D59+D67+D75+D83+D91+D99+D107+D115+D123+D131+D139+D147+D155+D163+D171+D179+D187+D195+D203+D211+D219+D227+D235+D243</f>
        <v>3218754.3427900001</v>
      </c>
      <c r="E11" s="3">
        <f t="shared" ref="E11:H11" si="3">E19+E27+E35+E43+E51+E59+E67+E75+E83+E91+E99+E107+E115+E123+E131+E139+E147+E155+E163+E171+E179+E187+E195+E203+E211+E219+E227+E235+E243</f>
        <v>1136725.7698799996</v>
      </c>
      <c r="F11" s="3">
        <f t="shared" si="3"/>
        <v>4482880.1259599999</v>
      </c>
      <c r="G11" s="3">
        <f t="shared" si="3"/>
        <v>981049.34941000002</v>
      </c>
      <c r="H11" s="3">
        <f t="shared" si="3"/>
        <v>1009806.62715</v>
      </c>
      <c r="I11" s="63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5"/>
    </row>
    <row r="12" spans="1:20" ht="15.95" customHeight="1" x14ac:dyDescent="0.2">
      <c r="A12" s="79"/>
      <c r="B12" s="22" t="s">
        <v>1</v>
      </c>
      <c r="C12" s="3">
        <f t="shared" ref="C12:C14" si="4">D12+E12+F12+G12+H12</f>
        <v>2330333.7129700002</v>
      </c>
      <c r="D12" s="3">
        <f t="shared" ref="D12:H12" si="5">D20+D28+D36+D44+D52+D60+D68+D76+D84+D92+D100+D108+D116+D124+D132+D140+D148+D156+D164+D172+D180+D188+D196+D204+D212+D220+D228+D236+D244</f>
        <v>685735.16756000009</v>
      </c>
      <c r="E12" s="3">
        <f>E20+E28+E36+E44+E52+E60+E68+E76+E84+E92+E100+E108+E116+E124+E132+E140+E148+E156+E164+E172+E180+E188+E196+E204+E212+E220+E228+E236+E244</f>
        <v>431568.19857999997</v>
      </c>
      <c r="F12" s="3">
        <f t="shared" si="5"/>
        <v>967150.32339000003</v>
      </c>
      <c r="G12" s="3">
        <f t="shared" si="5"/>
        <v>122608.65059000003</v>
      </c>
      <c r="H12" s="3">
        <f t="shared" si="5"/>
        <v>123271.37284999997</v>
      </c>
      <c r="I12" s="63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</row>
    <row r="13" spans="1:20" ht="15.95" customHeight="1" x14ac:dyDescent="0.2">
      <c r="A13" s="79"/>
      <c r="B13" s="22" t="s">
        <v>2</v>
      </c>
      <c r="C13" s="3">
        <f t="shared" si="4"/>
        <v>0</v>
      </c>
      <c r="D13" s="3">
        <f t="shared" ref="D13:H13" si="6">D21+D29+D37+D45+D53+D61+D69+D77+D85+D93+D101+D109+D117+D125+D133+D141+D149+D157+D165+D173+D181+D189+D197+D205+D213+D221+D229+D237+D245</f>
        <v>0</v>
      </c>
      <c r="E13" s="3">
        <f t="shared" si="6"/>
        <v>0</v>
      </c>
      <c r="F13" s="3">
        <f t="shared" si="6"/>
        <v>0</v>
      </c>
      <c r="G13" s="3">
        <f t="shared" si="6"/>
        <v>0</v>
      </c>
      <c r="H13" s="3">
        <f t="shared" si="6"/>
        <v>0</v>
      </c>
      <c r="I13" s="6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5"/>
    </row>
    <row r="14" spans="1:20" ht="15.95" customHeight="1" x14ac:dyDescent="0.2">
      <c r="A14" s="80"/>
      <c r="B14" s="22" t="s">
        <v>3</v>
      </c>
      <c r="C14" s="3">
        <f t="shared" si="4"/>
        <v>6169853</v>
      </c>
      <c r="D14" s="3">
        <f t="shared" ref="D14:H14" si="7">D22+D30+D38+D46+D54+D62+D70+D78+D86+D94+D102+D110+D118+D126+D134+D142+D150+D158+D166+D174+D182+D190+D198+D206+D214+D222+D230+D238+D246</f>
        <v>0</v>
      </c>
      <c r="E14" s="3">
        <f t="shared" si="7"/>
        <v>0</v>
      </c>
      <c r="F14" s="3">
        <f t="shared" si="7"/>
        <v>0</v>
      </c>
      <c r="G14" s="3">
        <f t="shared" si="7"/>
        <v>3451907</v>
      </c>
      <c r="H14" s="3">
        <f t="shared" si="7"/>
        <v>2717946</v>
      </c>
      <c r="I14" s="66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</row>
    <row r="15" spans="1:20" ht="15.95" customHeight="1" x14ac:dyDescent="0.2">
      <c r="A15" s="34" t="s">
        <v>171</v>
      </c>
      <c r="B15" s="37" t="s">
        <v>55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</row>
    <row r="16" spans="1:20" ht="15.95" customHeight="1" x14ac:dyDescent="0.2">
      <c r="A16" s="35"/>
      <c r="B16" s="54" t="s">
        <v>99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1:20" ht="39.950000000000003" customHeight="1" x14ac:dyDescent="0.2">
      <c r="A17" s="35"/>
      <c r="B17" s="57" t="s">
        <v>56</v>
      </c>
      <c r="C17" s="58"/>
      <c r="D17" s="58"/>
      <c r="E17" s="58"/>
      <c r="F17" s="58"/>
      <c r="G17" s="58"/>
      <c r="H17" s="59"/>
      <c r="I17" s="49"/>
      <c r="J17" s="49"/>
      <c r="K17" s="49" t="s">
        <v>71</v>
      </c>
      <c r="L17" s="49"/>
      <c r="M17" s="49" t="s">
        <v>55</v>
      </c>
      <c r="N17" s="49" t="s">
        <v>55</v>
      </c>
      <c r="O17" s="49" t="s">
        <v>55</v>
      </c>
      <c r="P17" s="75"/>
      <c r="Q17" s="49" t="s">
        <v>33</v>
      </c>
      <c r="R17" s="49" t="s">
        <v>72</v>
      </c>
      <c r="S17" s="49" t="s">
        <v>100</v>
      </c>
      <c r="T17" s="49"/>
    </row>
    <row r="18" spans="1:20" ht="15.95" customHeight="1" x14ac:dyDescent="0.2">
      <c r="A18" s="35"/>
      <c r="B18" s="25" t="s">
        <v>5</v>
      </c>
      <c r="C18" s="6">
        <f>D18+E18+F18+G18+H18</f>
        <v>343683.74611000001</v>
      </c>
      <c r="D18" s="8">
        <f t="shared" ref="D18" si="8">SUM(D19:D22)</f>
        <v>23814.5</v>
      </c>
      <c r="E18" s="8">
        <f t="shared" ref="E18:H18" si="9">SUM(E19:E22)</f>
        <v>6894.6141100000004</v>
      </c>
      <c r="F18" s="8">
        <f t="shared" si="9"/>
        <v>112974.632</v>
      </c>
      <c r="G18" s="8">
        <f t="shared" si="9"/>
        <v>100000</v>
      </c>
      <c r="H18" s="8">
        <f t="shared" si="9"/>
        <v>100000</v>
      </c>
      <c r="I18" s="49"/>
      <c r="J18" s="49"/>
      <c r="K18" s="49"/>
      <c r="L18" s="49"/>
      <c r="M18" s="49"/>
      <c r="N18" s="49"/>
      <c r="O18" s="49"/>
      <c r="P18" s="75"/>
      <c r="Q18" s="49"/>
      <c r="R18" s="49"/>
      <c r="S18" s="49"/>
      <c r="T18" s="49"/>
    </row>
    <row r="19" spans="1:20" ht="15.95" customHeight="1" x14ac:dyDescent="0.2">
      <c r="A19" s="35"/>
      <c r="B19" s="25" t="s">
        <v>0</v>
      </c>
      <c r="C19" s="6">
        <f>D19+E19+F19+G19+H19</f>
        <v>0</v>
      </c>
      <c r="D19" s="8"/>
      <c r="E19" s="8"/>
      <c r="F19" s="8"/>
      <c r="G19" s="8"/>
      <c r="H19" s="8"/>
      <c r="I19" s="49"/>
      <c r="J19" s="49"/>
      <c r="K19" s="49"/>
      <c r="L19" s="49"/>
      <c r="M19" s="49"/>
      <c r="N19" s="49"/>
      <c r="O19" s="49"/>
      <c r="P19" s="75"/>
      <c r="Q19" s="49"/>
      <c r="R19" s="49"/>
      <c r="S19" s="49"/>
      <c r="T19" s="49"/>
    </row>
    <row r="20" spans="1:20" ht="15.95" customHeight="1" x14ac:dyDescent="0.2">
      <c r="A20" s="35"/>
      <c r="B20" s="25" t="s">
        <v>1</v>
      </c>
      <c r="C20" s="6">
        <f>D20+E20+F20+G20+H20</f>
        <v>343683.74611000001</v>
      </c>
      <c r="D20" s="8">
        <v>23814.5</v>
      </c>
      <c r="E20" s="8">
        <v>6894.6141100000004</v>
      </c>
      <c r="F20" s="8">
        <v>112974.632</v>
      </c>
      <c r="G20" s="8">
        <v>100000</v>
      </c>
      <c r="H20" s="8">
        <v>100000</v>
      </c>
      <c r="I20" s="49"/>
      <c r="J20" s="49"/>
      <c r="K20" s="49"/>
      <c r="L20" s="49"/>
      <c r="M20" s="49"/>
      <c r="N20" s="49"/>
      <c r="O20" s="49"/>
      <c r="P20" s="75"/>
      <c r="Q20" s="49"/>
      <c r="R20" s="49"/>
      <c r="S20" s="49"/>
      <c r="T20" s="49"/>
    </row>
    <row r="21" spans="1:20" ht="15.95" customHeight="1" x14ac:dyDescent="0.2">
      <c r="A21" s="35"/>
      <c r="B21" s="25" t="s">
        <v>2</v>
      </c>
      <c r="C21" s="6">
        <f t="shared" ref="C21:C22" si="10">D21+E21+F21+G21+H21</f>
        <v>0</v>
      </c>
      <c r="D21" s="8"/>
      <c r="E21" s="8"/>
      <c r="F21" s="8"/>
      <c r="G21" s="8"/>
      <c r="H21" s="8"/>
      <c r="I21" s="49"/>
      <c r="J21" s="49"/>
      <c r="K21" s="49"/>
      <c r="L21" s="49"/>
      <c r="M21" s="49"/>
      <c r="N21" s="49"/>
      <c r="O21" s="49"/>
      <c r="P21" s="75"/>
      <c r="Q21" s="49"/>
      <c r="R21" s="49"/>
      <c r="S21" s="49"/>
      <c r="T21" s="49"/>
    </row>
    <row r="22" spans="1:20" s="16" customFormat="1" ht="15.95" customHeight="1" x14ac:dyDescent="0.2">
      <c r="A22" s="35"/>
      <c r="B22" s="25" t="s">
        <v>3</v>
      </c>
      <c r="C22" s="6">
        <f t="shared" si="10"/>
        <v>0</v>
      </c>
      <c r="D22" s="8"/>
      <c r="E22" s="8"/>
      <c r="F22" s="8"/>
      <c r="G22" s="8"/>
      <c r="H22" s="8"/>
      <c r="I22" s="49"/>
      <c r="J22" s="49"/>
      <c r="K22" s="49"/>
      <c r="L22" s="49"/>
      <c r="M22" s="49"/>
      <c r="N22" s="49"/>
      <c r="O22" s="49"/>
      <c r="P22" s="75"/>
      <c r="Q22" s="49"/>
      <c r="R22" s="49"/>
      <c r="S22" s="49"/>
      <c r="T22" s="49"/>
    </row>
    <row r="23" spans="1:20" s="16" customFormat="1" ht="15.95" customHeight="1" x14ac:dyDescent="0.2">
      <c r="A23" s="34" t="s">
        <v>172</v>
      </c>
      <c r="B23" s="37" t="s">
        <v>526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</row>
    <row r="24" spans="1:20" s="16" customFormat="1" ht="17.25" customHeight="1" x14ac:dyDescent="0.2">
      <c r="A24" s="35"/>
      <c r="B24" s="54" t="s">
        <v>101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0" s="16" customFormat="1" ht="39.950000000000003" customHeight="1" x14ac:dyDescent="0.2">
      <c r="A25" s="35"/>
      <c r="B25" s="57" t="s">
        <v>613</v>
      </c>
      <c r="C25" s="58"/>
      <c r="D25" s="58"/>
      <c r="E25" s="58"/>
      <c r="F25" s="58"/>
      <c r="G25" s="58"/>
      <c r="H25" s="59"/>
      <c r="I25" s="43" t="s">
        <v>23</v>
      </c>
      <c r="J25" s="43" t="s">
        <v>614</v>
      </c>
      <c r="K25" s="43" t="s">
        <v>42</v>
      </c>
      <c r="L25" s="43" t="s">
        <v>615</v>
      </c>
      <c r="M25" s="43" t="s">
        <v>616</v>
      </c>
      <c r="N25" s="43" t="s">
        <v>73</v>
      </c>
      <c r="O25" s="43" t="s">
        <v>616</v>
      </c>
      <c r="P25" s="46" t="s">
        <v>223</v>
      </c>
      <c r="Q25" s="43" t="s">
        <v>33</v>
      </c>
      <c r="R25" s="43" t="s">
        <v>224</v>
      </c>
      <c r="S25" s="43" t="s">
        <v>34</v>
      </c>
      <c r="T25" s="49" t="s">
        <v>473</v>
      </c>
    </row>
    <row r="26" spans="1:20" s="16" customFormat="1" ht="15.95" customHeight="1" x14ac:dyDescent="0.2">
      <c r="A26" s="35"/>
      <c r="B26" s="25" t="s">
        <v>5</v>
      </c>
      <c r="C26" s="6">
        <f>D26+E26+F26+G26+H26</f>
        <v>132688.201</v>
      </c>
      <c r="D26" s="8">
        <f t="shared" ref="D26:F26" si="11">SUM(D27:D30)</f>
        <v>96590.600999999995</v>
      </c>
      <c r="E26" s="8">
        <f t="shared" si="11"/>
        <v>36097.600000000006</v>
      </c>
      <c r="F26" s="8">
        <f t="shared" si="11"/>
        <v>0</v>
      </c>
      <c r="G26" s="8">
        <f t="shared" ref="G26:H26" si="12">SUM(G27:G30)</f>
        <v>0</v>
      </c>
      <c r="H26" s="8">
        <f t="shared" si="12"/>
        <v>0</v>
      </c>
      <c r="I26" s="44"/>
      <c r="J26" s="44"/>
      <c r="K26" s="44"/>
      <c r="L26" s="44"/>
      <c r="M26" s="44"/>
      <c r="N26" s="44"/>
      <c r="O26" s="44"/>
      <c r="P26" s="47"/>
      <c r="Q26" s="44"/>
      <c r="R26" s="44"/>
      <c r="S26" s="44"/>
      <c r="T26" s="49"/>
    </row>
    <row r="27" spans="1:20" s="16" customFormat="1" ht="15.95" customHeight="1" x14ac:dyDescent="0.2">
      <c r="A27" s="35"/>
      <c r="B27" s="25" t="s">
        <v>0</v>
      </c>
      <c r="C27" s="6">
        <f>D27+E27+F27+G27+H27</f>
        <v>80052.754220000003</v>
      </c>
      <c r="D27" s="8">
        <v>44768.297769999997</v>
      </c>
      <c r="E27" s="8">
        <v>35284.456450000005</v>
      </c>
      <c r="F27" s="8"/>
      <c r="G27" s="8"/>
      <c r="H27" s="8"/>
      <c r="I27" s="44"/>
      <c r="J27" s="44"/>
      <c r="K27" s="44"/>
      <c r="L27" s="44"/>
      <c r="M27" s="44"/>
      <c r="N27" s="44"/>
      <c r="O27" s="44"/>
      <c r="P27" s="47"/>
      <c r="Q27" s="44"/>
      <c r="R27" s="44"/>
      <c r="S27" s="44"/>
      <c r="T27" s="49"/>
    </row>
    <row r="28" spans="1:20" s="16" customFormat="1" ht="15.95" customHeight="1" x14ac:dyDescent="0.2">
      <c r="A28" s="35"/>
      <c r="B28" s="25" t="s">
        <v>1</v>
      </c>
      <c r="C28" s="6">
        <f>D28+E28+F28+G28+H28</f>
        <v>52635.446780000006</v>
      </c>
      <c r="D28" s="8">
        <f>50790.601+1031.70223</f>
        <v>51822.303230000005</v>
      </c>
      <c r="E28" s="8">
        <f>0+813.14355</f>
        <v>813.14355</v>
      </c>
      <c r="F28" s="8"/>
      <c r="G28" s="8"/>
      <c r="H28" s="8"/>
      <c r="I28" s="44"/>
      <c r="J28" s="44"/>
      <c r="K28" s="44"/>
      <c r="L28" s="44"/>
      <c r="M28" s="44"/>
      <c r="N28" s="44"/>
      <c r="O28" s="44"/>
      <c r="P28" s="47"/>
      <c r="Q28" s="44"/>
      <c r="R28" s="44"/>
      <c r="S28" s="44"/>
      <c r="T28" s="49"/>
    </row>
    <row r="29" spans="1:20" s="16" customFormat="1" ht="15.95" customHeight="1" x14ac:dyDescent="0.2">
      <c r="A29" s="35"/>
      <c r="B29" s="25" t="s">
        <v>2</v>
      </c>
      <c r="C29" s="6">
        <f>SUM(D29:H29)</f>
        <v>0</v>
      </c>
      <c r="D29" s="8"/>
      <c r="E29" s="8"/>
      <c r="F29" s="8"/>
      <c r="G29" s="8"/>
      <c r="H29" s="8"/>
      <c r="I29" s="44"/>
      <c r="J29" s="44"/>
      <c r="K29" s="44"/>
      <c r="L29" s="44"/>
      <c r="M29" s="44"/>
      <c r="N29" s="44"/>
      <c r="O29" s="44"/>
      <c r="P29" s="47"/>
      <c r="Q29" s="44"/>
      <c r="R29" s="44"/>
      <c r="S29" s="44"/>
      <c r="T29" s="49"/>
    </row>
    <row r="30" spans="1:20" s="16" customFormat="1" ht="15.95" customHeight="1" x14ac:dyDescent="0.2">
      <c r="A30" s="36"/>
      <c r="B30" s="25" t="s">
        <v>3</v>
      </c>
      <c r="C30" s="6">
        <f>SUM(D30:H30)</f>
        <v>0</v>
      </c>
      <c r="D30" s="8"/>
      <c r="E30" s="8"/>
      <c r="F30" s="8"/>
      <c r="G30" s="8"/>
      <c r="H30" s="8"/>
      <c r="I30" s="45"/>
      <c r="J30" s="45"/>
      <c r="K30" s="45"/>
      <c r="L30" s="45"/>
      <c r="M30" s="45"/>
      <c r="N30" s="45"/>
      <c r="O30" s="45"/>
      <c r="P30" s="48"/>
      <c r="Q30" s="45"/>
      <c r="R30" s="45"/>
      <c r="S30" s="45"/>
      <c r="T30" s="49"/>
    </row>
    <row r="31" spans="1:20" s="16" customFormat="1" ht="15.95" customHeight="1" x14ac:dyDescent="0.2">
      <c r="A31" s="34" t="s">
        <v>175</v>
      </c>
      <c r="B31" s="37" t="s">
        <v>526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</row>
    <row r="32" spans="1:20" s="16" customFormat="1" ht="15.95" customHeight="1" x14ac:dyDescent="0.2">
      <c r="A32" s="35"/>
      <c r="B32" s="54" t="s">
        <v>101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</row>
    <row r="33" spans="1:20" s="16" customFormat="1" ht="39.950000000000003" customHeight="1" x14ac:dyDescent="0.2">
      <c r="A33" s="35"/>
      <c r="B33" s="57" t="s">
        <v>617</v>
      </c>
      <c r="C33" s="58"/>
      <c r="D33" s="58"/>
      <c r="E33" s="58"/>
      <c r="F33" s="58"/>
      <c r="G33" s="58"/>
      <c r="H33" s="59"/>
      <c r="I33" s="43" t="s">
        <v>23</v>
      </c>
      <c r="J33" s="43" t="s">
        <v>21</v>
      </c>
      <c r="K33" s="43" t="s">
        <v>42</v>
      </c>
      <c r="L33" s="43" t="s">
        <v>615</v>
      </c>
      <c r="M33" s="43" t="s">
        <v>616</v>
      </c>
      <c r="N33" s="43" t="s">
        <v>73</v>
      </c>
      <c r="O33" s="43" t="s">
        <v>616</v>
      </c>
      <c r="P33" s="46" t="s">
        <v>396</v>
      </c>
      <c r="Q33" s="43" t="s">
        <v>33</v>
      </c>
      <c r="R33" s="43" t="s">
        <v>319</v>
      </c>
      <c r="S33" s="43" t="s">
        <v>34</v>
      </c>
      <c r="T33" s="49"/>
    </row>
    <row r="34" spans="1:20" s="16" customFormat="1" ht="15.95" customHeight="1" x14ac:dyDescent="0.2">
      <c r="A34" s="35"/>
      <c r="B34" s="25" t="s">
        <v>5</v>
      </c>
      <c r="C34" s="6">
        <f>D34+E34+F34+G34+H34</f>
        <v>107966.64199999999</v>
      </c>
      <c r="D34" s="8">
        <f t="shared" ref="D34:F34" si="13">SUM(D35:D38)</f>
        <v>107966.64199999999</v>
      </c>
      <c r="E34" s="8">
        <f t="shared" si="13"/>
        <v>0</v>
      </c>
      <c r="F34" s="8">
        <f t="shared" si="13"/>
        <v>0</v>
      </c>
      <c r="G34" s="8">
        <f t="shared" ref="G34:H34" si="14">SUM(G35:G38)</f>
        <v>0</v>
      </c>
      <c r="H34" s="8">
        <f t="shared" si="14"/>
        <v>0</v>
      </c>
      <c r="I34" s="44"/>
      <c r="J34" s="44"/>
      <c r="K34" s="44"/>
      <c r="L34" s="44"/>
      <c r="M34" s="44"/>
      <c r="N34" s="44"/>
      <c r="O34" s="44"/>
      <c r="P34" s="47"/>
      <c r="Q34" s="44"/>
      <c r="R34" s="44"/>
      <c r="S34" s="44"/>
      <c r="T34" s="49"/>
    </row>
    <row r="35" spans="1:20" s="16" customFormat="1" ht="15.95" customHeight="1" x14ac:dyDescent="0.2">
      <c r="A35" s="35"/>
      <c r="B35" s="25" t="s">
        <v>0</v>
      </c>
      <c r="C35" s="6">
        <f>D35+E35+F35+G35+H35</f>
        <v>53500.383569999998</v>
      </c>
      <c r="D35" s="8">
        <v>53500.383569999998</v>
      </c>
      <c r="E35" s="8"/>
      <c r="F35" s="8"/>
      <c r="G35" s="8"/>
      <c r="H35" s="8"/>
      <c r="I35" s="44"/>
      <c r="J35" s="44"/>
      <c r="K35" s="44"/>
      <c r="L35" s="44"/>
      <c r="M35" s="44"/>
      <c r="N35" s="44"/>
      <c r="O35" s="44"/>
      <c r="P35" s="47"/>
      <c r="Q35" s="44"/>
      <c r="R35" s="44"/>
      <c r="S35" s="44"/>
      <c r="T35" s="49"/>
    </row>
    <row r="36" spans="1:20" s="16" customFormat="1" ht="15.95" customHeight="1" x14ac:dyDescent="0.2">
      <c r="A36" s="35"/>
      <c r="B36" s="25" t="s">
        <v>1</v>
      </c>
      <c r="C36" s="6">
        <f>D36+E36+F36+G36+H36</f>
        <v>54466.258430000002</v>
      </c>
      <c r="D36" s="8">
        <f>53233.322+1232.93643</f>
        <v>54466.258430000002</v>
      </c>
      <c r="E36" s="8"/>
      <c r="F36" s="8"/>
      <c r="G36" s="8"/>
      <c r="H36" s="8"/>
      <c r="I36" s="44"/>
      <c r="J36" s="44"/>
      <c r="K36" s="44"/>
      <c r="L36" s="44"/>
      <c r="M36" s="44"/>
      <c r="N36" s="44"/>
      <c r="O36" s="44"/>
      <c r="P36" s="47"/>
      <c r="Q36" s="44"/>
      <c r="R36" s="44"/>
      <c r="S36" s="44"/>
      <c r="T36" s="49"/>
    </row>
    <row r="37" spans="1:20" s="16" customFormat="1" ht="15.95" customHeight="1" x14ac:dyDescent="0.2">
      <c r="A37" s="35"/>
      <c r="B37" s="25" t="s">
        <v>2</v>
      </c>
      <c r="C37" s="6">
        <f>SUM(D37:H37)</f>
        <v>0</v>
      </c>
      <c r="D37" s="8"/>
      <c r="E37" s="8"/>
      <c r="F37" s="8"/>
      <c r="G37" s="8"/>
      <c r="H37" s="8"/>
      <c r="I37" s="44"/>
      <c r="J37" s="44"/>
      <c r="K37" s="44"/>
      <c r="L37" s="44"/>
      <c r="M37" s="44"/>
      <c r="N37" s="44"/>
      <c r="O37" s="44"/>
      <c r="P37" s="47"/>
      <c r="Q37" s="44"/>
      <c r="R37" s="44"/>
      <c r="S37" s="44"/>
      <c r="T37" s="49"/>
    </row>
    <row r="38" spans="1:20" s="16" customFormat="1" ht="15.95" customHeight="1" x14ac:dyDescent="0.2">
      <c r="A38" s="36"/>
      <c r="B38" s="25" t="s">
        <v>3</v>
      </c>
      <c r="C38" s="6">
        <f>SUM(D38:H38)</f>
        <v>0</v>
      </c>
      <c r="D38" s="8"/>
      <c r="E38" s="8"/>
      <c r="F38" s="8"/>
      <c r="G38" s="8"/>
      <c r="H38" s="8"/>
      <c r="I38" s="45"/>
      <c r="J38" s="45"/>
      <c r="K38" s="45"/>
      <c r="L38" s="45"/>
      <c r="M38" s="45"/>
      <c r="N38" s="45"/>
      <c r="O38" s="45"/>
      <c r="P38" s="48"/>
      <c r="Q38" s="45"/>
      <c r="R38" s="45"/>
      <c r="S38" s="45"/>
      <c r="T38" s="49"/>
    </row>
    <row r="39" spans="1:20" s="16" customFormat="1" ht="15.95" customHeight="1" x14ac:dyDescent="0.2">
      <c r="A39" s="34" t="s">
        <v>176</v>
      </c>
      <c r="B39" s="37" t="s">
        <v>526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</row>
    <row r="40" spans="1:20" s="16" customFormat="1" ht="15.95" customHeight="1" x14ac:dyDescent="0.2">
      <c r="A40" s="35"/>
      <c r="B40" s="54" t="s">
        <v>101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s="16" customFormat="1" ht="39.950000000000003" customHeight="1" x14ac:dyDescent="0.2">
      <c r="A41" s="35"/>
      <c r="B41" s="57" t="s">
        <v>618</v>
      </c>
      <c r="C41" s="58"/>
      <c r="D41" s="58"/>
      <c r="E41" s="58"/>
      <c r="F41" s="58"/>
      <c r="G41" s="58"/>
      <c r="H41" s="59"/>
      <c r="I41" s="43" t="s">
        <v>23</v>
      </c>
      <c r="J41" s="43" t="s">
        <v>614</v>
      </c>
      <c r="K41" s="43" t="s">
        <v>42</v>
      </c>
      <c r="L41" s="43" t="s">
        <v>615</v>
      </c>
      <c r="M41" s="43" t="s">
        <v>616</v>
      </c>
      <c r="N41" s="43" t="s">
        <v>73</v>
      </c>
      <c r="O41" s="43" t="s">
        <v>616</v>
      </c>
      <c r="P41" s="46" t="s">
        <v>225</v>
      </c>
      <c r="Q41" s="43" t="s">
        <v>33</v>
      </c>
      <c r="R41" s="43" t="s">
        <v>619</v>
      </c>
      <c r="S41" s="43" t="s">
        <v>34</v>
      </c>
      <c r="T41" s="49" t="s">
        <v>474</v>
      </c>
    </row>
    <row r="42" spans="1:20" s="16" customFormat="1" ht="15.95" customHeight="1" x14ac:dyDescent="0.2">
      <c r="A42" s="35"/>
      <c r="B42" s="25" t="s">
        <v>5</v>
      </c>
      <c r="C42" s="6">
        <f>D42+E42+F42+G42+H42</f>
        <v>96205.423999999999</v>
      </c>
      <c r="D42" s="8">
        <f t="shared" ref="D42:F42" si="15">SUM(D43:D46)</f>
        <v>63355.563999999998</v>
      </c>
      <c r="E42" s="8">
        <f t="shared" si="15"/>
        <v>32849.86</v>
      </c>
      <c r="F42" s="8">
        <f t="shared" si="15"/>
        <v>0</v>
      </c>
      <c r="G42" s="8">
        <f t="shared" ref="G42:H42" si="16">SUM(G43:G46)</f>
        <v>0</v>
      </c>
      <c r="H42" s="8">
        <f t="shared" si="16"/>
        <v>0</v>
      </c>
      <c r="I42" s="44"/>
      <c r="J42" s="44"/>
      <c r="K42" s="44"/>
      <c r="L42" s="44"/>
      <c r="M42" s="44"/>
      <c r="N42" s="44"/>
      <c r="O42" s="44"/>
      <c r="P42" s="47"/>
      <c r="Q42" s="44"/>
      <c r="R42" s="44"/>
      <c r="S42" s="44"/>
      <c r="T42" s="49"/>
    </row>
    <row r="43" spans="1:20" s="16" customFormat="1" ht="15.95" customHeight="1" x14ac:dyDescent="0.2">
      <c r="A43" s="35"/>
      <c r="B43" s="25" t="s">
        <v>0</v>
      </c>
      <c r="C43" s="6">
        <f>D43+E43+F43+G43+H43</f>
        <v>63074.076220000003</v>
      </c>
      <c r="D43" s="8">
        <v>30964.200370000002</v>
      </c>
      <c r="E43" s="8">
        <v>32109.87585</v>
      </c>
      <c r="F43" s="8"/>
      <c r="G43" s="8"/>
      <c r="H43" s="8"/>
      <c r="I43" s="44"/>
      <c r="J43" s="44"/>
      <c r="K43" s="44"/>
      <c r="L43" s="44"/>
      <c r="M43" s="44"/>
      <c r="N43" s="44"/>
      <c r="O43" s="44"/>
      <c r="P43" s="47"/>
      <c r="Q43" s="44"/>
      <c r="R43" s="44"/>
      <c r="S43" s="44"/>
      <c r="T43" s="49"/>
    </row>
    <row r="44" spans="1:20" s="16" customFormat="1" ht="15.95" customHeight="1" x14ac:dyDescent="0.2">
      <c r="A44" s="35"/>
      <c r="B44" s="25" t="s">
        <v>1</v>
      </c>
      <c r="C44" s="6">
        <f>D44+E44+F44+G44+H44</f>
        <v>33131.347779999996</v>
      </c>
      <c r="D44" s="8">
        <f>31677.782+713.58163</f>
        <v>32391.36363</v>
      </c>
      <c r="E44" s="8">
        <f>0+739.98415</f>
        <v>739.98415</v>
      </c>
      <c r="F44" s="8"/>
      <c r="G44" s="8"/>
      <c r="H44" s="8"/>
      <c r="I44" s="44"/>
      <c r="J44" s="44"/>
      <c r="K44" s="44"/>
      <c r="L44" s="44"/>
      <c r="M44" s="44"/>
      <c r="N44" s="44"/>
      <c r="O44" s="44"/>
      <c r="P44" s="47"/>
      <c r="Q44" s="44"/>
      <c r="R44" s="44"/>
      <c r="S44" s="44"/>
      <c r="T44" s="49"/>
    </row>
    <row r="45" spans="1:20" s="16" customFormat="1" ht="15.95" customHeight="1" x14ac:dyDescent="0.2">
      <c r="A45" s="35"/>
      <c r="B45" s="25" t="s">
        <v>2</v>
      </c>
      <c r="C45" s="6">
        <f>SUM(D45:H45)</f>
        <v>0</v>
      </c>
      <c r="D45" s="8"/>
      <c r="E45" s="8"/>
      <c r="F45" s="8"/>
      <c r="G45" s="8"/>
      <c r="H45" s="8"/>
      <c r="I45" s="44"/>
      <c r="J45" s="44"/>
      <c r="K45" s="44"/>
      <c r="L45" s="44"/>
      <c r="M45" s="44"/>
      <c r="N45" s="44"/>
      <c r="O45" s="44"/>
      <c r="P45" s="47"/>
      <c r="Q45" s="44"/>
      <c r="R45" s="44"/>
      <c r="S45" s="44"/>
      <c r="T45" s="49"/>
    </row>
    <row r="46" spans="1:20" ht="15.95" customHeight="1" x14ac:dyDescent="0.2">
      <c r="A46" s="36"/>
      <c r="B46" s="25" t="s">
        <v>3</v>
      </c>
      <c r="C46" s="6">
        <f>SUM(D46:H46)</f>
        <v>0</v>
      </c>
      <c r="D46" s="8"/>
      <c r="E46" s="8"/>
      <c r="F46" s="8"/>
      <c r="G46" s="8"/>
      <c r="H46" s="8"/>
      <c r="I46" s="45"/>
      <c r="J46" s="45"/>
      <c r="K46" s="45"/>
      <c r="L46" s="45"/>
      <c r="M46" s="45"/>
      <c r="N46" s="45"/>
      <c r="O46" s="45"/>
      <c r="P46" s="48"/>
      <c r="Q46" s="45"/>
      <c r="R46" s="45"/>
      <c r="S46" s="45"/>
      <c r="T46" s="49"/>
    </row>
    <row r="47" spans="1:20" ht="15.95" customHeight="1" x14ac:dyDescent="0.2">
      <c r="A47" s="34" t="s">
        <v>177</v>
      </c>
      <c r="B47" s="37" t="s">
        <v>526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8"/>
    </row>
    <row r="48" spans="1:20" ht="15.95" customHeight="1" x14ac:dyDescent="0.2">
      <c r="A48" s="35"/>
      <c r="B48" s="54" t="s">
        <v>76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ht="39.950000000000003" customHeight="1" x14ac:dyDescent="0.2">
      <c r="A49" s="35"/>
      <c r="B49" s="57" t="s">
        <v>720</v>
      </c>
      <c r="C49" s="58"/>
      <c r="D49" s="58"/>
      <c r="E49" s="58"/>
      <c r="F49" s="58"/>
      <c r="G49" s="58"/>
      <c r="H49" s="59"/>
      <c r="I49" s="49" t="s">
        <v>52</v>
      </c>
      <c r="J49" s="49"/>
      <c r="K49" s="49" t="s">
        <v>42</v>
      </c>
      <c r="L49" s="49" t="s">
        <v>77</v>
      </c>
      <c r="M49" s="49" t="s">
        <v>397</v>
      </c>
      <c r="N49" s="49" t="s">
        <v>73</v>
      </c>
      <c r="O49" s="49" t="s">
        <v>397</v>
      </c>
      <c r="P49" s="75" t="s">
        <v>725</v>
      </c>
      <c r="Q49" s="49" t="s">
        <v>33</v>
      </c>
      <c r="R49" s="49" t="s">
        <v>75</v>
      </c>
      <c r="S49" s="49" t="s">
        <v>35</v>
      </c>
      <c r="T49" s="49" t="s">
        <v>475</v>
      </c>
    </row>
    <row r="50" spans="1:20" ht="15.95" customHeight="1" x14ac:dyDescent="0.2">
      <c r="A50" s="35"/>
      <c r="B50" s="25" t="s">
        <v>5</v>
      </c>
      <c r="C50" s="6">
        <f>D50+E50+F50+G50+H50</f>
        <v>14830596</v>
      </c>
      <c r="D50" s="8">
        <f t="shared" ref="D50:H50" si="17">SUM(D51:D54)</f>
        <v>3010000</v>
      </c>
      <c r="E50" s="8">
        <f t="shared" si="17"/>
        <v>910000</v>
      </c>
      <c r="F50" s="8">
        <f t="shared" si="17"/>
        <v>4740743</v>
      </c>
      <c r="G50" s="8">
        <f t="shared" si="17"/>
        <v>3451907</v>
      </c>
      <c r="H50" s="8">
        <f t="shared" si="17"/>
        <v>2717946</v>
      </c>
      <c r="I50" s="49"/>
      <c r="J50" s="49"/>
      <c r="K50" s="49"/>
      <c r="L50" s="49"/>
      <c r="M50" s="49"/>
      <c r="N50" s="49"/>
      <c r="O50" s="49"/>
      <c r="P50" s="75"/>
      <c r="Q50" s="49"/>
      <c r="R50" s="49"/>
      <c r="S50" s="49"/>
      <c r="T50" s="49"/>
    </row>
    <row r="51" spans="1:20" ht="15.95" customHeight="1" x14ac:dyDescent="0.2">
      <c r="A51" s="35"/>
      <c r="B51" s="25" t="s">
        <v>0</v>
      </c>
      <c r="C51" s="6">
        <f>D51+E51+F51+G51+H51</f>
        <v>6900000</v>
      </c>
      <c r="D51" s="8">
        <f>E366+2500000</f>
        <v>2500000</v>
      </c>
      <c r="E51" s="8">
        <f>0+500000</f>
        <v>500000</v>
      </c>
      <c r="F51" s="8">
        <f>0+3900000</f>
        <v>3900000</v>
      </c>
      <c r="G51" s="8"/>
      <c r="H51" s="8"/>
      <c r="I51" s="49"/>
      <c r="J51" s="49"/>
      <c r="K51" s="49"/>
      <c r="L51" s="49"/>
      <c r="M51" s="49"/>
      <c r="N51" s="49"/>
      <c r="O51" s="49"/>
      <c r="P51" s="75"/>
      <c r="Q51" s="49"/>
      <c r="R51" s="49"/>
      <c r="S51" s="49"/>
      <c r="T51" s="49"/>
    </row>
    <row r="52" spans="1:20" ht="15.95" customHeight="1" x14ac:dyDescent="0.2">
      <c r="A52" s="35"/>
      <c r="B52" s="25" t="s">
        <v>1</v>
      </c>
      <c r="C52" s="6">
        <f>D52+E52+F52+G52+H52</f>
        <v>1760743</v>
      </c>
      <c r="D52" s="8">
        <f>150000+360000</f>
        <v>510000</v>
      </c>
      <c r="E52" s="8">
        <f>375000+35000</f>
        <v>410000</v>
      </c>
      <c r="F52" s="8">
        <f>250000+590743</f>
        <v>840743</v>
      </c>
      <c r="G52" s="8"/>
      <c r="H52" s="8"/>
      <c r="I52" s="49"/>
      <c r="J52" s="49"/>
      <c r="K52" s="49"/>
      <c r="L52" s="49"/>
      <c r="M52" s="49"/>
      <c r="N52" s="49"/>
      <c r="O52" s="49"/>
      <c r="P52" s="75"/>
      <c r="Q52" s="49"/>
      <c r="R52" s="49"/>
      <c r="S52" s="49"/>
      <c r="T52" s="49"/>
    </row>
    <row r="53" spans="1:20" ht="15.95" customHeight="1" x14ac:dyDescent="0.2">
      <c r="A53" s="35"/>
      <c r="B53" s="25" t="s">
        <v>2</v>
      </c>
      <c r="C53" s="6">
        <f>SUM(D53:H53)</f>
        <v>0</v>
      </c>
      <c r="D53" s="8"/>
      <c r="E53" s="8"/>
      <c r="F53" s="8"/>
      <c r="G53" s="8"/>
      <c r="H53" s="8"/>
      <c r="I53" s="49"/>
      <c r="J53" s="49"/>
      <c r="K53" s="49"/>
      <c r="L53" s="49"/>
      <c r="M53" s="49"/>
      <c r="N53" s="49"/>
      <c r="O53" s="49"/>
      <c r="P53" s="75"/>
      <c r="Q53" s="49"/>
      <c r="R53" s="49"/>
      <c r="S53" s="49"/>
      <c r="T53" s="49"/>
    </row>
    <row r="54" spans="1:20" ht="15.95" customHeight="1" x14ac:dyDescent="0.2">
      <c r="A54" s="36"/>
      <c r="B54" s="25" t="s">
        <v>3</v>
      </c>
      <c r="C54" s="6">
        <f>SUM(D54:H54)</f>
        <v>6169853</v>
      </c>
      <c r="D54" s="8"/>
      <c r="E54" s="8"/>
      <c r="F54" s="8"/>
      <c r="G54" s="8">
        <f>0+3451907</f>
        <v>3451907</v>
      </c>
      <c r="H54" s="8">
        <f>0+2717946</f>
        <v>2717946</v>
      </c>
      <c r="I54" s="49"/>
      <c r="J54" s="49"/>
      <c r="K54" s="49"/>
      <c r="L54" s="49"/>
      <c r="M54" s="49"/>
      <c r="N54" s="49"/>
      <c r="O54" s="49"/>
      <c r="P54" s="75"/>
      <c r="Q54" s="49"/>
      <c r="R54" s="49"/>
      <c r="S54" s="49"/>
      <c r="T54" s="49"/>
    </row>
    <row r="55" spans="1:20" ht="15.95" customHeight="1" x14ac:dyDescent="0.2">
      <c r="A55" s="34" t="s">
        <v>591</v>
      </c>
      <c r="B55" s="37" t="s">
        <v>526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8"/>
    </row>
    <row r="56" spans="1:20" ht="15.95" customHeight="1" x14ac:dyDescent="0.2">
      <c r="A56" s="35"/>
      <c r="B56" s="54" t="s">
        <v>76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ht="45" customHeight="1" x14ac:dyDescent="0.2">
      <c r="A57" s="35"/>
      <c r="B57" s="57" t="s">
        <v>592</v>
      </c>
      <c r="C57" s="58"/>
      <c r="D57" s="58"/>
      <c r="E57" s="58"/>
      <c r="F57" s="58"/>
      <c r="G57" s="58"/>
      <c r="H57" s="59"/>
      <c r="I57" s="49" t="s">
        <v>20</v>
      </c>
      <c r="J57" s="49"/>
      <c r="K57" s="49" t="s">
        <v>42</v>
      </c>
      <c r="L57" s="49"/>
      <c r="M57" s="49" t="s">
        <v>397</v>
      </c>
      <c r="N57" s="49" t="s">
        <v>73</v>
      </c>
      <c r="O57" s="49" t="s">
        <v>397</v>
      </c>
      <c r="P57" s="75" t="s">
        <v>593</v>
      </c>
      <c r="Q57" s="49" t="s">
        <v>33</v>
      </c>
      <c r="R57" s="49" t="s">
        <v>75</v>
      </c>
      <c r="S57" s="49" t="s">
        <v>34</v>
      </c>
      <c r="T57" s="49"/>
    </row>
    <row r="58" spans="1:20" ht="15.95" customHeight="1" x14ac:dyDescent="0.2">
      <c r="A58" s="35"/>
      <c r="B58" s="25" t="s">
        <v>5</v>
      </c>
      <c r="C58" s="6">
        <f>D58+E58+F58+G58+H58</f>
        <v>414504.4</v>
      </c>
      <c r="D58" s="8">
        <f t="shared" ref="D58:H58" si="18">SUM(D59:D62)</f>
        <v>414504.4</v>
      </c>
      <c r="E58" s="8">
        <f t="shared" si="18"/>
        <v>0</v>
      </c>
      <c r="F58" s="8">
        <f t="shared" si="18"/>
        <v>0</v>
      </c>
      <c r="G58" s="8">
        <f t="shared" si="18"/>
        <v>0</v>
      </c>
      <c r="H58" s="8">
        <f t="shared" si="18"/>
        <v>0</v>
      </c>
      <c r="I58" s="49"/>
      <c r="J58" s="49"/>
      <c r="K58" s="49"/>
      <c r="L58" s="49"/>
      <c r="M58" s="49"/>
      <c r="N58" s="49"/>
      <c r="O58" s="49"/>
      <c r="P58" s="75"/>
      <c r="Q58" s="49"/>
      <c r="R58" s="49"/>
      <c r="S58" s="49"/>
      <c r="T58" s="49"/>
    </row>
    <row r="59" spans="1:20" ht="15.95" customHeight="1" x14ac:dyDescent="0.2">
      <c r="A59" s="35"/>
      <c r="B59" s="25" t="s">
        <v>0</v>
      </c>
      <c r="C59" s="6">
        <f>D59+E59+F59+G59+H59</f>
        <v>405504.4</v>
      </c>
      <c r="D59" s="8">
        <f>0+405504.4</f>
        <v>405504.4</v>
      </c>
      <c r="E59" s="8"/>
      <c r="F59" s="8"/>
      <c r="G59" s="8"/>
      <c r="H59" s="8"/>
      <c r="I59" s="49"/>
      <c r="J59" s="49"/>
      <c r="K59" s="49"/>
      <c r="L59" s="49"/>
      <c r="M59" s="49"/>
      <c r="N59" s="49"/>
      <c r="O59" s="49"/>
      <c r="P59" s="75"/>
      <c r="Q59" s="49"/>
      <c r="R59" s="49"/>
      <c r="S59" s="49"/>
      <c r="T59" s="49"/>
    </row>
    <row r="60" spans="1:20" ht="15.95" customHeight="1" x14ac:dyDescent="0.2">
      <c r="A60" s="35"/>
      <c r="B60" s="25" t="s">
        <v>1</v>
      </c>
      <c r="C60" s="6">
        <f>D60+E60+F60+G60+H60</f>
        <v>9000</v>
      </c>
      <c r="D60" s="8">
        <f>0+5000+4000</f>
        <v>9000</v>
      </c>
      <c r="E60" s="8"/>
      <c r="F60" s="8"/>
      <c r="G60" s="8"/>
      <c r="H60" s="8"/>
      <c r="I60" s="49"/>
      <c r="J60" s="49"/>
      <c r="K60" s="49"/>
      <c r="L60" s="49"/>
      <c r="M60" s="49"/>
      <c r="N60" s="49"/>
      <c r="O60" s="49"/>
      <c r="P60" s="75"/>
      <c r="Q60" s="49"/>
      <c r="R60" s="49"/>
      <c r="S60" s="49"/>
      <c r="T60" s="49"/>
    </row>
    <row r="61" spans="1:20" ht="15.95" customHeight="1" x14ac:dyDescent="0.2">
      <c r="A61" s="35"/>
      <c r="B61" s="25" t="s">
        <v>2</v>
      </c>
      <c r="C61" s="6">
        <f>SUM(D61:H61)</f>
        <v>0</v>
      </c>
      <c r="D61" s="8"/>
      <c r="E61" s="8"/>
      <c r="F61" s="8"/>
      <c r="G61" s="8"/>
      <c r="H61" s="8"/>
      <c r="I61" s="49"/>
      <c r="J61" s="49"/>
      <c r="K61" s="49"/>
      <c r="L61" s="49"/>
      <c r="M61" s="49"/>
      <c r="N61" s="49"/>
      <c r="O61" s="49"/>
      <c r="P61" s="75"/>
      <c r="Q61" s="49"/>
      <c r="R61" s="49"/>
      <c r="S61" s="49"/>
      <c r="T61" s="49"/>
    </row>
    <row r="62" spans="1:20" ht="15.95" customHeight="1" x14ac:dyDescent="0.2">
      <c r="A62" s="36"/>
      <c r="B62" s="25" t="s">
        <v>3</v>
      </c>
      <c r="C62" s="6">
        <f>SUM(D62:H62)</f>
        <v>0</v>
      </c>
      <c r="D62" s="8"/>
      <c r="E62" s="8"/>
      <c r="F62" s="8"/>
      <c r="G62" s="8"/>
      <c r="H62" s="8"/>
      <c r="I62" s="49"/>
      <c r="J62" s="49"/>
      <c r="K62" s="49"/>
      <c r="L62" s="49"/>
      <c r="M62" s="49"/>
      <c r="N62" s="49"/>
      <c r="O62" s="49"/>
      <c r="P62" s="75"/>
      <c r="Q62" s="49"/>
      <c r="R62" s="49"/>
      <c r="S62" s="49"/>
      <c r="T62" s="49"/>
    </row>
    <row r="63" spans="1:20" ht="15.95" customHeight="1" x14ac:dyDescent="0.2">
      <c r="A63" s="34" t="s">
        <v>675</v>
      </c>
      <c r="B63" s="42" t="s">
        <v>526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8"/>
    </row>
    <row r="64" spans="1:20" ht="15.95" customHeight="1" x14ac:dyDescent="0.2">
      <c r="A64" s="35"/>
      <c r="B64" s="39" t="s">
        <v>101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6"/>
    </row>
    <row r="65" spans="1:20" ht="45" customHeight="1" x14ac:dyDescent="0.2">
      <c r="A65" s="35"/>
      <c r="B65" s="57" t="s">
        <v>620</v>
      </c>
      <c r="C65" s="58"/>
      <c r="D65" s="58"/>
      <c r="E65" s="58"/>
      <c r="F65" s="58"/>
      <c r="G65" s="58"/>
      <c r="H65" s="59"/>
      <c r="I65" s="43">
        <v>2025</v>
      </c>
      <c r="J65" s="43" t="s">
        <v>621</v>
      </c>
      <c r="K65" s="43" t="s">
        <v>42</v>
      </c>
      <c r="L65" s="43" t="s">
        <v>622</v>
      </c>
      <c r="M65" s="43" t="s">
        <v>616</v>
      </c>
      <c r="N65" s="43" t="s">
        <v>73</v>
      </c>
      <c r="O65" s="43" t="s">
        <v>616</v>
      </c>
      <c r="P65" s="46" t="s">
        <v>623</v>
      </c>
      <c r="Q65" s="43" t="s">
        <v>33</v>
      </c>
      <c r="R65" s="43" t="s">
        <v>40</v>
      </c>
      <c r="S65" s="43" t="s">
        <v>34</v>
      </c>
      <c r="T65" s="49" t="s">
        <v>624</v>
      </c>
    </row>
    <row r="66" spans="1:20" ht="15.95" customHeight="1" x14ac:dyDescent="0.2">
      <c r="A66" s="35"/>
      <c r="B66" s="25" t="s">
        <v>5</v>
      </c>
      <c r="C66" s="6">
        <f>D66+E66+F66+G66+H66</f>
        <v>553173.05999999994</v>
      </c>
      <c r="D66" s="8">
        <f t="shared" ref="D66:F66" si="19">SUM(D67:D70)</f>
        <v>0</v>
      </c>
      <c r="E66" s="8">
        <f t="shared" si="19"/>
        <v>9400</v>
      </c>
      <c r="F66" s="8">
        <f t="shared" si="19"/>
        <v>0</v>
      </c>
      <c r="G66" s="8">
        <f t="shared" ref="G66:H66" si="20">SUM(G67:G70)</f>
        <v>206888.15999999997</v>
      </c>
      <c r="H66" s="8">
        <f t="shared" si="20"/>
        <v>336884.89999999997</v>
      </c>
      <c r="I66" s="44"/>
      <c r="J66" s="44"/>
      <c r="K66" s="44"/>
      <c r="L66" s="44"/>
      <c r="M66" s="44"/>
      <c r="N66" s="44"/>
      <c r="O66" s="44"/>
      <c r="P66" s="47"/>
      <c r="Q66" s="44"/>
      <c r="R66" s="44"/>
      <c r="S66" s="44"/>
      <c r="T66" s="49"/>
    </row>
    <row r="67" spans="1:20" ht="15.95" customHeight="1" x14ac:dyDescent="0.2">
      <c r="A67" s="35"/>
      <c r="B67" s="25" t="s">
        <v>0</v>
      </c>
      <c r="C67" s="6">
        <f>D67+E67+F67+G67+H67</f>
        <v>540712.14559999993</v>
      </c>
      <c r="D67" s="8"/>
      <c r="E67" s="8">
        <v>9188.2532499999998</v>
      </c>
      <c r="F67" s="8"/>
      <c r="G67" s="8">
        <v>202227.74567999999</v>
      </c>
      <c r="H67" s="8">
        <v>329296.14666999999</v>
      </c>
      <c r="I67" s="44"/>
      <c r="J67" s="44"/>
      <c r="K67" s="44"/>
      <c r="L67" s="44"/>
      <c r="M67" s="44"/>
      <c r="N67" s="44"/>
      <c r="O67" s="44"/>
      <c r="P67" s="47"/>
      <c r="Q67" s="44"/>
      <c r="R67" s="44"/>
      <c r="S67" s="44"/>
      <c r="T67" s="49"/>
    </row>
    <row r="68" spans="1:20" ht="15.95" customHeight="1" x14ac:dyDescent="0.2">
      <c r="A68" s="35"/>
      <c r="B68" s="25" t="s">
        <v>1</v>
      </c>
      <c r="C68" s="6">
        <f>D68+E68+F68+G68+H68</f>
        <v>12460.914399999972</v>
      </c>
      <c r="D68" s="8"/>
      <c r="E68" s="8">
        <v>211.74674999999999</v>
      </c>
      <c r="F68" s="8"/>
      <c r="G68" s="8">
        <v>4660.4143199999899</v>
      </c>
      <c r="H68" s="8">
        <v>7588.7533299999832</v>
      </c>
      <c r="I68" s="44"/>
      <c r="J68" s="44"/>
      <c r="K68" s="44"/>
      <c r="L68" s="44"/>
      <c r="M68" s="44"/>
      <c r="N68" s="44"/>
      <c r="O68" s="44"/>
      <c r="P68" s="47"/>
      <c r="Q68" s="44"/>
      <c r="R68" s="44"/>
      <c r="S68" s="44"/>
      <c r="T68" s="49"/>
    </row>
    <row r="69" spans="1:20" ht="15.95" customHeight="1" x14ac:dyDescent="0.2">
      <c r="A69" s="35"/>
      <c r="B69" s="25" t="s">
        <v>2</v>
      </c>
      <c r="C69" s="6">
        <f>SUM(D69:H69)</f>
        <v>0</v>
      </c>
      <c r="D69" s="8"/>
      <c r="E69" s="8"/>
      <c r="F69" s="8"/>
      <c r="G69" s="8"/>
      <c r="H69" s="8"/>
      <c r="I69" s="44"/>
      <c r="J69" s="44"/>
      <c r="K69" s="44"/>
      <c r="L69" s="44"/>
      <c r="M69" s="44"/>
      <c r="N69" s="44"/>
      <c r="O69" s="44"/>
      <c r="P69" s="47"/>
      <c r="Q69" s="44"/>
      <c r="R69" s="44"/>
      <c r="S69" s="44"/>
      <c r="T69" s="49"/>
    </row>
    <row r="70" spans="1:20" ht="15.95" customHeight="1" x14ac:dyDescent="0.2">
      <c r="A70" s="36"/>
      <c r="B70" s="25" t="s">
        <v>3</v>
      </c>
      <c r="C70" s="6">
        <f>SUM(D70:H70)</f>
        <v>0</v>
      </c>
      <c r="D70" s="8"/>
      <c r="E70" s="8"/>
      <c r="F70" s="8"/>
      <c r="G70" s="8"/>
      <c r="H70" s="8"/>
      <c r="I70" s="45"/>
      <c r="J70" s="45"/>
      <c r="K70" s="45"/>
      <c r="L70" s="45"/>
      <c r="M70" s="45"/>
      <c r="N70" s="45"/>
      <c r="O70" s="45"/>
      <c r="P70" s="48"/>
      <c r="Q70" s="45"/>
      <c r="R70" s="45"/>
      <c r="S70" s="45"/>
      <c r="T70" s="49"/>
    </row>
    <row r="71" spans="1:20" ht="15.95" customHeight="1" x14ac:dyDescent="0.2">
      <c r="A71" s="34" t="s">
        <v>676</v>
      </c>
      <c r="B71" s="42" t="s">
        <v>526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8"/>
    </row>
    <row r="72" spans="1:20" ht="15.95" customHeight="1" x14ac:dyDescent="0.2">
      <c r="A72" s="35"/>
      <c r="B72" s="39" t="s">
        <v>101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6"/>
    </row>
    <row r="73" spans="1:20" ht="45" customHeight="1" x14ac:dyDescent="0.2">
      <c r="A73" s="35"/>
      <c r="B73" s="57" t="s">
        <v>674</v>
      </c>
      <c r="C73" s="58"/>
      <c r="D73" s="58"/>
      <c r="E73" s="58"/>
      <c r="F73" s="58"/>
      <c r="G73" s="58"/>
      <c r="H73" s="59"/>
      <c r="I73" s="43">
        <v>2023</v>
      </c>
      <c r="J73" s="43" t="s">
        <v>625</v>
      </c>
      <c r="K73" s="43" t="s">
        <v>42</v>
      </c>
      <c r="L73" s="43" t="s">
        <v>626</v>
      </c>
      <c r="M73" s="43" t="s">
        <v>616</v>
      </c>
      <c r="N73" s="43" t="s">
        <v>73</v>
      </c>
      <c r="O73" s="43" t="s">
        <v>616</v>
      </c>
      <c r="P73" s="46" t="s">
        <v>623</v>
      </c>
      <c r="Q73" s="43" t="s">
        <v>33</v>
      </c>
      <c r="R73" s="43" t="s">
        <v>627</v>
      </c>
      <c r="S73" s="43" t="s">
        <v>34</v>
      </c>
      <c r="T73" s="49" t="s">
        <v>624</v>
      </c>
    </row>
    <row r="74" spans="1:20" ht="15.95" customHeight="1" x14ac:dyDescent="0.2">
      <c r="A74" s="35"/>
      <c r="B74" s="25" t="s">
        <v>5</v>
      </c>
      <c r="C74" s="6">
        <f>D74+E74+F74+G74+H74</f>
        <v>70500</v>
      </c>
      <c r="D74" s="8">
        <f t="shared" ref="D74:F74" si="21">SUM(D75:D78)</f>
        <v>0</v>
      </c>
      <c r="E74" s="8">
        <f t="shared" si="21"/>
        <v>1900</v>
      </c>
      <c r="F74" s="8">
        <f t="shared" si="21"/>
        <v>68600</v>
      </c>
      <c r="G74" s="8">
        <f t="shared" ref="G74:H74" si="22">SUM(G75:G78)</f>
        <v>0</v>
      </c>
      <c r="H74" s="8">
        <f t="shared" si="22"/>
        <v>0</v>
      </c>
      <c r="I74" s="44"/>
      <c r="J74" s="44"/>
      <c r="K74" s="44"/>
      <c r="L74" s="44"/>
      <c r="M74" s="44"/>
      <c r="N74" s="44"/>
      <c r="O74" s="44"/>
      <c r="P74" s="47"/>
      <c r="Q74" s="44"/>
      <c r="R74" s="44"/>
      <c r="S74" s="44"/>
      <c r="T74" s="49"/>
    </row>
    <row r="75" spans="1:20" ht="15.95" customHeight="1" x14ac:dyDescent="0.2">
      <c r="A75" s="35"/>
      <c r="B75" s="25" t="s">
        <v>0</v>
      </c>
      <c r="C75" s="6">
        <f>D75+E75+F75+G75+H75</f>
        <v>68911.899399999995</v>
      </c>
      <c r="D75" s="8"/>
      <c r="E75" s="8">
        <v>1857.2001299999999</v>
      </c>
      <c r="F75" s="8">
        <v>67054.699269999997</v>
      </c>
      <c r="G75" s="8"/>
      <c r="H75" s="8"/>
      <c r="I75" s="44"/>
      <c r="J75" s="44"/>
      <c r="K75" s="44"/>
      <c r="L75" s="44"/>
      <c r="M75" s="44"/>
      <c r="N75" s="44"/>
      <c r="O75" s="44"/>
      <c r="P75" s="47"/>
      <c r="Q75" s="44"/>
      <c r="R75" s="44"/>
      <c r="S75" s="44"/>
      <c r="T75" s="49"/>
    </row>
    <row r="76" spans="1:20" ht="15.95" customHeight="1" x14ac:dyDescent="0.2">
      <c r="A76" s="35"/>
      <c r="B76" s="25" t="s">
        <v>1</v>
      </c>
      <c r="C76" s="6">
        <f>D76+E76+F76+G76+H76</f>
        <v>1588.1005999999968</v>
      </c>
      <c r="D76" s="8"/>
      <c r="E76" s="8">
        <v>42.799870000000112</v>
      </c>
      <c r="F76" s="8">
        <v>1545.3007299999967</v>
      </c>
      <c r="G76" s="8"/>
      <c r="H76" s="8"/>
      <c r="I76" s="44"/>
      <c r="J76" s="44"/>
      <c r="K76" s="44"/>
      <c r="L76" s="44"/>
      <c r="M76" s="44"/>
      <c r="N76" s="44"/>
      <c r="O76" s="44"/>
      <c r="P76" s="47"/>
      <c r="Q76" s="44"/>
      <c r="R76" s="44"/>
      <c r="S76" s="44"/>
      <c r="T76" s="49"/>
    </row>
    <row r="77" spans="1:20" ht="15.95" customHeight="1" x14ac:dyDescent="0.2">
      <c r="A77" s="35"/>
      <c r="B77" s="25" t="s">
        <v>2</v>
      </c>
      <c r="C77" s="6">
        <f>SUM(D77:H77)</f>
        <v>0</v>
      </c>
      <c r="D77" s="8"/>
      <c r="E77" s="8"/>
      <c r="F77" s="8"/>
      <c r="G77" s="8"/>
      <c r="H77" s="8"/>
      <c r="I77" s="44"/>
      <c r="J77" s="44"/>
      <c r="K77" s="44"/>
      <c r="L77" s="44"/>
      <c r="M77" s="44"/>
      <c r="N77" s="44"/>
      <c r="O77" s="44"/>
      <c r="P77" s="47"/>
      <c r="Q77" s="44"/>
      <c r="R77" s="44"/>
      <c r="S77" s="44"/>
      <c r="T77" s="49"/>
    </row>
    <row r="78" spans="1:20" ht="15.95" customHeight="1" x14ac:dyDescent="0.2">
      <c r="A78" s="36"/>
      <c r="B78" s="25" t="s">
        <v>3</v>
      </c>
      <c r="C78" s="6">
        <f>SUM(D78:H78)</f>
        <v>0</v>
      </c>
      <c r="D78" s="8"/>
      <c r="E78" s="8"/>
      <c r="F78" s="8"/>
      <c r="G78" s="8"/>
      <c r="H78" s="8"/>
      <c r="I78" s="45"/>
      <c r="J78" s="45"/>
      <c r="K78" s="45"/>
      <c r="L78" s="45"/>
      <c r="M78" s="45"/>
      <c r="N78" s="45"/>
      <c r="O78" s="45"/>
      <c r="P78" s="48"/>
      <c r="Q78" s="45"/>
      <c r="R78" s="45"/>
      <c r="S78" s="45"/>
      <c r="T78" s="49"/>
    </row>
    <row r="79" spans="1:20" ht="15.95" customHeight="1" x14ac:dyDescent="0.2">
      <c r="A79" s="34" t="s">
        <v>677</v>
      </c>
      <c r="B79" s="42" t="s">
        <v>526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8"/>
    </row>
    <row r="80" spans="1:20" ht="15.95" customHeight="1" x14ac:dyDescent="0.2">
      <c r="A80" s="35"/>
      <c r="B80" s="39" t="s">
        <v>101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6"/>
    </row>
    <row r="81" spans="1:20" ht="45" customHeight="1" x14ac:dyDescent="0.2">
      <c r="A81" s="35"/>
      <c r="B81" s="57" t="s">
        <v>628</v>
      </c>
      <c r="C81" s="58"/>
      <c r="D81" s="58"/>
      <c r="E81" s="58"/>
      <c r="F81" s="58"/>
      <c r="G81" s="58"/>
      <c r="H81" s="59"/>
      <c r="I81" s="43">
        <v>2023</v>
      </c>
      <c r="J81" s="43" t="s">
        <v>625</v>
      </c>
      <c r="K81" s="43" t="s">
        <v>42</v>
      </c>
      <c r="L81" s="43" t="s">
        <v>626</v>
      </c>
      <c r="M81" s="43" t="s">
        <v>616</v>
      </c>
      <c r="N81" s="43" t="s">
        <v>73</v>
      </c>
      <c r="O81" s="43" t="s">
        <v>616</v>
      </c>
      <c r="P81" s="46" t="s">
        <v>623</v>
      </c>
      <c r="Q81" s="43" t="s">
        <v>33</v>
      </c>
      <c r="R81" s="43" t="s">
        <v>38</v>
      </c>
      <c r="S81" s="43" t="s">
        <v>34</v>
      </c>
      <c r="T81" s="49" t="s">
        <v>624</v>
      </c>
    </row>
    <row r="82" spans="1:20" ht="15.95" customHeight="1" x14ac:dyDescent="0.2">
      <c r="A82" s="35"/>
      <c r="B82" s="25" t="s">
        <v>5</v>
      </c>
      <c r="C82" s="6">
        <f>D82+E82+F82+G82+H82</f>
        <v>70100</v>
      </c>
      <c r="D82" s="8">
        <f t="shared" ref="D82:F82" si="23">SUM(D83:D86)</f>
        <v>0</v>
      </c>
      <c r="E82" s="8">
        <f t="shared" si="23"/>
        <v>1500.0000000000002</v>
      </c>
      <c r="F82" s="8">
        <f t="shared" si="23"/>
        <v>68600</v>
      </c>
      <c r="G82" s="8">
        <f t="shared" ref="G82:H82" si="24">SUM(G83:G86)</f>
        <v>0</v>
      </c>
      <c r="H82" s="8">
        <f t="shared" si="24"/>
        <v>0</v>
      </c>
      <c r="I82" s="44"/>
      <c r="J82" s="44"/>
      <c r="K82" s="44"/>
      <c r="L82" s="44"/>
      <c r="M82" s="44"/>
      <c r="N82" s="44"/>
      <c r="O82" s="44"/>
      <c r="P82" s="47"/>
      <c r="Q82" s="44"/>
      <c r="R82" s="44"/>
      <c r="S82" s="44"/>
      <c r="T82" s="49"/>
    </row>
    <row r="83" spans="1:20" ht="15.95" customHeight="1" x14ac:dyDescent="0.2">
      <c r="A83" s="35"/>
      <c r="B83" s="25" t="s">
        <v>0</v>
      </c>
      <c r="C83" s="6">
        <f>D83+E83+F83+G83+H83</f>
        <v>68520.909899999999</v>
      </c>
      <c r="D83" s="8"/>
      <c r="E83" s="8">
        <v>1466.21063</v>
      </c>
      <c r="F83" s="8">
        <v>67054.699269999997</v>
      </c>
      <c r="G83" s="8"/>
      <c r="H83" s="8"/>
      <c r="I83" s="44"/>
      <c r="J83" s="44"/>
      <c r="K83" s="44"/>
      <c r="L83" s="44"/>
      <c r="M83" s="44"/>
      <c r="N83" s="44"/>
      <c r="O83" s="44"/>
      <c r="P83" s="47"/>
      <c r="Q83" s="44"/>
      <c r="R83" s="44"/>
      <c r="S83" s="44"/>
      <c r="T83" s="49"/>
    </row>
    <row r="84" spans="1:20" ht="15.95" customHeight="1" x14ac:dyDescent="0.2">
      <c r="A84" s="35"/>
      <c r="B84" s="25" t="s">
        <v>1</v>
      </c>
      <c r="C84" s="6">
        <f>D84+E84+F84+G84+H84</f>
        <v>1579.0900999999969</v>
      </c>
      <c r="D84" s="8"/>
      <c r="E84" s="8">
        <v>33.789370000000112</v>
      </c>
      <c r="F84" s="8">
        <v>1545.3007299999967</v>
      </c>
      <c r="G84" s="8"/>
      <c r="H84" s="8"/>
      <c r="I84" s="44"/>
      <c r="J84" s="44"/>
      <c r="K84" s="44"/>
      <c r="L84" s="44"/>
      <c r="M84" s="44"/>
      <c r="N84" s="44"/>
      <c r="O84" s="44"/>
      <c r="P84" s="47"/>
      <c r="Q84" s="44"/>
      <c r="R84" s="44"/>
      <c r="S84" s="44"/>
      <c r="T84" s="49"/>
    </row>
    <row r="85" spans="1:20" ht="15.95" customHeight="1" x14ac:dyDescent="0.2">
      <c r="A85" s="35"/>
      <c r="B85" s="25" t="s">
        <v>2</v>
      </c>
      <c r="C85" s="6">
        <f>SUM(D85:H85)</f>
        <v>0</v>
      </c>
      <c r="D85" s="8"/>
      <c r="E85" s="8"/>
      <c r="F85" s="8"/>
      <c r="G85" s="8"/>
      <c r="H85" s="8"/>
      <c r="I85" s="44"/>
      <c r="J85" s="44"/>
      <c r="K85" s="44"/>
      <c r="L85" s="44"/>
      <c r="M85" s="44"/>
      <c r="N85" s="44"/>
      <c r="O85" s="44"/>
      <c r="P85" s="47"/>
      <c r="Q85" s="44"/>
      <c r="R85" s="44"/>
      <c r="S85" s="44"/>
      <c r="T85" s="49"/>
    </row>
    <row r="86" spans="1:20" ht="15.95" customHeight="1" x14ac:dyDescent="0.2">
      <c r="A86" s="36"/>
      <c r="B86" s="25" t="s">
        <v>3</v>
      </c>
      <c r="C86" s="6">
        <f>SUM(D86:H86)</f>
        <v>0</v>
      </c>
      <c r="D86" s="8"/>
      <c r="E86" s="8"/>
      <c r="F86" s="8"/>
      <c r="G86" s="8"/>
      <c r="H86" s="8"/>
      <c r="I86" s="45"/>
      <c r="J86" s="45"/>
      <c r="K86" s="45"/>
      <c r="L86" s="45"/>
      <c r="M86" s="45"/>
      <c r="N86" s="45"/>
      <c r="O86" s="45"/>
      <c r="P86" s="48"/>
      <c r="Q86" s="45"/>
      <c r="R86" s="45"/>
      <c r="S86" s="45"/>
      <c r="T86" s="49"/>
    </row>
    <row r="87" spans="1:20" ht="15.95" customHeight="1" x14ac:dyDescent="0.2">
      <c r="A87" s="34" t="s">
        <v>678</v>
      </c>
      <c r="B87" s="42" t="s">
        <v>526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8"/>
    </row>
    <row r="88" spans="1:20" ht="15.95" customHeight="1" x14ac:dyDescent="0.2">
      <c r="A88" s="35"/>
      <c r="B88" s="39" t="s">
        <v>101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6"/>
    </row>
    <row r="89" spans="1:20" ht="45" customHeight="1" x14ac:dyDescent="0.2">
      <c r="A89" s="35"/>
      <c r="B89" s="57" t="s">
        <v>629</v>
      </c>
      <c r="C89" s="58"/>
      <c r="D89" s="58"/>
      <c r="E89" s="58"/>
      <c r="F89" s="58"/>
      <c r="G89" s="58"/>
      <c r="H89" s="59"/>
      <c r="I89" s="43">
        <v>2023</v>
      </c>
      <c r="J89" s="43" t="s">
        <v>625</v>
      </c>
      <c r="K89" s="43" t="s">
        <v>42</v>
      </c>
      <c r="L89" s="43" t="s">
        <v>626</v>
      </c>
      <c r="M89" s="43" t="s">
        <v>616</v>
      </c>
      <c r="N89" s="43" t="s">
        <v>73</v>
      </c>
      <c r="O89" s="43" t="s">
        <v>616</v>
      </c>
      <c r="P89" s="46" t="s">
        <v>623</v>
      </c>
      <c r="Q89" s="43" t="s">
        <v>33</v>
      </c>
      <c r="R89" s="43" t="s">
        <v>38</v>
      </c>
      <c r="S89" s="43" t="s">
        <v>34</v>
      </c>
      <c r="T89" s="49" t="s">
        <v>624</v>
      </c>
    </row>
    <row r="90" spans="1:20" ht="15.95" customHeight="1" x14ac:dyDescent="0.2">
      <c r="A90" s="35"/>
      <c r="B90" s="25" t="s">
        <v>5</v>
      </c>
      <c r="C90" s="6">
        <f>D90+E90+F90+G90+H90</f>
        <v>70700</v>
      </c>
      <c r="D90" s="8">
        <f t="shared" ref="D90:F90" si="25">SUM(D91:D94)</f>
        <v>0</v>
      </c>
      <c r="E90" s="8">
        <f t="shared" si="25"/>
        <v>2100</v>
      </c>
      <c r="F90" s="8">
        <f t="shared" si="25"/>
        <v>68600</v>
      </c>
      <c r="G90" s="8">
        <f t="shared" ref="G90:H90" si="26">SUM(G91:G94)</f>
        <v>0</v>
      </c>
      <c r="H90" s="8">
        <f t="shared" si="26"/>
        <v>0</v>
      </c>
      <c r="I90" s="44"/>
      <c r="J90" s="44"/>
      <c r="K90" s="44"/>
      <c r="L90" s="44"/>
      <c r="M90" s="44"/>
      <c r="N90" s="44"/>
      <c r="O90" s="44"/>
      <c r="P90" s="47"/>
      <c r="Q90" s="44"/>
      <c r="R90" s="44"/>
      <c r="S90" s="44"/>
      <c r="T90" s="49"/>
    </row>
    <row r="91" spans="1:20" ht="15.95" customHeight="1" x14ac:dyDescent="0.2">
      <c r="A91" s="35"/>
      <c r="B91" s="25" t="s">
        <v>0</v>
      </c>
      <c r="C91" s="6">
        <f>D91+E91+F91+G91+H91</f>
        <v>69107.394149999993</v>
      </c>
      <c r="D91" s="8"/>
      <c r="E91" s="8">
        <v>2052.69488</v>
      </c>
      <c r="F91" s="8">
        <v>67054.699269999997</v>
      </c>
      <c r="G91" s="8"/>
      <c r="H91" s="8"/>
      <c r="I91" s="44"/>
      <c r="J91" s="44"/>
      <c r="K91" s="44"/>
      <c r="L91" s="44"/>
      <c r="M91" s="44"/>
      <c r="N91" s="44"/>
      <c r="O91" s="44"/>
      <c r="P91" s="47"/>
      <c r="Q91" s="44"/>
      <c r="R91" s="44"/>
      <c r="S91" s="44"/>
      <c r="T91" s="49"/>
    </row>
    <row r="92" spans="1:20" ht="15.95" customHeight="1" x14ac:dyDescent="0.2">
      <c r="A92" s="35"/>
      <c r="B92" s="25" t="s">
        <v>1</v>
      </c>
      <c r="C92" s="6">
        <f>D92+E92+F92+G92+H92</f>
        <v>1592.605849999997</v>
      </c>
      <c r="D92" s="8"/>
      <c r="E92" s="8">
        <v>47.305120000000109</v>
      </c>
      <c r="F92" s="8">
        <v>1545.3007299999967</v>
      </c>
      <c r="G92" s="8"/>
      <c r="H92" s="8"/>
      <c r="I92" s="44"/>
      <c r="J92" s="44"/>
      <c r="K92" s="44"/>
      <c r="L92" s="44"/>
      <c r="M92" s="44"/>
      <c r="N92" s="44"/>
      <c r="O92" s="44"/>
      <c r="P92" s="47"/>
      <c r="Q92" s="44"/>
      <c r="R92" s="44"/>
      <c r="S92" s="44"/>
      <c r="T92" s="49"/>
    </row>
    <row r="93" spans="1:20" ht="15.95" customHeight="1" x14ac:dyDescent="0.2">
      <c r="A93" s="35"/>
      <c r="B93" s="25" t="s">
        <v>2</v>
      </c>
      <c r="C93" s="6">
        <f>SUM(D93:H93)</f>
        <v>0</v>
      </c>
      <c r="D93" s="8"/>
      <c r="E93" s="8"/>
      <c r="F93" s="8"/>
      <c r="G93" s="8"/>
      <c r="H93" s="8"/>
      <c r="I93" s="44"/>
      <c r="J93" s="44"/>
      <c r="K93" s="44"/>
      <c r="L93" s="44"/>
      <c r="M93" s="44"/>
      <c r="N93" s="44"/>
      <c r="O93" s="44"/>
      <c r="P93" s="47"/>
      <c r="Q93" s="44"/>
      <c r="R93" s="44"/>
      <c r="S93" s="44"/>
      <c r="T93" s="49"/>
    </row>
    <row r="94" spans="1:20" ht="15.95" customHeight="1" x14ac:dyDescent="0.2">
      <c r="A94" s="36"/>
      <c r="B94" s="25" t="s">
        <v>3</v>
      </c>
      <c r="C94" s="6">
        <f>SUM(D94:H94)</f>
        <v>0</v>
      </c>
      <c r="D94" s="8"/>
      <c r="E94" s="8"/>
      <c r="F94" s="8"/>
      <c r="G94" s="8"/>
      <c r="H94" s="8"/>
      <c r="I94" s="45"/>
      <c r="J94" s="45"/>
      <c r="K94" s="45"/>
      <c r="L94" s="45"/>
      <c r="M94" s="45"/>
      <c r="N94" s="45"/>
      <c r="O94" s="45"/>
      <c r="P94" s="48"/>
      <c r="Q94" s="45"/>
      <c r="R94" s="45"/>
      <c r="S94" s="45"/>
      <c r="T94" s="49"/>
    </row>
    <row r="95" spans="1:20" ht="15.95" customHeight="1" x14ac:dyDescent="0.2">
      <c r="A95" s="34" t="s">
        <v>679</v>
      </c>
      <c r="B95" s="42" t="s">
        <v>526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</row>
    <row r="96" spans="1:20" ht="15.95" customHeight="1" x14ac:dyDescent="0.2">
      <c r="A96" s="35"/>
      <c r="B96" s="39" t="s">
        <v>101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6"/>
    </row>
    <row r="97" spans="1:20" ht="45" customHeight="1" x14ac:dyDescent="0.2">
      <c r="A97" s="35"/>
      <c r="B97" s="57" t="s">
        <v>630</v>
      </c>
      <c r="C97" s="58"/>
      <c r="D97" s="58"/>
      <c r="E97" s="58"/>
      <c r="F97" s="58"/>
      <c r="G97" s="58"/>
      <c r="H97" s="59"/>
      <c r="I97" s="43">
        <v>2023</v>
      </c>
      <c r="J97" s="43" t="s">
        <v>621</v>
      </c>
      <c r="K97" s="43" t="s">
        <v>42</v>
      </c>
      <c r="L97" s="43" t="s">
        <v>631</v>
      </c>
      <c r="M97" s="43" t="s">
        <v>616</v>
      </c>
      <c r="N97" s="43" t="s">
        <v>73</v>
      </c>
      <c r="O97" s="43" t="s">
        <v>616</v>
      </c>
      <c r="P97" s="46" t="s">
        <v>623</v>
      </c>
      <c r="Q97" s="43" t="s">
        <v>33</v>
      </c>
      <c r="R97" s="43" t="s">
        <v>632</v>
      </c>
      <c r="S97" s="43" t="s">
        <v>34</v>
      </c>
      <c r="T97" s="49" t="s">
        <v>624</v>
      </c>
    </row>
    <row r="98" spans="1:20" ht="15.95" customHeight="1" x14ac:dyDescent="0.2">
      <c r="A98" s="35"/>
      <c r="B98" s="25" t="s">
        <v>5</v>
      </c>
      <c r="C98" s="6">
        <f>D98+E98+F98+G98+H98</f>
        <v>653729.89470000006</v>
      </c>
      <c r="D98" s="8">
        <f t="shared" ref="D98:F98" si="27">SUM(D99:D102)</f>
        <v>0</v>
      </c>
      <c r="E98" s="8">
        <f t="shared" si="27"/>
        <v>364752.07734999998</v>
      </c>
      <c r="F98" s="8">
        <f t="shared" si="27"/>
        <v>288977.81735000003</v>
      </c>
      <c r="G98" s="8">
        <f t="shared" ref="G98:H98" si="28">SUM(G99:G102)</f>
        <v>0</v>
      </c>
      <c r="H98" s="8">
        <f t="shared" si="28"/>
        <v>0</v>
      </c>
      <c r="I98" s="44"/>
      <c r="J98" s="44"/>
      <c r="K98" s="44"/>
      <c r="L98" s="44"/>
      <c r="M98" s="44"/>
      <c r="N98" s="44"/>
      <c r="O98" s="44"/>
      <c r="P98" s="47"/>
      <c r="Q98" s="44"/>
      <c r="R98" s="44"/>
      <c r="S98" s="44"/>
      <c r="T98" s="49"/>
    </row>
    <row r="99" spans="1:20" ht="15.95" customHeight="1" x14ac:dyDescent="0.2">
      <c r="A99" s="35"/>
      <c r="B99" s="25" t="s">
        <v>0</v>
      </c>
      <c r="C99" s="6">
        <f>D99+E99+F99+G99+H99</f>
        <v>639003.81187999994</v>
      </c>
      <c r="D99" s="8"/>
      <c r="E99" s="8">
        <v>356535.58098999999</v>
      </c>
      <c r="F99" s="8">
        <v>282468.23089000001</v>
      </c>
      <c r="G99" s="8"/>
      <c r="H99" s="8"/>
      <c r="I99" s="44"/>
      <c r="J99" s="44"/>
      <c r="K99" s="44"/>
      <c r="L99" s="44"/>
      <c r="M99" s="44"/>
      <c r="N99" s="44"/>
      <c r="O99" s="44"/>
      <c r="P99" s="47"/>
      <c r="Q99" s="44"/>
      <c r="R99" s="44"/>
      <c r="S99" s="44"/>
      <c r="T99" s="49"/>
    </row>
    <row r="100" spans="1:20" ht="15.95" customHeight="1" x14ac:dyDescent="0.2">
      <c r="A100" s="35"/>
      <c r="B100" s="25" t="s">
        <v>1</v>
      </c>
      <c r="C100" s="6">
        <f>D100+E100+F100+G100+H100</f>
        <v>14726.082820000051</v>
      </c>
      <c r="D100" s="8"/>
      <c r="E100" s="8">
        <v>8216.4963600000137</v>
      </c>
      <c r="F100" s="8">
        <v>6509.5864600000377</v>
      </c>
      <c r="G100" s="8"/>
      <c r="H100" s="8"/>
      <c r="I100" s="44"/>
      <c r="J100" s="44"/>
      <c r="K100" s="44"/>
      <c r="L100" s="44"/>
      <c r="M100" s="44"/>
      <c r="N100" s="44"/>
      <c r="O100" s="44"/>
      <c r="P100" s="47"/>
      <c r="Q100" s="44"/>
      <c r="R100" s="44"/>
      <c r="S100" s="44"/>
      <c r="T100" s="49"/>
    </row>
    <row r="101" spans="1:20" ht="15.95" customHeight="1" x14ac:dyDescent="0.2">
      <c r="A101" s="35"/>
      <c r="B101" s="25" t="s">
        <v>2</v>
      </c>
      <c r="C101" s="6">
        <f>SUM(D101:H101)</f>
        <v>0</v>
      </c>
      <c r="D101" s="8"/>
      <c r="E101" s="8"/>
      <c r="F101" s="8"/>
      <c r="G101" s="8"/>
      <c r="H101" s="8"/>
      <c r="I101" s="44"/>
      <c r="J101" s="44"/>
      <c r="K101" s="44"/>
      <c r="L101" s="44"/>
      <c r="M101" s="44"/>
      <c r="N101" s="44"/>
      <c r="O101" s="44"/>
      <c r="P101" s="47"/>
      <c r="Q101" s="44"/>
      <c r="R101" s="44"/>
      <c r="S101" s="44"/>
      <c r="T101" s="49"/>
    </row>
    <row r="102" spans="1:20" ht="15.95" customHeight="1" x14ac:dyDescent="0.2">
      <c r="A102" s="36"/>
      <c r="B102" s="25" t="s">
        <v>3</v>
      </c>
      <c r="C102" s="6">
        <f>SUM(D102:H102)</f>
        <v>0</v>
      </c>
      <c r="D102" s="8"/>
      <c r="E102" s="8"/>
      <c r="F102" s="8"/>
      <c r="G102" s="8"/>
      <c r="H102" s="8"/>
      <c r="I102" s="45"/>
      <c r="J102" s="45"/>
      <c r="K102" s="45"/>
      <c r="L102" s="45"/>
      <c r="M102" s="45"/>
      <c r="N102" s="45"/>
      <c r="O102" s="45"/>
      <c r="P102" s="48"/>
      <c r="Q102" s="45"/>
      <c r="R102" s="45"/>
      <c r="S102" s="45"/>
      <c r="T102" s="49"/>
    </row>
    <row r="103" spans="1:20" ht="15.95" customHeight="1" x14ac:dyDescent="0.2">
      <c r="A103" s="34" t="s">
        <v>680</v>
      </c>
      <c r="B103" s="42" t="s">
        <v>526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8"/>
    </row>
    <row r="104" spans="1:20" ht="15.95" customHeight="1" x14ac:dyDescent="0.2">
      <c r="A104" s="35"/>
      <c r="B104" s="39" t="s">
        <v>101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6"/>
    </row>
    <row r="105" spans="1:20" ht="45" customHeight="1" x14ac:dyDescent="0.2">
      <c r="A105" s="35"/>
      <c r="B105" s="57" t="s">
        <v>633</v>
      </c>
      <c r="C105" s="58"/>
      <c r="D105" s="58"/>
      <c r="E105" s="58"/>
      <c r="F105" s="58"/>
      <c r="G105" s="58"/>
      <c r="H105" s="59"/>
      <c r="I105" s="43">
        <v>2025</v>
      </c>
      <c r="J105" s="43" t="s">
        <v>621</v>
      </c>
      <c r="K105" s="43" t="s">
        <v>42</v>
      </c>
      <c r="L105" s="43" t="s">
        <v>634</v>
      </c>
      <c r="M105" s="43" t="s">
        <v>616</v>
      </c>
      <c r="N105" s="43" t="s">
        <v>73</v>
      </c>
      <c r="O105" s="43" t="s">
        <v>616</v>
      </c>
      <c r="P105" s="46" t="s">
        <v>623</v>
      </c>
      <c r="Q105" s="43" t="s">
        <v>33</v>
      </c>
      <c r="R105" s="43" t="s">
        <v>635</v>
      </c>
      <c r="S105" s="43" t="s">
        <v>34</v>
      </c>
      <c r="T105" s="49" t="s">
        <v>624</v>
      </c>
    </row>
    <row r="106" spans="1:20" ht="15.95" customHeight="1" x14ac:dyDescent="0.2">
      <c r="A106" s="35"/>
      <c r="B106" s="25" t="s">
        <v>5</v>
      </c>
      <c r="C106" s="6">
        <f>D106+E106+F106+G106+H106</f>
        <v>219420</v>
      </c>
      <c r="D106" s="8">
        <f t="shared" ref="D106:F106" si="29">SUM(D107:D110)</f>
        <v>0</v>
      </c>
      <c r="E106" s="8">
        <f t="shared" si="29"/>
        <v>0</v>
      </c>
      <c r="F106" s="8">
        <f t="shared" si="29"/>
        <v>12420</v>
      </c>
      <c r="G106" s="8">
        <f t="shared" ref="G106:H106" si="30">SUM(G107:G110)</f>
        <v>0</v>
      </c>
      <c r="H106" s="8">
        <f t="shared" si="30"/>
        <v>207000</v>
      </c>
      <c r="I106" s="44"/>
      <c r="J106" s="44"/>
      <c r="K106" s="44"/>
      <c r="L106" s="44"/>
      <c r="M106" s="44"/>
      <c r="N106" s="44"/>
      <c r="O106" s="44"/>
      <c r="P106" s="47"/>
      <c r="Q106" s="44"/>
      <c r="R106" s="44"/>
      <c r="S106" s="44"/>
      <c r="T106" s="49"/>
    </row>
    <row r="107" spans="1:20" ht="15.95" customHeight="1" x14ac:dyDescent="0.2">
      <c r="A107" s="35"/>
      <c r="B107" s="25" t="s">
        <v>0</v>
      </c>
      <c r="C107" s="6">
        <f>D107+E107+F107+G107+H107</f>
        <v>214477.29032</v>
      </c>
      <c r="D107" s="8"/>
      <c r="E107" s="8"/>
      <c r="F107" s="8">
        <v>12140.223980000001</v>
      </c>
      <c r="G107" s="8"/>
      <c r="H107" s="8">
        <v>202337.06633999999</v>
      </c>
      <c r="I107" s="44"/>
      <c r="J107" s="44"/>
      <c r="K107" s="44"/>
      <c r="L107" s="44"/>
      <c r="M107" s="44"/>
      <c r="N107" s="44"/>
      <c r="O107" s="44"/>
      <c r="P107" s="47"/>
      <c r="Q107" s="44"/>
      <c r="R107" s="44"/>
      <c r="S107" s="44"/>
      <c r="T107" s="49"/>
    </row>
    <row r="108" spans="1:20" ht="15.95" customHeight="1" x14ac:dyDescent="0.2">
      <c r="A108" s="35"/>
      <c r="B108" s="25" t="s">
        <v>1</v>
      </c>
      <c r="C108" s="6">
        <f>D108+E108+F108+G108+H108</f>
        <v>4942.7096799999954</v>
      </c>
      <c r="D108" s="8"/>
      <c r="E108" s="8"/>
      <c r="F108" s="8">
        <v>279.77601999999956</v>
      </c>
      <c r="G108" s="8"/>
      <c r="H108" s="8">
        <v>4662.9336599999961</v>
      </c>
      <c r="I108" s="44"/>
      <c r="J108" s="44"/>
      <c r="K108" s="44"/>
      <c r="L108" s="44"/>
      <c r="M108" s="44"/>
      <c r="N108" s="44"/>
      <c r="O108" s="44"/>
      <c r="P108" s="47"/>
      <c r="Q108" s="44"/>
      <c r="R108" s="44"/>
      <c r="S108" s="44"/>
      <c r="T108" s="49"/>
    </row>
    <row r="109" spans="1:20" ht="15.95" customHeight="1" x14ac:dyDescent="0.2">
      <c r="A109" s="35"/>
      <c r="B109" s="25" t="s">
        <v>2</v>
      </c>
      <c r="C109" s="6">
        <f>SUM(D109:H109)</f>
        <v>0</v>
      </c>
      <c r="D109" s="8"/>
      <c r="E109" s="8"/>
      <c r="F109" s="8"/>
      <c r="G109" s="8"/>
      <c r="H109" s="8"/>
      <c r="I109" s="44"/>
      <c r="J109" s="44"/>
      <c r="K109" s="44"/>
      <c r="L109" s="44"/>
      <c r="M109" s="44"/>
      <c r="N109" s="44"/>
      <c r="O109" s="44"/>
      <c r="P109" s="47"/>
      <c r="Q109" s="44"/>
      <c r="R109" s="44"/>
      <c r="S109" s="44"/>
      <c r="T109" s="49"/>
    </row>
    <row r="110" spans="1:20" ht="15.95" customHeight="1" x14ac:dyDescent="0.2">
      <c r="A110" s="36"/>
      <c r="B110" s="25" t="s">
        <v>3</v>
      </c>
      <c r="C110" s="6">
        <f>SUM(D110:H110)</f>
        <v>0</v>
      </c>
      <c r="D110" s="8"/>
      <c r="E110" s="8"/>
      <c r="F110" s="8"/>
      <c r="G110" s="8"/>
      <c r="H110" s="8"/>
      <c r="I110" s="45"/>
      <c r="J110" s="45"/>
      <c r="K110" s="45"/>
      <c r="L110" s="45"/>
      <c r="M110" s="45"/>
      <c r="N110" s="45"/>
      <c r="O110" s="45"/>
      <c r="P110" s="48"/>
      <c r="Q110" s="45"/>
      <c r="R110" s="45"/>
      <c r="S110" s="45"/>
      <c r="T110" s="49"/>
    </row>
    <row r="111" spans="1:20" ht="15.95" customHeight="1" x14ac:dyDescent="0.2">
      <c r="A111" s="34" t="s">
        <v>681</v>
      </c>
      <c r="B111" s="42" t="s">
        <v>526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8"/>
    </row>
    <row r="112" spans="1:20" ht="15.95" customHeight="1" x14ac:dyDescent="0.2">
      <c r="A112" s="35"/>
      <c r="B112" s="39" t="s">
        <v>101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6"/>
    </row>
    <row r="113" spans="1:20" ht="45" customHeight="1" x14ac:dyDescent="0.2">
      <c r="A113" s="35"/>
      <c r="B113" s="57" t="s">
        <v>636</v>
      </c>
      <c r="C113" s="58"/>
      <c r="D113" s="58"/>
      <c r="E113" s="58"/>
      <c r="F113" s="58"/>
      <c r="G113" s="58"/>
      <c r="H113" s="59"/>
      <c r="I113" s="43">
        <v>2022</v>
      </c>
      <c r="J113" s="43" t="s">
        <v>614</v>
      </c>
      <c r="K113" s="43" t="s">
        <v>42</v>
      </c>
      <c r="L113" s="43" t="s">
        <v>637</v>
      </c>
      <c r="M113" s="43" t="s">
        <v>616</v>
      </c>
      <c r="N113" s="43" t="s">
        <v>73</v>
      </c>
      <c r="O113" s="43" t="s">
        <v>616</v>
      </c>
      <c r="P113" s="46">
        <v>136667.29999999999</v>
      </c>
      <c r="Q113" s="43" t="s">
        <v>33</v>
      </c>
      <c r="R113" s="43" t="s">
        <v>638</v>
      </c>
      <c r="S113" s="43" t="s">
        <v>34</v>
      </c>
      <c r="T113" s="49" t="s">
        <v>639</v>
      </c>
    </row>
    <row r="114" spans="1:20" ht="15.95" customHeight="1" x14ac:dyDescent="0.2">
      <c r="A114" s="35"/>
      <c r="B114" s="25" t="s">
        <v>5</v>
      </c>
      <c r="C114" s="6">
        <f>D114+E114+F114+G114+H114</f>
        <v>138630.28599999999</v>
      </c>
      <c r="D114" s="8">
        <f t="shared" ref="D114:F114" si="31">SUM(D115:D118)</f>
        <v>67547.023000000001</v>
      </c>
      <c r="E114" s="8">
        <f t="shared" si="31"/>
        <v>71083.262999999992</v>
      </c>
      <c r="F114" s="8">
        <f t="shared" si="31"/>
        <v>0</v>
      </c>
      <c r="G114" s="8">
        <f t="shared" ref="G114:H114" si="32">SUM(G115:G118)</f>
        <v>0</v>
      </c>
      <c r="H114" s="8">
        <f t="shared" si="32"/>
        <v>0</v>
      </c>
      <c r="I114" s="44"/>
      <c r="J114" s="44"/>
      <c r="K114" s="44"/>
      <c r="L114" s="44"/>
      <c r="M114" s="44"/>
      <c r="N114" s="44"/>
      <c r="O114" s="44"/>
      <c r="P114" s="47"/>
      <c r="Q114" s="44"/>
      <c r="R114" s="44"/>
      <c r="S114" s="44"/>
      <c r="T114" s="49"/>
    </row>
    <row r="115" spans="1:20" ht="15.95" customHeight="1" x14ac:dyDescent="0.2">
      <c r="A115" s="35"/>
      <c r="B115" s="25" t="s">
        <v>0</v>
      </c>
      <c r="C115" s="6">
        <f>D115+E115+F115+G115+H115</f>
        <v>135507.46557</v>
      </c>
      <c r="D115" s="8">
        <v>66025.441900000005</v>
      </c>
      <c r="E115" s="8">
        <v>69482.023669999995</v>
      </c>
      <c r="F115" s="8"/>
      <c r="G115" s="8"/>
      <c r="H115" s="8"/>
      <c r="I115" s="44"/>
      <c r="J115" s="44"/>
      <c r="K115" s="44"/>
      <c r="L115" s="44"/>
      <c r="M115" s="44"/>
      <c r="N115" s="44"/>
      <c r="O115" s="44"/>
      <c r="P115" s="47"/>
      <c r="Q115" s="44"/>
      <c r="R115" s="44"/>
      <c r="S115" s="44"/>
      <c r="T115" s="49"/>
    </row>
    <row r="116" spans="1:20" ht="15.95" customHeight="1" x14ac:dyDescent="0.2">
      <c r="A116" s="35"/>
      <c r="B116" s="25" t="s">
        <v>1</v>
      </c>
      <c r="C116" s="6">
        <f>D116+E116+F116+G116+H116</f>
        <v>3122.8204299999998</v>
      </c>
      <c r="D116" s="8">
        <v>1521.5811000000015</v>
      </c>
      <c r="E116" s="8">
        <v>1601.2393299999983</v>
      </c>
      <c r="F116" s="8"/>
      <c r="G116" s="8"/>
      <c r="H116" s="8"/>
      <c r="I116" s="44"/>
      <c r="J116" s="44"/>
      <c r="K116" s="44"/>
      <c r="L116" s="44"/>
      <c r="M116" s="44"/>
      <c r="N116" s="44"/>
      <c r="O116" s="44"/>
      <c r="P116" s="47"/>
      <c r="Q116" s="44"/>
      <c r="R116" s="44"/>
      <c r="S116" s="44"/>
      <c r="T116" s="49"/>
    </row>
    <row r="117" spans="1:20" ht="15.95" customHeight="1" x14ac:dyDescent="0.2">
      <c r="A117" s="35"/>
      <c r="B117" s="25" t="s">
        <v>2</v>
      </c>
      <c r="C117" s="6">
        <f>SUM(D117:H117)</f>
        <v>0</v>
      </c>
      <c r="D117" s="8"/>
      <c r="E117" s="8"/>
      <c r="F117" s="8"/>
      <c r="G117" s="8"/>
      <c r="H117" s="8"/>
      <c r="I117" s="44"/>
      <c r="J117" s="44"/>
      <c r="K117" s="44"/>
      <c r="L117" s="44"/>
      <c r="M117" s="44"/>
      <c r="N117" s="44"/>
      <c r="O117" s="44"/>
      <c r="P117" s="47"/>
      <c r="Q117" s="44"/>
      <c r="R117" s="44"/>
      <c r="S117" s="44"/>
      <c r="T117" s="49"/>
    </row>
    <row r="118" spans="1:20" ht="15.95" customHeight="1" x14ac:dyDescent="0.2">
      <c r="A118" s="36"/>
      <c r="B118" s="25" t="s">
        <v>3</v>
      </c>
      <c r="C118" s="6">
        <f>SUM(D118:H118)</f>
        <v>0</v>
      </c>
      <c r="D118" s="8"/>
      <c r="E118" s="8"/>
      <c r="F118" s="8"/>
      <c r="G118" s="8"/>
      <c r="H118" s="8"/>
      <c r="I118" s="45"/>
      <c r="J118" s="45"/>
      <c r="K118" s="45"/>
      <c r="L118" s="45"/>
      <c r="M118" s="45"/>
      <c r="N118" s="45"/>
      <c r="O118" s="45"/>
      <c r="P118" s="48"/>
      <c r="Q118" s="45"/>
      <c r="R118" s="45"/>
      <c r="S118" s="45"/>
      <c r="T118" s="49"/>
    </row>
    <row r="119" spans="1:20" ht="15.95" customHeight="1" x14ac:dyDescent="0.2">
      <c r="A119" s="34" t="s">
        <v>682</v>
      </c>
      <c r="B119" s="42" t="s">
        <v>526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8"/>
    </row>
    <row r="120" spans="1:20" ht="15.95" customHeight="1" x14ac:dyDescent="0.2">
      <c r="A120" s="35"/>
      <c r="B120" s="39" t="s">
        <v>101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6"/>
    </row>
    <row r="121" spans="1:20" ht="45" customHeight="1" x14ac:dyDescent="0.2">
      <c r="A121" s="35"/>
      <c r="B121" s="57" t="s">
        <v>640</v>
      </c>
      <c r="C121" s="58"/>
      <c r="D121" s="58"/>
      <c r="E121" s="58"/>
      <c r="F121" s="58"/>
      <c r="G121" s="58"/>
      <c r="H121" s="59"/>
      <c r="I121" s="43">
        <v>2021</v>
      </c>
      <c r="J121" s="43" t="s">
        <v>614</v>
      </c>
      <c r="K121" s="43" t="s">
        <v>42</v>
      </c>
      <c r="L121" s="43" t="s">
        <v>641</v>
      </c>
      <c r="M121" s="43" t="s">
        <v>616</v>
      </c>
      <c r="N121" s="43" t="s">
        <v>73</v>
      </c>
      <c r="O121" s="43" t="s">
        <v>616</v>
      </c>
      <c r="P121" s="46" t="s">
        <v>623</v>
      </c>
      <c r="Q121" s="43" t="s">
        <v>33</v>
      </c>
      <c r="R121" s="43" t="s">
        <v>40</v>
      </c>
      <c r="S121" s="43" t="s">
        <v>34</v>
      </c>
      <c r="T121" s="49" t="s">
        <v>624</v>
      </c>
    </row>
    <row r="122" spans="1:20" ht="15.95" customHeight="1" x14ac:dyDescent="0.2">
      <c r="A122" s="35"/>
      <c r="B122" s="25" t="s">
        <v>5</v>
      </c>
      <c r="C122" s="6">
        <f>D122+E122+F122+G122+H122</f>
        <v>40876.145999999993</v>
      </c>
      <c r="D122" s="8">
        <f t="shared" ref="D122:F122" si="33">SUM(D123:D126)</f>
        <v>40876.145999999993</v>
      </c>
      <c r="E122" s="8">
        <f t="shared" si="33"/>
        <v>0</v>
      </c>
      <c r="F122" s="8">
        <f t="shared" si="33"/>
        <v>0</v>
      </c>
      <c r="G122" s="8">
        <f t="shared" ref="G122:H122" si="34">SUM(G123:G126)</f>
        <v>0</v>
      </c>
      <c r="H122" s="8">
        <f t="shared" si="34"/>
        <v>0</v>
      </c>
      <c r="I122" s="44"/>
      <c r="J122" s="44"/>
      <c r="K122" s="44"/>
      <c r="L122" s="44"/>
      <c r="M122" s="44"/>
      <c r="N122" s="44"/>
      <c r="O122" s="44"/>
      <c r="P122" s="47"/>
      <c r="Q122" s="44"/>
      <c r="R122" s="44"/>
      <c r="S122" s="44"/>
      <c r="T122" s="49"/>
    </row>
    <row r="123" spans="1:20" ht="15.95" customHeight="1" x14ac:dyDescent="0.2">
      <c r="A123" s="35"/>
      <c r="B123" s="25" t="s">
        <v>0</v>
      </c>
      <c r="C123" s="6">
        <f>D123+E123+F123+G123+H123</f>
        <v>39955.359729999996</v>
      </c>
      <c r="D123" s="8">
        <v>39955.359729999996</v>
      </c>
      <c r="E123" s="8"/>
      <c r="F123" s="8"/>
      <c r="G123" s="8"/>
      <c r="H123" s="8"/>
      <c r="I123" s="44"/>
      <c r="J123" s="44"/>
      <c r="K123" s="44"/>
      <c r="L123" s="44"/>
      <c r="M123" s="44"/>
      <c r="N123" s="44"/>
      <c r="O123" s="44"/>
      <c r="P123" s="47"/>
      <c r="Q123" s="44"/>
      <c r="R123" s="44"/>
      <c r="S123" s="44"/>
      <c r="T123" s="49"/>
    </row>
    <row r="124" spans="1:20" ht="15.95" customHeight="1" x14ac:dyDescent="0.2">
      <c r="A124" s="35"/>
      <c r="B124" s="25" t="s">
        <v>1</v>
      </c>
      <c r="C124" s="6">
        <f>D124+E124+F124+G124+H124</f>
        <v>920.78626999999994</v>
      </c>
      <c r="D124" s="8">
        <v>920.78626999999994</v>
      </c>
      <c r="E124" s="8"/>
      <c r="F124" s="8"/>
      <c r="G124" s="8"/>
      <c r="H124" s="8"/>
      <c r="I124" s="44"/>
      <c r="J124" s="44"/>
      <c r="K124" s="44"/>
      <c r="L124" s="44"/>
      <c r="M124" s="44"/>
      <c r="N124" s="44"/>
      <c r="O124" s="44"/>
      <c r="P124" s="47"/>
      <c r="Q124" s="44"/>
      <c r="R124" s="44"/>
      <c r="S124" s="44"/>
      <c r="T124" s="49"/>
    </row>
    <row r="125" spans="1:20" ht="15.95" customHeight="1" x14ac:dyDescent="0.2">
      <c r="A125" s="35"/>
      <c r="B125" s="25" t="s">
        <v>2</v>
      </c>
      <c r="C125" s="6">
        <f>SUM(D125:H125)</f>
        <v>0</v>
      </c>
      <c r="D125" s="8"/>
      <c r="E125" s="8"/>
      <c r="F125" s="8"/>
      <c r="G125" s="8"/>
      <c r="H125" s="8"/>
      <c r="I125" s="44"/>
      <c r="J125" s="44"/>
      <c r="K125" s="44"/>
      <c r="L125" s="44"/>
      <c r="M125" s="44"/>
      <c r="N125" s="44"/>
      <c r="O125" s="44"/>
      <c r="P125" s="47"/>
      <c r="Q125" s="44"/>
      <c r="R125" s="44"/>
      <c r="S125" s="44"/>
      <c r="T125" s="49"/>
    </row>
    <row r="126" spans="1:20" ht="15.95" customHeight="1" x14ac:dyDescent="0.2">
      <c r="A126" s="36"/>
      <c r="B126" s="25" t="s">
        <v>3</v>
      </c>
      <c r="C126" s="6">
        <f>SUM(D126:H126)</f>
        <v>0</v>
      </c>
      <c r="D126" s="8"/>
      <c r="E126" s="8"/>
      <c r="F126" s="8"/>
      <c r="G126" s="8"/>
      <c r="H126" s="8"/>
      <c r="I126" s="45"/>
      <c r="J126" s="45"/>
      <c r="K126" s="45"/>
      <c r="L126" s="45"/>
      <c r="M126" s="45"/>
      <c r="N126" s="45"/>
      <c r="O126" s="45"/>
      <c r="P126" s="48"/>
      <c r="Q126" s="45"/>
      <c r="R126" s="45"/>
      <c r="S126" s="45"/>
      <c r="T126" s="49"/>
    </row>
    <row r="127" spans="1:20" ht="15.95" customHeight="1" x14ac:dyDescent="0.2">
      <c r="A127" s="34" t="s">
        <v>683</v>
      </c>
      <c r="B127" s="42" t="s">
        <v>526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8"/>
    </row>
    <row r="128" spans="1:20" ht="15.95" customHeight="1" x14ac:dyDescent="0.2">
      <c r="A128" s="35"/>
      <c r="B128" s="39" t="s">
        <v>101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6"/>
    </row>
    <row r="129" spans="1:20" ht="45" customHeight="1" x14ac:dyDescent="0.2">
      <c r="A129" s="35"/>
      <c r="B129" s="57" t="s">
        <v>642</v>
      </c>
      <c r="C129" s="58"/>
      <c r="D129" s="58"/>
      <c r="E129" s="58"/>
      <c r="F129" s="58"/>
      <c r="G129" s="58"/>
      <c r="H129" s="59"/>
      <c r="I129" s="43">
        <v>2025</v>
      </c>
      <c r="J129" s="43" t="s">
        <v>614</v>
      </c>
      <c r="K129" s="43" t="s">
        <v>42</v>
      </c>
      <c r="L129" s="43" t="s">
        <v>637</v>
      </c>
      <c r="M129" s="43" t="s">
        <v>616</v>
      </c>
      <c r="N129" s="43" t="s">
        <v>73</v>
      </c>
      <c r="O129" s="43" t="s">
        <v>616</v>
      </c>
      <c r="P129" s="46" t="s">
        <v>623</v>
      </c>
      <c r="Q129" s="43" t="s">
        <v>33</v>
      </c>
      <c r="R129" s="43" t="s">
        <v>224</v>
      </c>
      <c r="S129" s="43" t="s">
        <v>34</v>
      </c>
      <c r="T129" s="49" t="s">
        <v>624</v>
      </c>
    </row>
    <row r="130" spans="1:20" ht="15.95" customHeight="1" x14ac:dyDescent="0.2">
      <c r="A130" s="35"/>
      <c r="B130" s="25" t="s">
        <v>5</v>
      </c>
      <c r="C130" s="6">
        <f>D130+E130+F130+G130+H130</f>
        <v>99182.7</v>
      </c>
      <c r="D130" s="8">
        <f t="shared" ref="D130:F130" si="35">SUM(D131:D134)</f>
        <v>0</v>
      </c>
      <c r="E130" s="8">
        <f t="shared" si="35"/>
        <v>0</v>
      </c>
      <c r="F130" s="8">
        <f t="shared" si="35"/>
        <v>0</v>
      </c>
      <c r="G130" s="8">
        <f t="shared" ref="G130:H130" si="36">SUM(G131:G134)</f>
        <v>5100</v>
      </c>
      <c r="H130" s="8">
        <f t="shared" si="36"/>
        <v>94082.7</v>
      </c>
      <c r="I130" s="44"/>
      <c r="J130" s="44"/>
      <c r="K130" s="44"/>
      <c r="L130" s="44"/>
      <c r="M130" s="44"/>
      <c r="N130" s="44"/>
      <c r="O130" s="44"/>
      <c r="P130" s="47"/>
      <c r="Q130" s="44"/>
      <c r="R130" s="44" t="s">
        <v>224</v>
      </c>
      <c r="S130" s="44"/>
      <c r="T130" s="49"/>
    </row>
    <row r="131" spans="1:20" ht="15.95" customHeight="1" x14ac:dyDescent="0.2">
      <c r="A131" s="35"/>
      <c r="B131" s="25" t="s">
        <v>0</v>
      </c>
      <c r="C131" s="6">
        <f>D131+E131+F131+G131+H131</f>
        <v>96948.485749999993</v>
      </c>
      <c r="D131" s="8"/>
      <c r="E131" s="8"/>
      <c r="F131" s="8"/>
      <c r="G131" s="8">
        <v>4985.1161300000003</v>
      </c>
      <c r="H131" s="8">
        <v>91963.369619999998</v>
      </c>
      <c r="I131" s="44"/>
      <c r="J131" s="44"/>
      <c r="K131" s="44"/>
      <c r="L131" s="44"/>
      <c r="M131" s="44"/>
      <c r="N131" s="44"/>
      <c r="O131" s="44"/>
      <c r="P131" s="47"/>
      <c r="Q131" s="44"/>
      <c r="R131" s="44" t="s">
        <v>224</v>
      </c>
      <c r="S131" s="44"/>
      <c r="T131" s="49"/>
    </row>
    <row r="132" spans="1:20" ht="15.95" customHeight="1" x14ac:dyDescent="0.2">
      <c r="A132" s="35"/>
      <c r="B132" s="25" t="s">
        <v>1</v>
      </c>
      <c r="C132" s="6">
        <f>D132+E132+F132+G132+H132</f>
        <v>2234.2142499999954</v>
      </c>
      <c r="D132" s="8"/>
      <c r="E132" s="8"/>
      <c r="F132" s="8"/>
      <c r="G132" s="8">
        <v>114.88387000000012</v>
      </c>
      <c r="H132" s="8">
        <v>2119.3303799999953</v>
      </c>
      <c r="I132" s="44"/>
      <c r="J132" s="44"/>
      <c r="K132" s="44"/>
      <c r="L132" s="44"/>
      <c r="M132" s="44"/>
      <c r="N132" s="44"/>
      <c r="O132" s="44"/>
      <c r="P132" s="47"/>
      <c r="Q132" s="44"/>
      <c r="R132" s="44" t="s">
        <v>224</v>
      </c>
      <c r="S132" s="44"/>
      <c r="T132" s="49"/>
    </row>
    <row r="133" spans="1:20" ht="15.95" customHeight="1" x14ac:dyDescent="0.2">
      <c r="A133" s="35"/>
      <c r="B133" s="25" t="s">
        <v>2</v>
      </c>
      <c r="C133" s="6">
        <f>SUM(D133:H133)</f>
        <v>0</v>
      </c>
      <c r="D133" s="8"/>
      <c r="E133" s="8"/>
      <c r="F133" s="8"/>
      <c r="G133" s="8"/>
      <c r="H133" s="8"/>
      <c r="I133" s="44"/>
      <c r="J133" s="44"/>
      <c r="K133" s="44"/>
      <c r="L133" s="44"/>
      <c r="M133" s="44"/>
      <c r="N133" s="44"/>
      <c r="O133" s="44"/>
      <c r="P133" s="47"/>
      <c r="Q133" s="44"/>
      <c r="R133" s="44" t="s">
        <v>224</v>
      </c>
      <c r="S133" s="44"/>
      <c r="T133" s="49"/>
    </row>
    <row r="134" spans="1:20" ht="15.95" customHeight="1" x14ac:dyDescent="0.2">
      <c r="A134" s="36"/>
      <c r="B134" s="25" t="s">
        <v>3</v>
      </c>
      <c r="C134" s="6">
        <f>SUM(D134:H134)</f>
        <v>0</v>
      </c>
      <c r="D134" s="8"/>
      <c r="E134" s="8"/>
      <c r="F134" s="8"/>
      <c r="G134" s="8"/>
      <c r="H134" s="8"/>
      <c r="I134" s="45"/>
      <c r="J134" s="45"/>
      <c r="K134" s="45"/>
      <c r="L134" s="45"/>
      <c r="M134" s="45"/>
      <c r="N134" s="45"/>
      <c r="O134" s="45"/>
      <c r="P134" s="48"/>
      <c r="Q134" s="45"/>
      <c r="R134" s="45" t="s">
        <v>224</v>
      </c>
      <c r="S134" s="45"/>
      <c r="T134" s="49"/>
    </row>
    <row r="135" spans="1:20" ht="15.95" customHeight="1" x14ac:dyDescent="0.2">
      <c r="A135" s="34" t="s">
        <v>684</v>
      </c>
      <c r="B135" s="42" t="s">
        <v>526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8"/>
    </row>
    <row r="136" spans="1:20" ht="15.95" customHeight="1" x14ac:dyDescent="0.2">
      <c r="A136" s="35"/>
      <c r="B136" s="39" t="s">
        <v>101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6"/>
    </row>
    <row r="137" spans="1:20" ht="45" customHeight="1" x14ac:dyDescent="0.2">
      <c r="A137" s="35"/>
      <c r="B137" s="57" t="s">
        <v>643</v>
      </c>
      <c r="C137" s="58"/>
      <c r="D137" s="58"/>
      <c r="E137" s="58"/>
      <c r="F137" s="58"/>
      <c r="G137" s="58"/>
      <c r="H137" s="59"/>
      <c r="I137" s="43">
        <v>2024</v>
      </c>
      <c r="J137" s="43" t="s">
        <v>614</v>
      </c>
      <c r="K137" s="43" t="s">
        <v>42</v>
      </c>
      <c r="L137" s="43" t="s">
        <v>637</v>
      </c>
      <c r="M137" s="43" t="s">
        <v>616</v>
      </c>
      <c r="N137" s="43" t="s">
        <v>73</v>
      </c>
      <c r="O137" s="43" t="s">
        <v>616</v>
      </c>
      <c r="P137" s="46" t="s">
        <v>623</v>
      </c>
      <c r="Q137" s="43" t="s">
        <v>33</v>
      </c>
      <c r="R137" s="43" t="s">
        <v>619</v>
      </c>
      <c r="S137" s="43" t="s">
        <v>34</v>
      </c>
      <c r="T137" s="49" t="s">
        <v>624</v>
      </c>
    </row>
    <row r="138" spans="1:20" ht="15.95" customHeight="1" x14ac:dyDescent="0.2">
      <c r="A138" s="35"/>
      <c r="B138" s="25" t="s">
        <v>5</v>
      </c>
      <c r="C138" s="6">
        <f>D138+E138+F138+G138+H138</f>
        <v>149362.32</v>
      </c>
      <c r="D138" s="8">
        <f t="shared" ref="D138:F138" si="37">SUM(D139:D142)</f>
        <v>0</v>
      </c>
      <c r="E138" s="8">
        <f t="shared" si="37"/>
        <v>8450</v>
      </c>
      <c r="F138" s="8">
        <f t="shared" si="37"/>
        <v>0</v>
      </c>
      <c r="G138" s="8">
        <f t="shared" ref="G138:H138" si="38">SUM(G139:G142)</f>
        <v>140912.32000000001</v>
      </c>
      <c r="H138" s="8">
        <f t="shared" si="38"/>
        <v>0</v>
      </c>
      <c r="I138" s="44"/>
      <c r="J138" s="44"/>
      <c r="K138" s="44"/>
      <c r="L138" s="44"/>
      <c r="M138" s="44"/>
      <c r="N138" s="44"/>
      <c r="O138" s="44"/>
      <c r="P138" s="47"/>
      <c r="Q138" s="44"/>
      <c r="R138" s="44"/>
      <c r="S138" s="44"/>
      <c r="T138" s="49"/>
    </row>
    <row r="139" spans="1:20" ht="15.95" customHeight="1" x14ac:dyDescent="0.2">
      <c r="A139" s="35"/>
      <c r="B139" s="25" t="s">
        <v>0</v>
      </c>
      <c r="C139" s="6">
        <f>D139+E139+F139+G139+H139</f>
        <v>145997.74710000001</v>
      </c>
      <c r="D139" s="8"/>
      <c r="E139" s="8">
        <v>8259.6531900000009</v>
      </c>
      <c r="F139" s="8"/>
      <c r="G139" s="8">
        <v>137738.09391</v>
      </c>
      <c r="H139" s="8"/>
      <c r="I139" s="44"/>
      <c r="J139" s="44"/>
      <c r="K139" s="44"/>
      <c r="L139" s="44"/>
      <c r="M139" s="44"/>
      <c r="N139" s="44"/>
      <c r="O139" s="44"/>
      <c r="P139" s="47"/>
      <c r="Q139" s="44"/>
      <c r="R139" s="44"/>
      <c r="S139" s="44"/>
      <c r="T139" s="49"/>
    </row>
    <row r="140" spans="1:20" ht="15.95" customHeight="1" x14ac:dyDescent="0.2">
      <c r="A140" s="35"/>
      <c r="B140" s="25" t="s">
        <v>1</v>
      </c>
      <c r="C140" s="6">
        <f>D140+E140+F140+G140+H140</f>
        <v>3364.5729000000033</v>
      </c>
      <c r="D140" s="8"/>
      <c r="E140" s="8">
        <v>190.34680999999958</v>
      </c>
      <c r="F140" s="8"/>
      <c r="G140" s="8">
        <v>3174.2260900000038</v>
      </c>
      <c r="H140" s="8"/>
      <c r="I140" s="44"/>
      <c r="J140" s="44"/>
      <c r="K140" s="44"/>
      <c r="L140" s="44"/>
      <c r="M140" s="44"/>
      <c r="N140" s="44"/>
      <c r="O140" s="44"/>
      <c r="P140" s="47"/>
      <c r="Q140" s="44"/>
      <c r="R140" s="44"/>
      <c r="S140" s="44"/>
      <c r="T140" s="49"/>
    </row>
    <row r="141" spans="1:20" ht="15.95" customHeight="1" x14ac:dyDescent="0.2">
      <c r="A141" s="35"/>
      <c r="B141" s="25" t="s">
        <v>2</v>
      </c>
      <c r="C141" s="6">
        <f>SUM(D141:H141)</f>
        <v>0</v>
      </c>
      <c r="D141" s="8"/>
      <c r="E141" s="8"/>
      <c r="F141" s="8"/>
      <c r="G141" s="8"/>
      <c r="H141" s="8"/>
      <c r="I141" s="44"/>
      <c r="J141" s="44"/>
      <c r="K141" s="44"/>
      <c r="L141" s="44"/>
      <c r="M141" s="44"/>
      <c r="N141" s="44"/>
      <c r="O141" s="44"/>
      <c r="P141" s="47"/>
      <c r="Q141" s="44"/>
      <c r="R141" s="44"/>
      <c r="S141" s="44"/>
      <c r="T141" s="49"/>
    </row>
    <row r="142" spans="1:20" ht="15.95" customHeight="1" x14ac:dyDescent="0.2">
      <c r="A142" s="36"/>
      <c r="B142" s="25" t="s">
        <v>3</v>
      </c>
      <c r="C142" s="6">
        <f>SUM(D142:H142)</f>
        <v>0</v>
      </c>
      <c r="D142" s="8"/>
      <c r="E142" s="8"/>
      <c r="F142" s="8"/>
      <c r="G142" s="8"/>
      <c r="H142" s="8"/>
      <c r="I142" s="45"/>
      <c r="J142" s="45"/>
      <c r="K142" s="45"/>
      <c r="L142" s="45"/>
      <c r="M142" s="45"/>
      <c r="N142" s="45"/>
      <c r="O142" s="45"/>
      <c r="P142" s="48"/>
      <c r="Q142" s="45"/>
      <c r="R142" s="45"/>
      <c r="S142" s="45"/>
      <c r="T142" s="49"/>
    </row>
    <row r="143" spans="1:20" ht="15.95" customHeight="1" x14ac:dyDescent="0.2">
      <c r="A143" s="34" t="s">
        <v>685</v>
      </c>
      <c r="B143" s="42" t="s">
        <v>526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8"/>
    </row>
    <row r="144" spans="1:20" ht="15.95" customHeight="1" x14ac:dyDescent="0.2">
      <c r="A144" s="35"/>
      <c r="B144" s="39" t="s">
        <v>101</v>
      </c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6"/>
    </row>
    <row r="145" spans="1:20" ht="45" customHeight="1" x14ac:dyDescent="0.2">
      <c r="A145" s="35"/>
      <c r="B145" s="57" t="s">
        <v>644</v>
      </c>
      <c r="C145" s="58"/>
      <c r="D145" s="58"/>
      <c r="E145" s="58"/>
      <c r="F145" s="58"/>
      <c r="G145" s="58"/>
      <c r="H145" s="59"/>
      <c r="I145" s="43">
        <v>2025</v>
      </c>
      <c r="J145" s="43" t="s">
        <v>614</v>
      </c>
      <c r="K145" s="43" t="s">
        <v>42</v>
      </c>
      <c r="L145" s="43" t="s">
        <v>637</v>
      </c>
      <c r="M145" s="43" t="s">
        <v>616</v>
      </c>
      <c r="N145" s="43" t="s">
        <v>73</v>
      </c>
      <c r="O145" s="43" t="s">
        <v>616</v>
      </c>
      <c r="P145" s="46" t="s">
        <v>623</v>
      </c>
      <c r="Q145" s="43" t="s">
        <v>33</v>
      </c>
      <c r="R145" s="43" t="s">
        <v>48</v>
      </c>
      <c r="S145" s="43" t="s">
        <v>34</v>
      </c>
      <c r="T145" s="49" t="s">
        <v>624</v>
      </c>
    </row>
    <row r="146" spans="1:20" ht="15.95" customHeight="1" x14ac:dyDescent="0.2">
      <c r="A146" s="35"/>
      <c r="B146" s="25" t="s">
        <v>5</v>
      </c>
      <c r="C146" s="6">
        <f>D146+E146+F146+G146+H146</f>
        <v>155985.20000000001</v>
      </c>
      <c r="D146" s="8">
        <f t="shared" ref="D146:F146" si="39">SUM(D147:D150)</f>
        <v>0</v>
      </c>
      <c r="E146" s="8">
        <f t="shared" si="39"/>
        <v>0</v>
      </c>
      <c r="F146" s="8">
        <f t="shared" si="39"/>
        <v>0</v>
      </c>
      <c r="G146" s="8">
        <f t="shared" ref="G146:H146" si="40">SUM(G147:G150)</f>
        <v>8450</v>
      </c>
      <c r="H146" s="8">
        <f t="shared" si="40"/>
        <v>147535.20000000001</v>
      </c>
      <c r="I146" s="44"/>
      <c r="J146" s="44"/>
      <c r="K146" s="44"/>
      <c r="L146" s="44"/>
      <c r="M146" s="44"/>
      <c r="N146" s="44"/>
      <c r="O146" s="44"/>
      <c r="P146" s="47"/>
      <c r="Q146" s="44"/>
      <c r="R146" s="44"/>
      <c r="S146" s="44"/>
      <c r="T146" s="49"/>
    </row>
    <row r="147" spans="1:20" ht="15.95" customHeight="1" x14ac:dyDescent="0.2">
      <c r="A147" s="35"/>
      <c r="B147" s="25" t="s">
        <v>0</v>
      </c>
      <c r="C147" s="6">
        <f>D147+E147+F147+G147+H147</f>
        <v>152471.43845000002</v>
      </c>
      <c r="D147" s="8"/>
      <c r="E147" s="8"/>
      <c r="F147" s="8"/>
      <c r="G147" s="8">
        <v>8259.6531900000009</v>
      </c>
      <c r="H147" s="8">
        <v>144211.78526</v>
      </c>
      <c r="I147" s="44"/>
      <c r="J147" s="44"/>
      <c r="K147" s="44"/>
      <c r="L147" s="44"/>
      <c r="M147" s="44"/>
      <c r="N147" s="44"/>
      <c r="O147" s="44"/>
      <c r="P147" s="47"/>
      <c r="Q147" s="44"/>
      <c r="R147" s="44"/>
      <c r="S147" s="44"/>
      <c r="T147" s="49"/>
    </row>
    <row r="148" spans="1:20" ht="15.95" customHeight="1" x14ac:dyDescent="0.2">
      <c r="A148" s="35"/>
      <c r="B148" s="25" t="s">
        <v>1</v>
      </c>
      <c r="C148" s="6">
        <f>D148+E148+F148+G148+H148</f>
        <v>3513.7615500000093</v>
      </c>
      <c r="D148" s="8"/>
      <c r="E148" s="8"/>
      <c r="F148" s="8"/>
      <c r="G148" s="8">
        <v>190.34680999999958</v>
      </c>
      <c r="H148" s="8">
        <v>3323.4147400000097</v>
      </c>
      <c r="I148" s="44"/>
      <c r="J148" s="44"/>
      <c r="K148" s="44"/>
      <c r="L148" s="44"/>
      <c r="M148" s="44"/>
      <c r="N148" s="44"/>
      <c r="O148" s="44"/>
      <c r="P148" s="47"/>
      <c r="Q148" s="44"/>
      <c r="R148" s="44"/>
      <c r="S148" s="44"/>
      <c r="T148" s="49"/>
    </row>
    <row r="149" spans="1:20" ht="15.95" customHeight="1" x14ac:dyDescent="0.2">
      <c r="A149" s="35"/>
      <c r="B149" s="25" t="s">
        <v>2</v>
      </c>
      <c r="C149" s="6">
        <f>SUM(D149:H149)</f>
        <v>0</v>
      </c>
      <c r="D149" s="8"/>
      <c r="E149" s="8"/>
      <c r="F149" s="8"/>
      <c r="G149" s="8"/>
      <c r="H149" s="8"/>
      <c r="I149" s="44"/>
      <c r="J149" s="44"/>
      <c r="K149" s="44"/>
      <c r="L149" s="44"/>
      <c r="M149" s="44"/>
      <c r="N149" s="44"/>
      <c r="O149" s="44"/>
      <c r="P149" s="47"/>
      <c r="Q149" s="44"/>
      <c r="R149" s="44"/>
      <c r="S149" s="44"/>
      <c r="T149" s="49"/>
    </row>
    <row r="150" spans="1:20" ht="15.95" customHeight="1" x14ac:dyDescent="0.2">
      <c r="A150" s="36"/>
      <c r="B150" s="25" t="s">
        <v>3</v>
      </c>
      <c r="C150" s="6">
        <f>SUM(D150:H150)</f>
        <v>0</v>
      </c>
      <c r="D150" s="8"/>
      <c r="E150" s="8"/>
      <c r="F150" s="8"/>
      <c r="G150" s="8"/>
      <c r="H150" s="8"/>
      <c r="I150" s="45"/>
      <c r="J150" s="45"/>
      <c r="K150" s="45"/>
      <c r="L150" s="45"/>
      <c r="M150" s="45"/>
      <c r="N150" s="45"/>
      <c r="O150" s="45"/>
      <c r="P150" s="48"/>
      <c r="Q150" s="45"/>
      <c r="R150" s="45"/>
      <c r="S150" s="45"/>
      <c r="T150" s="49"/>
    </row>
    <row r="151" spans="1:20" ht="15.95" customHeight="1" x14ac:dyDescent="0.2">
      <c r="A151" s="34" t="s">
        <v>686</v>
      </c>
      <c r="B151" s="42" t="s">
        <v>526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8"/>
    </row>
    <row r="152" spans="1:20" ht="15.95" customHeight="1" x14ac:dyDescent="0.2">
      <c r="A152" s="35"/>
      <c r="B152" s="39" t="s">
        <v>101</v>
      </c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6"/>
    </row>
    <row r="153" spans="1:20" ht="45" customHeight="1" x14ac:dyDescent="0.2">
      <c r="A153" s="35"/>
      <c r="B153" s="57" t="s">
        <v>645</v>
      </c>
      <c r="C153" s="58"/>
      <c r="D153" s="58"/>
      <c r="E153" s="58"/>
      <c r="F153" s="58"/>
      <c r="G153" s="58"/>
      <c r="H153" s="59"/>
      <c r="I153" s="43">
        <v>2024</v>
      </c>
      <c r="J153" s="43" t="s">
        <v>614</v>
      </c>
      <c r="K153" s="43" t="s">
        <v>42</v>
      </c>
      <c r="L153" s="43" t="s">
        <v>637</v>
      </c>
      <c r="M153" s="43" t="s">
        <v>616</v>
      </c>
      <c r="N153" s="43" t="s">
        <v>73</v>
      </c>
      <c r="O153" s="43" t="s">
        <v>616</v>
      </c>
      <c r="P153" s="46" t="s">
        <v>623</v>
      </c>
      <c r="Q153" s="43" t="s">
        <v>33</v>
      </c>
      <c r="R153" s="43" t="s">
        <v>632</v>
      </c>
      <c r="S153" s="43" t="s">
        <v>34</v>
      </c>
      <c r="T153" s="49" t="s">
        <v>624</v>
      </c>
    </row>
    <row r="154" spans="1:20" ht="15.95" customHeight="1" x14ac:dyDescent="0.2">
      <c r="A154" s="35"/>
      <c r="B154" s="25" t="s">
        <v>5</v>
      </c>
      <c r="C154" s="6">
        <f>D154+E154+F154+G154+H154</f>
        <v>149362.32</v>
      </c>
      <c r="D154" s="8">
        <f t="shared" ref="D154:F154" si="41">SUM(D155:D158)</f>
        <v>0</v>
      </c>
      <c r="E154" s="8">
        <f t="shared" si="41"/>
        <v>8450</v>
      </c>
      <c r="F154" s="8">
        <f t="shared" si="41"/>
        <v>0</v>
      </c>
      <c r="G154" s="8">
        <f t="shared" ref="G154:H154" si="42">SUM(G155:G158)</f>
        <v>140912.32000000001</v>
      </c>
      <c r="H154" s="8">
        <f t="shared" si="42"/>
        <v>0</v>
      </c>
      <c r="I154" s="44"/>
      <c r="J154" s="44"/>
      <c r="K154" s="44"/>
      <c r="L154" s="44"/>
      <c r="M154" s="44"/>
      <c r="N154" s="44"/>
      <c r="O154" s="44"/>
      <c r="P154" s="47"/>
      <c r="Q154" s="44"/>
      <c r="R154" s="44"/>
      <c r="S154" s="44"/>
      <c r="T154" s="49"/>
    </row>
    <row r="155" spans="1:20" ht="15.95" customHeight="1" x14ac:dyDescent="0.2">
      <c r="A155" s="35"/>
      <c r="B155" s="25" t="s">
        <v>0</v>
      </c>
      <c r="C155" s="6">
        <f>D155+E155+F155+G155+H155</f>
        <v>145997.74710000001</v>
      </c>
      <c r="D155" s="8"/>
      <c r="E155" s="8">
        <v>8259.6531900000009</v>
      </c>
      <c r="F155" s="8"/>
      <c r="G155" s="8">
        <v>137738.09391</v>
      </c>
      <c r="H155" s="8"/>
      <c r="I155" s="44"/>
      <c r="J155" s="44"/>
      <c r="K155" s="44"/>
      <c r="L155" s="44"/>
      <c r="M155" s="44"/>
      <c r="N155" s="44"/>
      <c r="O155" s="44"/>
      <c r="P155" s="47"/>
      <c r="Q155" s="44"/>
      <c r="R155" s="44"/>
      <c r="S155" s="44"/>
      <c r="T155" s="49"/>
    </row>
    <row r="156" spans="1:20" ht="15.95" customHeight="1" x14ac:dyDescent="0.2">
      <c r="A156" s="35"/>
      <c r="B156" s="25" t="s">
        <v>1</v>
      </c>
      <c r="C156" s="6">
        <f>D156+E156+F156+G156+H156</f>
        <v>3364.5729000000033</v>
      </c>
      <c r="D156" s="8"/>
      <c r="E156" s="8">
        <v>190.34680999999958</v>
      </c>
      <c r="F156" s="8"/>
      <c r="G156" s="8">
        <v>3174.2260900000038</v>
      </c>
      <c r="H156" s="8"/>
      <c r="I156" s="44"/>
      <c r="J156" s="44"/>
      <c r="K156" s="44"/>
      <c r="L156" s="44"/>
      <c r="M156" s="44"/>
      <c r="N156" s="44"/>
      <c r="O156" s="44"/>
      <c r="P156" s="47"/>
      <c r="Q156" s="44"/>
      <c r="R156" s="44"/>
      <c r="S156" s="44"/>
      <c r="T156" s="49"/>
    </row>
    <row r="157" spans="1:20" ht="15.95" customHeight="1" x14ac:dyDescent="0.2">
      <c r="A157" s="35"/>
      <c r="B157" s="25" t="s">
        <v>2</v>
      </c>
      <c r="C157" s="6">
        <f>SUM(D157:H157)</f>
        <v>0</v>
      </c>
      <c r="D157" s="8"/>
      <c r="E157" s="8"/>
      <c r="F157" s="8"/>
      <c r="G157" s="8"/>
      <c r="H157" s="8"/>
      <c r="I157" s="44"/>
      <c r="J157" s="44"/>
      <c r="K157" s="44"/>
      <c r="L157" s="44"/>
      <c r="M157" s="44"/>
      <c r="N157" s="44"/>
      <c r="O157" s="44"/>
      <c r="P157" s="47"/>
      <c r="Q157" s="44"/>
      <c r="R157" s="44"/>
      <c r="S157" s="44"/>
      <c r="T157" s="49"/>
    </row>
    <row r="158" spans="1:20" ht="15.95" customHeight="1" x14ac:dyDescent="0.2">
      <c r="A158" s="36"/>
      <c r="B158" s="25" t="s">
        <v>3</v>
      </c>
      <c r="C158" s="6">
        <f>SUM(D158:H158)</f>
        <v>0</v>
      </c>
      <c r="D158" s="8"/>
      <c r="E158" s="8"/>
      <c r="F158" s="8"/>
      <c r="G158" s="8"/>
      <c r="H158" s="8"/>
      <c r="I158" s="45"/>
      <c r="J158" s="45"/>
      <c r="K158" s="45"/>
      <c r="L158" s="45"/>
      <c r="M158" s="45"/>
      <c r="N158" s="45"/>
      <c r="O158" s="45"/>
      <c r="P158" s="48"/>
      <c r="Q158" s="45"/>
      <c r="R158" s="45"/>
      <c r="S158" s="45"/>
      <c r="T158" s="49"/>
    </row>
    <row r="159" spans="1:20" ht="15.95" customHeight="1" x14ac:dyDescent="0.2">
      <c r="A159" s="34" t="s">
        <v>687</v>
      </c>
      <c r="B159" s="42" t="s">
        <v>526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8"/>
    </row>
    <row r="160" spans="1:20" ht="15.95" customHeight="1" x14ac:dyDescent="0.2">
      <c r="A160" s="35"/>
      <c r="B160" s="39" t="s">
        <v>101</v>
      </c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6"/>
    </row>
    <row r="161" spans="1:20" ht="45" customHeight="1" x14ac:dyDescent="0.2">
      <c r="A161" s="35"/>
      <c r="B161" s="57" t="s">
        <v>646</v>
      </c>
      <c r="C161" s="58"/>
      <c r="D161" s="58"/>
      <c r="E161" s="58"/>
      <c r="F161" s="58"/>
      <c r="G161" s="58"/>
      <c r="H161" s="59"/>
      <c r="I161" s="43">
        <v>2024</v>
      </c>
      <c r="J161" s="43" t="s">
        <v>614</v>
      </c>
      <c r="K161" s="43" t="s">
        <v>42</v>
      </c>
      <c r="L161" s="43" t="s">
        <v>622</v>
      </c>
      <c r="M161" s="43" t="s">
        <v>616</v>
      </c>
      <c r="N161" s="43" t="s">
        <v>73</v>
      </c>
      <c r="O161" s="43" t="s">
        <v>616</v>
      </c>
      <c r="P161" s="46" t="s">
        <v>623</v>
      </c>
      <c r="Q161" s="43" t="s">
        <v>33</v>
      </c>
      <c r="R161" s="43" t="s">
        <v>638</v>
      </c>
      <c r="S161" s="43" t="s">
        <v>34</v>
      </c>
      <c r="T161" s="49" t="s">
        <v>624</v>
      </c>
    </row>
    <row r="162" spans="1:20" ht="15.95" customHeight="1" x14ac:dyDescent="0.2">
      <c r="A162" s="35"/>
      <c r="B162" s="25" t="s">
        <v>5</v>
      </c>
      <c r="C162" s="6">
        <f>D162+E162+F162+G162+H162</f>
        <v>559400</v>
      </c>
      <c r="D162" s="8">
        <f t="shared" ref="D162:F162" si="43">SUM(D163:D166)</f>
        <v>0</v>
      </c>
      <c r="E162" s="8">
        <f t="shared" si="43"/>
        <v>9400</v>
      </c>
      <c r="F162" s="8">
        <f t="shared" si="43"/>
        <v>0</v>
      </c>
      <c r="G162" s="8">
        <f t="shared" ref="G162:H162" si="44">SUM(G163:G166)</f>
        <v>350000</v>
      </c>
      <c r="H162" s="8">
        <f t="shared" si="44"/>
        <v>199999.99999999997</v>
      </c>
      <c r="I162" s="44"/>
      <c r="J162" s="44"/>
      <c r="K162" s="44"/>
      <c r="L162" s="44"/>
      <c r="M162" s="44"/>
      <c r="N162" s="44"/>
      <c r="O162" s="44"/>
      <c r="P162" s="47"/>
      <c r="Q162" s="44"/>
      <c r="R162" s="44"/>
      <c r="S162" s="44"/>
      <c r="T162" s="49"/>
    </row>
    <row r="163" spans="1:20" ht="15.95" customHeight="1" x14ac:dyDescent="0.2">
      <c r="A163" s="35"/>
      <c r="B163" s="25" t="s">
        <v>0</v>
      </c>
      <c r="C163" s="6">
        <f>D163+E163+F163+G163+H163</f>
        <v>546798.81599000003</v>
      </c>
      <c r="D163" s="8"/>
      <c r="E163" s="8">
        <v>9188.2532499999998</v>
      </c>
      <c r="F163" s="8"/>
      <c r="G163" s="8">
        <v>342115.81264999998</v>
      </c>
      <c r="H163" s="8">
        <v>195494.75008999999</v>
      </c>
      <c r="I163" s="44"/>
      <c r="J163" s="44"/>
      <c r="K163" s="44"/>
      <c r="L163" s="44"/>
      <c r="M163" s="44"/>
      <c r="N163" s="44"/>
      <c r="O163" s="44"/>
      <c r="P163" s="47"/>
      <c r="Q163" s="44"/>
      <c r="R163" s="44"/>
      <c r="S163" s="44"/>
      <c r="T163" s="49"/>
    </row>
    <row r="164" spans="1:20" ht="15.95" customHeight="1" x14ac:dyDescent="0.2">
      <c r="A164" s="35"/>
      <c r="B164" s="25" t="s">
        <v>1</v>
      </c>
      <c r="C164" s="6">
        <f>D164+E164+F164+G164+H164</f>
        <v>12601.184010000021</v>
      </c>
      <c r="D164" s="8"/>
      <c r="E164" s="8">
        <v>211.74674999999999</v>
      </c>
      <c r="F164" s="8"/>
      <c r="G164" s="8">
        <v>7884.1873500000238</v>
      </c>
      <c r="H164" s="8">
        <v>4505.2499099999968</v>
      </c>
      <c r="I164" s="44"/>
      <c r="J164" s="44"/>
      <c r="K164" s="44"/>
      <c r="L164" s="44"/>
      <c r="M164" s="44"/>
      <c r="N164" s="44"/>
      <c r="O164" s="44"/>
      <c r="P164" s="47"/>
      <c r="Q164" s="44"/>
      <c r="R164" s="44"/>
      <c r="S164" s="44"/>
      <c r="T164" s="49"/>
    </row>
    <row r="165" spans="1:20" ht="15.95" customHeight="1" x14ac:dyDescent="0.2">
      <c r="A165" s="35"/>
      <c r="B165" s="25" t="s">
        <v>2</v>
      </c>
      <c r="C165" s="6">
        <f>SUM(D165:H165)</f>
        <v>0</v>
      </c>
      <c r="D165" s="8"/>
      <c r="E165" s="8"/>
      <c r="F165" s="8"/>
      <c r="G165" s="8"/>
      <c r="H165" s="8"/>
      <c r="I165" s="44"/>
      <c r="J165" s="44"/>
      <c r="K165" s="44"/>
      <c r="L165" s="44"/>
      <c r="M165" s="44"/>
      <c r="N165" s="44"/>
      <c r="O165" s="44"/>
      <c r="P165" s="47"/>
      <c r="Q165" s="44"/>
      <c r="R165" s="44"/>
      <c r="S165" s="44"/>
      <c r="T165" s="49"/>
    </row>
    <row r="166" spans="1:20" ht="15.95" customHeight="1" x14ac:dyDescent="0.2">
      <c r="A166" s="36"/>
      <c r="B166" s="25" t="s">
        <v>3</v>
      </c>
      <c r="C166" s="6">
        <f>SUM(D166:H166)</f>
        <v>0</v>
      </c>
      <c r="D166" s="8"/>
      <c r="E166" s="8"/>
      <c r="F166" s="8"/>
      <c r="G166" s="8"/>
      <c r="H166" s="8"/>
      <c r="I166" s="45"/>
      <c r="J166" s="45"/>
      <c r="K166" s="45"/>
      <c r="L166" s="45"/>
      <c r="M166" s="45"/>
      <c r="N166" s="45"/>
      <c r="O166" s="45"/>
      <c r="P166" s="48"/>
      <c r="Q166" s="45"/>
      <c r="R166" s="45"/>
      <c r="S166" s="45"/>
      <c r="T166" s="49"/>
    </row>
    <row r="167" spans="1:20" ht="15.95" customHeight="1" x14ac:dyDescent="0.2">
      <c r="A167" s="34" t="s">
        <v>688</v>
      </c>
      <c r="B167" s="42" t="s">
        <v>526</v>
      </c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8"/>
    </row>
    <row r="168" spans="1:20" ht="15.95" customHeight="1" x14ac:dyDescent="0.2">
      <c r="A168" s="35"/>
      <c r="B168" s="39" t="s">
        <v>101</v>
      </c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6"/>
    </row>
    <row r="169" spans="1:20" ht="45" customHeight="1" x14ac:dyDescent="0.2">
      <c r="A169" s="35"/>
      <c r="B169" s="57" t="s">
        <v>647</v>
      </c>
      <c r="C169" s="58"/>
      <c r="D169" s="58"/>
      <c r="E169" s="58"/>
      <c r="F169" s="58"/>
      <c r="G169" s="58"/>
      <c r="H169" s="59"/>
      <c r="I169" s="43">
        <v>2022</v>
      </c>
      <c r="J169" s="43" t="s">
        <v>614</v>
      </c>
      <c r="K169" s="43" t="s">
        <v>42</v>
      </c>
      <c r="L169" s="43" t="s">
        <v>615</v>
      </c>
      <c r="M169" s="43" t="s">
        <v>616</v>
      </c>
      <c r="N169" s="43" t="s">
        <v>73</v>
      </c>
      <c r="O169" s="43" t="s">
        <v>616</v>
      </c>
      <c r="P169" s="46" t="s">
        <v>623</v>
      </c>
      <c r="Q169" s="43" t="s">
        <v>33</v>
      </c>
      <c r="R169" s="43" t="s">
        <v>619</v>
      </c>
      <c r="S169" s="43" t="s">
        <v>34</v>
      </c>
      <c r="T169" s="49" t="s">
        <v>624</v>
      </c>
    </row>
    <row r="170" spans="1:20" ht="15.95" customHeight="1" x14ac:dyDescent="0.2">
      <c r="A170" s="35"/>
      <c r="B170" s="25" t="s">
        <v>5</v>
      </c>
      <c r="C170" s="6">
        <f>D170+E170+F170+G170+H170</f>
        <v>72072.98835</v>
      </c>
      <c r="D170" s="8">
        <f t="shared" ref="D170:F170" si="45">SUM(D171:D174)</f>
        <v>34034.63435</v>
      </c>
      <c r="E170" s="8">
        <f t="shared" si="45"/>
        <v>38038.353999999999</v>
      </c>
      <c r="F170" s="8">
        <f t="shared" si="45"/>
        <v>0</v>
      </c>
      <c r="G170" s="8">
        <f t="shared" ref="G170:H170" si="46">SUM(G171:G174)</f>
        <v>0</v>
      </c>
      <c r="H170" s="8">
        <f t="shared" si="46"/>
        <v>0</v>
      </c>
      <c r="I170" s="44"/>
      <c r="J170" s="44"/>
      <c r="K170" s="44"/>
      <c r="L170" s="44"/>
      <c r="M170" s="44"/>
      <c r="N170" s="44"/>
      <c r="O170" s="44"/>
      <c r="P170" s="47"/>
      <c r="Q170" s="44"/>
      <c r="R170" s="44"/>
      <c r="S170" s="44"/>
      <c r="T170" s="49"/>
    </row>
    <row r="171" spans="1:20" ht="15.95" customHeight="1" x14ac:dyDescent="0.2">
      <c r="A171" s="35"/>
      <c r="B171" s="25" t="s">
        <v>0</v>
      </c>
      <c r="C171" s="6">
        <f>D171+E171+F171+G171+H171</f>
        <v>70449.45422</v>
      </c>
      <c r="D171" s="8">
        <v>33267.96168</v>
      </c>
      <c r="E171" s="8">
        <v>37181.492539999999</v>
      </c>
      <c r="F171" s="8"/>
      <c r="G171" s="8"/>
      <c r="H171" s="8"/>
      <c r="I171" s="44"/>
      <c r="J171" s="44"/>
      <c r="K171" s="44"/>
      <c r="L171" s="44"/>
      <c r="M171" s="44"/>
      <c r="N171" s="44"/>
      <c r="O171" s="44"/>
      <c r="P171" s="47"/>
      <c r="Q171" s="44"/>
      <c r="R171" s="44"/>
      <c r="S171" s="44"/>
      <c r="T171" s="49"/>
    </row>
    <row r="172" spans="1:20" ht="15.95" customHeight="1" x14ac:dyDescent="0.2">
      <c r="A172" s="35"/>
      <c r="B172" s="25" t="s">
        <v>1</v>
      </c>
      <c r="C172" s="6">
        <f>D172+E172+F172+G172+H172</f>
        <v>1623.5341300000009</v>
      </c>
      <c r="D172" s="8">
        <v>766.67267000000004</v>
      </c>
      <c r="E172" s="8">
        <v>856.86146000000087</v>
      </c>
      <c r="F172" s="8"/>
      <c r="G172" s="8"/>
      <c r="H172" s="8"/>
      <c r="I172" s="44"/>
      <c r="J172" s="44"/>
      <c r="K172" s="44"/>
      <c r="L172" s="44"/>
      <c r="M172" s="44"/>
      <c r="N172" s="44"/>
      <c r="O172" s="44"/>
      <c r="P172" s="47"/>
      <c r="Q172" s="44"/>
      <c r="R172" s="44"/>
      <c r="S172" s="44"/>
      <c r="T172" s="49"/>
    </row>
    <row r="173" spans="1:20" ht="15.95" customHeight="1" x14ac:dyDescent="0.2">
      <c r="A173" s="35"/>
      <c r="B173" s="25" t="s">
        <v>2</v>
      </c>
      <c r="C173" s="6">
        <f>SUM(D173:H173)</f>
        <v>0</v>
      </c>
      <c r="D173" s="8"/>
      <c r="E173" s="8"/>
      <c r="F173" s="8"/>
      <c r="G173" s="8"/>
      <c r="H173" s="8"/>
      <c r="I173" s="44"/>
      <c r="J173" s="44"/>
      <c r="K173" s="44"/>
      <c r="L173" s="44"/>
      <c r="M173" s="44"/>
      <c r="N173" s="44"/>
      <c r="O173" s="44"/>
      <c r="P173" s="47"/>
      <c r="Q173" s="44"/>
      <c r="R173" s="44"/>
      <c r="S173" s="44"/>
      <c r="T173" s="49"/>
    </row>
    <row r="174" spans="1:20" ht="15.95" customHeight="1" x14ac:dyDescent="0.2">
      <c r="A174" s="36"/>
      <c r="B174" s="25" t="s">
        <v>3</v>
      </c>
      <c r="C174" s="6">
        <f>SUM(D174:H174)</f>
        <v>0</v>
      </c>
      <c r="D174" s="8"/>
      <c r="E174" s="8"/>
      <c r="F174" s="8"/>
      <c r="G174" s="8"/>
      <c r="H174" s="8"/>
      <c r="I174" s="45"/>
      <c r="J174" s="45"/>
      <c r="K174" s="45"/>
      <c r="L174" s="45"/>
      <c r="M174" s="45"/>
      <c r="N174" s="45"/>
      <c r="O174" s="45"/>
      <c r="P174" s="48"/>
      <c r="Q174" s="45"/>
      <c r="R174" s="45"/>
      <c r="S174" s="45"/>
      <c r="T174" s="49"/>
    </row>
    <row r="175" spans="1:20" ht="15.95" customHeight="1" x14ac:dyDescent="0.2">
      <c r="A175" s="34" t="s">
        <v>689</v>
      </c>
      <c r="B175" s="42" t="s">
        <v>526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8"/>
    </row>
    <row r="176" spans="1:20" ht="15.95" customHeight="1" x14ac:dyDescent="0.2">
      <c r="A176" s="35"/>
      <c r="B176" s="39" t="s">
        <v>101</v>
      </c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6"/>
    </row>
    <row r="177" spans="1:20" ht="45" customHeight="1" x14ac:dyDescent="0.2">
      <c r="A177" s="35"/>
      <c r="B177" s="57" t="s">
        <v>648</v>
      </c>
      <c r="C177" s="58"/>
      <c r="D177" s="58"/>
      <c r="E177" s="58"/>
      <c r="F177" s="58"/>
      <c r="G177" s="58"/>
      <c r="H177" s="59"/>
      <c r="I177" s="43">
        <v>2022</v>
      </c>
      <c r="J177" s="43" t="s">
        <v>614</v>
      </c>
      <c r="K177" s="43" t="s">
        <v>42</v>
      </c>
      <c r="L177" s="43" t="s">
        <v>615</v>
      </c>
      <c r="M177" s="43" t="s">
        <v>616</v>
      </c>
      <c r="N177" s="43" t="s">
        <v>73</v>
      </c>
      <c r="O177" s="43" t="s">
        <v>616</v>
      </c>
      <c r="P177" s="46">
        <v>104273.36</v>
      </c>
      <c r="Q177" s="43" t="s">
        <v>33</v>
      </c>
      <c r="R177" s="43" t="s">
        <v>224</v>
      </c>
      <c r="S177" s="43" t="s">
        <v>34</v>
      </c>
      <c r="T177" s="49" t="s">
        <v>649</v>
      </c>
    </row>
    <row r="178" spans="1:20" ht="15.95" customHeight="1" x14ac:dyDescent="0.2">
      <c r="A178" s="35"/>
      <c r="B178" s="25" t="s">
        <v>5</v>
      </c>
      <c r="C178" s="6">
        <f>D178+E178+F178+G178+H178</f>
        <v>81897.599999999991</v>
      </c>
      <c r="D178" s="8">
        <f t="shared" ref="D178:F178" si="47">SUM(D179:D182)</f>
        <v>45800</v>
      </c>
      <c r="E178" s="8">
        <f t="shared" si="47"/>
        <v>36097.599999999991</v>
      </c>
      <c r="F178" s="8">
        <f t="shared" si="47"/>
        <v>0</v>
      </c>
      <c r="G178" s="8">
        <f t="shared" ref="G178:H178" si="48">SUM(G179:G182)</f>
        <v>0</v>
      </c>
      <c r="H178" s="8">
        <f t="shared" si="48"/>
        <v>0</v>
      </c>
      <c r="I178" s="44"/>
      <c r="J178" s="44"/>
      <c r="K178" s="44"/>
      <c r="L178" s="44"/>
      <c r="M178" s="44"/>
      <c r="N178" s="44"/>
      <c r="O178" s="44"/>
      <c r="P178" s="47"/>
      <c r="Q178" s="44"/>
      <c r="R178" s="44" t="s">
        <v>224</v>
      </c>
      <c r="S178" s="44"/>
      <c r="T178" s="49"/>
    </row>
    <row r="179" spans="1:20" ht="15.95" customHeight="1" x14ac:dyDescent="0.2">
      <c r="A179" s="35"/>
      <c r="B179" s="25" t="s">
        <v>0</v>
      </c>
      <c r="C179" s="6">
        <f>D179+E179+F179+G179+H179</f>
        <v>80052.754220000003</v>
      </c>
      <c r="D179" s="8">
        <v>44768.297769999997</v>
      </c>
      <c r="E179" s="8">
        <v>35284.456449999998</v>
      </c>
      <c r="F179" s="8"/>
      <c r="G179" s="8"/>
      <c r="H179" s="8"/>
      <c r="I179" s="44"/>
      <c r="J179" s="44"/>
      <c r="K179" s="44"/>
      <c r="L179" s="44"/>
      <c r="M179" s="44"/>
      <c r="N179" s="44"/>
      <c r="O179" s="44"/>
      <c r="P179" s="47"/>
      <c r="Q179" s="44"/>
      <c r="R179" s="44" t="s">
        <v>224</v>
      </c>
      <c r="S179" s="44"/>
      <c r="T179" s="49"/>
    </row>
    <row r="180" spans="1:20" ht="15.95" customHeight="1" x14ac:dyDescent="0.2">
      <c r="A180" s="35"/>
      <c r="B180" s="25" t="s">
        <v>1</v>
      </c>
      <c r="C180" s="6">
        <f>D180+E180+F180+G180+H180</f>
        <v>1844.8457799999971</v>
      </c>
      <c r="D180" s="8">
        <v>1031.7022300000001</v>
      </c>
      <c r="E180" s="8">
        <v>813.14354999999705</v>
      </c>
      <c r="F180" s="8"/>
      <c r="G180" s="8"/>
      <c r="H180" s="8"/>
      <c r="I180" s="44"/>
      <c r="J180" s="44"/>
      <c r="K180" s="44"/>
      <c r="L180" s="44"/>
      <c r="M180" s="44"/>
      <c r="N180" s="44"/>
      <c r="O180" s="44"/>
      <c r="P180" s="47"/>
      <c r="Q180" s="44"/>
      <c r="R180" s="44" t="s">
        <v>224</v>
      </c>
      <c r="S180" s="44"/>
      <c r="T180" s="49"/>
    </row>
    <row r="181" spans="1:20" ht="15.95" customHeight="1" x14ac:dyDescent="0.2">
      <c r="A181" s="35"/>
      <c r="B181" s="25" t="s">
        <v>2</v>
      </c>
      <c r="C181" s="6">
        <f>SUM(D181:H181)</f>
        <v>0</v>
      </c>
      <c r="D181" s="8"/>
      <c r="E181" s="8"/>
      <c r="F181" s="8"/>
      <c r="G181" s="8"/>
      <c r="H181" s="8"/>
      <c r="I181" s="44"/>
      <c r="J181" s="44"/>
      <c r="K181" s="44"/>
      <c r="L181" s="44"/>
      <c r="M181" s="44"/>
      <c r="N181" s="44"/>
      <c r="O181" s="44"/>
      <c r="P181" s="47"/>
      <c r="Q181" s="44"/>
      <c r="R181" s="44" t="s">
        <v>224</v>
      </c>
      <c r="S181" s="44"/>
      <c r="T181" s="49"/>
    </row>
    <row r="182" spans="1:20" ht="15.95" customHeight="1" x14ac:dyDescent="0.2">
      <c r="A182" s="36"/>
      <c r="B182" s="25" t="s">
        <v>3</v>
      </c>
      <c r="C182" s="6">
        <f>SUM(D182:H182)</f>
        <v>0</v>
      </c>
      <c r="D182" s="8"/>
      <c r="E182" s="8"/>
      <c r="F182" s="8"/>
      <c r="G182" s="8"/>
      <c r="H182" s="8"/>
      <c r="I182" s="45"/>
      <c r="J182" s="45"/>
      <c r="K182" s="45"/>
      <c r="L182" s="45"/>
      <c r="M182" s="45"/>
      <c r="N182" s="45"/>
      <c r="O182" s="45"/>
      <c r="P182" s="48"/>
      <c r="Q182" s="45"/>
      <c r="R182" s="45" t="s">
        <v>224</v>
      </c>
      <c r="S182" s="45"/>
      <c r="T182" s="49"/>
    </row>
    <row r="183" spans="1:20" ht="15.95" customHeight="1" x14ac:dyDescent="0.2">
      <c r="A183" s="34" t="s">
        <v>690</v>
      </c>
      <c r="B183" s="42" t="s">
        <v>526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8"/>
    </row>
    <row r="184" spans="1:20" ht="15.95" customHeight="1" x14ac:dyDescent="0.2">
      <c r="A184" s="35"/>
      <c r="B184" s="39" t="s">
        <v>101</v>
      </c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6"/>
    </row>
    <row r="185" spans="1:20" ht="45" customHeight="1" x14ac:dyDescent="0.2">
      <c r="A185" s="35"/>
      <c r="B185" s="57" t="s">
        <v>650</v>
      </c>
      <c r="C185" s="58"/>
      <c r="D185" s="58"/>
      <c r="E185" s="58"/>
      <c r="F185" s="58"/>
      <c r="G185" s="58"/>
      <c r="H185" s="59"/>
      <c r="I185" s="43">
        <v>2023</v>
      </c>
      <c r="J185" s="43" t="s">
        <v>614</v>
      </c>
      <c r="K185" s="43" t="s">
        <v>42</v>
      </c>
      <c r="L185" s="43" t="s">
        <v>651</v>
      </c>
      <c r="M185" s="43" t="s">
        <v>616</v>
      </c>
      <c r="N185" s="43" t="s">
        <v>73</v>
      </c>
      <c r="O185" s="43" t="s">
        <v>616</v>
      </c>
      <c r="P185" s="46" t="s">
        <v>623</v>
      </c>
      <c r="Q185" s="43" t="s">
        <v>33</v>
      </c>
      <c r="R185" s="43" t="s">
        <v>37</v>
      </c>
      <c r="S185" s="43" t="s">
        <v>34</v>
      </c>
      <c r="T185" s="49" t="s">
        <v>624</v>
      </c>
    </row>
    <row r="186" spans="1:20" ht="15.95" customHeight="1" x14ac:dyDescent="0.2">
      <c r="A186" s="35"/>
      <c r="B186" s="25" t="s">
        <v>5</v>
      </c>
      <c r="C186" s="6">
        <f>D186+E186+F186+G186+H186</f>
        <v>28305</v>
      </c>
      <c r="D186" s="8">
        <f t="shared" ref="D186:F186" si="49">SUM(D187:D190)</f>
        <v>0</v>
      </c>
      <c r="E186" s="8">
        <f t="shared" si="49"/>
        <v>1090.0000000000002</v>
      </c>
      <c r="F186" s="8">
        <f t="shared" si="49"/>
        <v>27215</v>
      </c>
      <c r="G186" s="8">
        <f t="shared" ref="G186:H186" si="50">SUM(G187:G190)</f>
        <v>0</v>
      </c>
      <c r="H186" s="8">
        <f t="shared" si="50"/>
        <v>0</v>
      </c>
      <c r="I186" s="44"/>
      <c r="J186" s="44"/>
      <c r="K186" s="44"/>
      <c r="L186" s="44"/>
      <c r="M186" s="44"/>
      <c r="N186" s="44"/>
      <c r="O186" s="44"/>
      <c r="P186" s="47"/>
      <c r="Q186" s="44"/>
      <c r="R186" s="44"/>
      <c r="S186" s="44"/>
      <c r="T186" s="49"/>
    </row>
    <row r="187" spans="1:20" ht="15.95" customHeight="1" x14ac:dyDescent="0.2">
      <c r="A187" s="35"/>
      <c r="B187" s="25" t="s">
        <v>0</v>
      </c>
      <c r="C187" s="6">
        <f>D187+E187+F187+G187+H187</f>
        <v>27667.394510000002</v>
      </c>
      <c r="D187" s="8"/>
      <c r="E187" s="8">
        <v>1065.4463900000001</v>
      </c>
      <c r="F187" s="8">
        <v>26601.948120000001</v>
      </c>
      <c r="G187" s="8"/>
      <c r="H187" s="8"/>
      <c r="I187" s="44"/>
      <c r="J187" s="44"/>
      <c r="K187" s="44"/>
      <c r="L187" s="44"/>
      <c r="M187" s="44"/>
      <c r="N187" s="44"/>
      <c r="O187" s="44"/>
      <c r="P187" s="47"/>
      <c r="Q187" s="44"/>
      <c r="R187" s="44"/>
      <c r="S187" s="44"/>
      <c r="T187" s="49"/>
    </row>
    <row r="188" spans="1:20" ht="15.95" customHeight="1" x14ac:dyDescent="0.2">
      <c r="A188" s="35"/>
      <c r="B188" s="25" t="s">
        <v>1</v>
      </c>
      <c r="C188" s="6">
        <f>D188+E188+F188+G188+H188</f>
        <v>637.60548999999901</v>
      </c>
      <c r="D188" s="8"/>
      <c r="E188" s="8">
        <v>24.553610000000102</v>
      </c>
      <c r="F188" s="8">
        <v>613.05187999999896</v>
      </c>
      <c r="G188" s="8"/>
      <c r="H188" s="8"/>
      <c r="I188" s="44"/>
      <c r="J188" s="44"/>
      <c r="K188" s="44"/>
      <c r="L188" s="44"/>
      <c r="M188" s="44"/>
      <c r="N188" s="44"/>
      <c r="O188" s="44"/>
      <c r="P188" s="47"/>
      <c r="Q188" s="44"/>
      <c r="R188" s="44"/>
      <c r="S188" s="44"/>
      <c r="T188" s="49"/>
    </row>
    <row r="189" spans="1:20" ht="15.95" customHeight="1" x14ac:dyDescent="0.2">
      <c r="A189" s="35"/>
      <c r="B189" s="25" t="s">
        <v>2</v>
      </c>
      <c r="C189" s="6">
        <f>SUM(D189:H189)</f>
        <v>0</v>
      </c>
      <c r="D189" s="8"/>
      <c r="E189" s="8"/>
      <c r="F189" s="8"/>
      <c r="G189" s="8"/>
      <c r="H189" s="8"/>
      <c r="I189" s="44"/>
      <c r="J189" s="44"/>
      <c r="K189" s="44"/>
      <c r="L189" s="44"/>
      <c r="M189" s="44"/>
      <c r="N189" s="44"/>
      <c r="O189" s="44"/>
      <c r="P189" s="47"/>
      <c r="Q189" s="44"/>
      <c r="R189" s="44"/>
      <c r="S189" s="44"/>
      <c r="T189" s="49"/>
    </row>
    <row r="190" spans="1:20" ht="15.95" customHeight="1" x14ac:dyDescent="0.2">
      <c r="A190" s="36"/>
      <c r="B190" s="25" t="s">
        <v>3</v>
      </c>
      <c r="C190" s="6">
        <f>SUM(D190:H190)</f>
        <v>0</v>
      </c>
      <c r="D190" s="8"/>
      <c r="E190" s="8"/>
      <c r="F190" s="8"/>
      <c r="G190" s="8"/>
      <c r="H190" s="8"/>
      <c r="I190" s="45"/>
      <c r="J190" s="45"/>
      <c r="K190" s="45"/>
      <c r="L190" s="45"/>
      <c r="M190" s="45"/>
      <c r="N190" s="45"/>
      <c r="O190" s="45"/>
      <c r="P190" s="48"/>
      <c r="Q190" s="45"/>
      <c r="R190" s="45"/>
      <c r="S190" s="45"/>
      <c r="T190" s="49"/>
    </row>
    <row r="191" spans="1:20" ht="15.95" customHeight="1" x14ac:dyDescent="0.2">
      <c r="A191" s="34" t="s">
        <v>691</v>
      </c>
      <c r="B191" s="42" t="s">
        <v>526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8"/>
    </row>
    <row r="192" spans="1:20" ht="15.95" customHeight="1" x14ac:dyDescent="0.2">
      <c r="A192" s="35"/>
      <c r="B192" s="39" t="s">
        <v>101</v>
      </c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6"/>
    </row>
    <row r="193" spans="1:20" ht="45" customHeight="1" x14ac:dyDescent="0.2">
      <c r="A193" s="35"/>
      <c r="B193" s="57" t="s">
        <v>652</v>
      </c>
      <c r="C193" s="58"/>
      <c r="D193" s="58"/>
      <c r="E193" s="58"/>
      <c r="F193" s="58"/>
      <c r="G193" s="58"/>
      <c r="H193" s="59"/>
      <c r="I193" s="43">
        <v>2025</v>
      </c>
      <c r="J193" s="43" t="s">
        <v>614</v>
      </c>
      <c r="K193" s="43" t="s">
        <v>42</v>
      </c>
      <c r="L193" s="43" t="s">
        <v>651</v>
      </c>
      <c r="M193" s="43" t="s">
        <v>616</v>
      </c>
      <c r="N193" s="43" t="s">
        <v>73</v>
      </c>
      <c r="O193" s="43" t="s">
        <v>616</v>
      </c>
      <c r="P193" s="46" t="s">
        <v>623</v>
      </c>
      <c r="Q193" s="43" t="s">
        <v>33</v>
      </c>
      <c r="R193" s="43" t="s">
        <v>37</v>
      </c>
      <c r="S193" s="43" t="s">
        <v>34</v>
      </c>
      <c r="T193" s="49" t="s">
        <v>624</v>
      </c>
    </row>
    <row r="194" spans="1:20" ht="15.95" customHeight="1" x14ac:dyDescent="0.2">
      <c r="A194" s="35"/>
      <c r="B194" s="25" t="s">
        <v>5</v>
      </c>
      <c r="C194" s="6">
        <f>D194+E194+F194+G194+H194</f>
        <v>28490</v>
      </c>
      <c r="D194" s="8">
        <f t="shared" ref="D194:F194" si="51">SUM(D195:D198)</f>
        <v>0</v>
      </c>
      <c r="E194" s="8">
        <f t="shared" si="51"/>
        <v>28490</v>
      </c>
      <c r="F194" s="8">
        <f t="shared" si="51"/>
        <v>0</v>
      </c>
      <c r="G194" s="8">
        <f t="shared" ref="G194:H194" si="52">SUM(G195:G198)</f>
        <v>0</v>
      </c>
      <c r="H194" s="8">
        <f t="shared" si="52"/>
        <v>0</v>
      </c>
      <c r="I194" s="44"/>
      <c r="J194" s="44"/>
      <c r="K194" s="44"/>
      <c r="L194" s="44"/>
      <c r="M194" s="44"/>
      <c r="N194" s="44"/>
      <c r="O194" s="44"/>
      <c r="P194" s="47"/>
      <c r="Q194" s="44"/>
      <c r="R194" s="44"/>
      <c r="S194" s="44"/>
      <c r="T194" s="49"/>
    </row>
    <row r="195" spans="1:20" ht="15.95" customHeight="1" x14ac:dyDescent="0.2">
      <c r="A195" s="35"/>
      <c r="B195" s="25" t="s">
        <v>0</v>
      </c>
      <c r="C195" s="6">
        <f>D195+E195+F195+G195+H195</f>
        <v>27848.227149999999</v>
      </c>
      <c r="D195" s="8"/>
      <c r="E195" s="8">
        <v>27848.227149999999</v>
      </c>
      <c r="F195" s="8"/>
      <c r="G195" s="8"/>
      <c r="H195" s="8"/>
      <c r="I195" s="44"/>
      <c r="J195" s="44"/>
      <c r="K195" s="44"/>
      <c r="L195" s="44"/>
      <c r="M195" s="44"/>
      <c r="N195" s="44"/>
      <c r="O195" s="44"/>
      <c r="P195" s="47"/>
      <c r="Q195" s="44"/>
      <c r="R195" s="44"/>
      <c r="S195" s="44"/>
      <c r="T195" s="49"/>
    </row>
    <row r="196" spans="1:20" ht="15.95" customHeight="1" x14ac:dyDescent="0.2">
      <c r="A196" s="35"/>
      <c r="B196" s="25" t="s">
        <v>1</v>
      </c>
      <c r="C196" s="6">
        <f>D196+E196+F196+G196+H196</f>
        <v>641.77285000000154</v>
      </c>
      <c r="D196" s="8"/>
      <c r="E196" s="8">
        <v>641.77285000000154</v>
      </c>
      <c r="F196" s="8"/>
      <c r="G196" s="8"/>
      <c r="H196" s="8"/>
      <c r="I196" s="44"/>
      <c r="J196" s="44"/>
      <c r="K196" s="44"/>
      <c r="L196" s="44"/>
      <c r="M196" s="44"/>
      <c r="N196" s="44"/>
      <c r="O196" s="44"/>
      <c r="P196" s="47"/>
      <c r="Q196" s="44"/>
      <c r="R196" s="44"/>
      <c r="S196" s="44"/>
      <c r="T196" s="49"/>
    </row>
    <row r="197" spans="1:20" ht="15.95" customHeight="1" x14ac:dyDescent="0.2">
      <c r="A197" s="35"/>
      <c r="B197" s="25" t="s">
        <v>2</v>
      </c>
      <c r="C197" s="6">
        <f>SUM(D197:H197)</f>
        <v>0</v>
      </c>
      <c r="D197" s="8"/>
      <c r="E197" s="8"/>
      <c r="F197" s="8"/>
      <c r="G197" s="8"/>
      <c r="H197" s="8"/>
      <c r="I197" s="44"/>
      <c r="J197" s="44"/>
      <c r="K197" s="44"/>
      <c r="L197" s="44"/>
      <c r="M197" s="44"/>
      <c r="N197" s="44"/>
      <c r="O197" s="44"/>
      <c r="P197" s="47"/>
      <c r="Q197" s="44"/>
      <c r="R197" s="44"/>
      <c r="S197" s="44"/>
      <c r="T197" s="49"/>
    </row>
    <row r="198" spans="1:20" ht="15.95" customHeight="1" x14ac:dyDescent="0.2">
      <c r="A198" s="36"/>
      <c r="B198" s="25" t="s">
        <v>3</v>
      </c>
      <c r="C198" s="6">
        <f>SUM(D198:H198)</f>
        <v>0</v>
      </c>
      <c r="D198" s="8"/>
      <c r="E198" s="8"/>
      <c r="F198" s="8"/>
      <c r="G198" s="8"/>
      <c r="H198" s="8"/>
      <c r="I198" s="45"/>
      <c r="J198" s="45"/>
      <c r="K198" s="45"/>
      <c r="L198" s="45"/>
      <c r="M198" s="45"/>
      <c r="N198" s="45"/>
      <c r="O198" s="45"/>
      <c r="P198" s="48"/>
      <c r="Q198" s="45"/>
      <c r="R198" s="45"/>
      <c r="S198" s="45"/>
      <c r="T198" s="49"/>
    </row>
    <row r="199" spans="1:20" ht="15.95" customHeight="1" x14ac:dyDescent="0.2">
      <c r="A199" s="34" t="s">
        <v>692</v>
      </c>
      <c r="B199" s="42" t="s">
        <v>526</v>
      </c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8"/>
    </row>
    <row r="200" spans="1:20" ht="15.95" customHeight="1" x14ac:dyDescent="0.2">
      <c r="A200" s="35"/>
      <c r="B200" s="39" t="s">
        <v>101</v>
      </c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6"/>
    </row>
    <row r="201" spans="1:20" ht="45" customHeight="1" x14ac:dyDescent="0.2">
      <c r="A201" s="35"/>
      <c r="B201" s="57" t="s">
        <v>653</v>
      </c>
      <c r="C201" s="58"/>
      <c r="D201" s="58"/>
      <c r="E201" s="58"/>
      <c r="F201" s="58"/>
      <c r="G201" s="58"/>
      <c r="H201" s="59"/>
      <c r="I201" s="43">
        <v>2025</v>
      </c>
      <c r="J201" s="43" t="s">
        <v>614</v>
      </c>
      <c r="K201" s="43" t="s">
        <v>42</v>
      </c>
      <c r="L201" s="43" t="s">
        <v>615</v>
      </c>
      <c r="M201" s="43" t="s">
        <v>616</v>
      </c>
      <c r="N201" s="43" t="s">
        <v>73</v>
      </c>
      <c r="O201" s="43" t="s">
        <v>616</v>
      </c>
      <c r="P201" s="46" t="s">
        <v>623</v>
      </c>
      <c r="Q201" s="43" t="s">
        <v>33</v>
      </c>
      <c r="R201" s="43" t="s">
        <v>632</v>
      </c>
      <c r="S201" s="43" t="s">
        <v>34</v>
      </c>
      <c r="T201" s="49" t="s">
        <v>624</v>
      </c>
    </row>
    <row r="202" spans="1:20" ht="15.95" customHeight="1" x14ac:dyDescent="0.2">
      <c r="A202" s="35"/>
      <c r="B202" s="25" t="s">
        <v>5</v>
      </c>
      <c r="C202" s="6">
        <f>D202+E202+F202+G202+H202</f>
        <v>52075.199999999997</v>
      </c>
      <c r="D202" s="8">
        <f t="shared" ref="D202:F202" si="53">SUM(D203:D206)</f>
        <v>0</v>
      </c>
      <c r="E202" s="8">
        <f t="shared" si="53"/>
        <v>0</v>
      </c>
      <c r="F202" s="8">
        <f t="shared" si="53"/>
        <v>4500</v>
      </c>
      <c r="G202" s="8">
        <f t="shared" ref="G202:H202" si="54">SUM(G203:G206)</f>
        <v>0</v>
      </c>
      <c r="H202" s="8">
        <f t="shared" si="54"/>
        <v>47575.199999999997</v>
      </c>
      <c r="I202" s="44"/>
      <c r="J202" s="44"/>
      <c r="K202" s="44"/>
      <c r="L202" s="44"/>
      <c r="M202" s="44"/>
      <c r="N202" s="44"/>
      <c r="O202" s="44"/>
      <c r="P202" s="47"/>
      <c r="Q202" s="44"/>
      <c r="R202" s="44"/>
      <c r="S202" s="44"/>
      <c r="T202" s="49"/>
    </row>
    <row r="203" spans="1:20" ht="15.95" customHeight="1" x14ac:dyDescent="0.2">
      <c r="A203" s="35"/>
      <c r="B203" s="25" t="s">
        <v>0</v>
      </c>
      <c r="C203" s="6">
        <f>D203+E203+F203+G203+H203</f>
        <v>50902.141049999998</v>
      </c>
      <c r="D203" s="8"/>
      <c r="E203" s="8"/>
      <c r="F203" s="8">
        <v>4398.6318799999999</v>
      </c>
      <c r="G203" s="8"/>
      <c r="H203" s="8">
        <v>46503.509169999998</v>
      </c>
      <c r="I203" s="44"/>
      <c r="J203" s="44"/>
      <c r="K203" s="44"/>
      <c r="L203" s="44"/>
      <c r="M203" s="44"/>
      <c r="N203" s="44"/>
      <c r="O203" s="44"/>
      <c r="P203" s="47"/>
      <c r="Q203" s="44"/>
      <c r="R203" s="44"/>
      <c r="S203" s="44"/>
      <c r="T203" s="49"/>
    </row>
    <row r="204" spans="1:20" ht="15.95" customHeight="1" x14ac:dyDescent="0.2">
      <c r="A204" s="35"/>
      <c r="B204" s="25" t="s">
        <v>1</v>
      </c>
      <c r="C204" s="6">
        <f>D204+E204+F204+G204+H204</f>
        <v>1173.0589499999983</v>
      </c>
      <c r="D204" s="8"/>
      <c r="E204" s="8"/>
      <c r="F204" s="8">
        <v>101.36812000000012</v>
      </c>
      <c r="G204" s="8"/>
      <c r="H204" s="8">
        <v>1071.6908299999982</v>
      </c>
      <c r="I204" s="44"/>
      <c r="J204" s="44"/>
      <c r="K204" s="44"/>
      <c r="L204" s="44"/>
      <c r="M204" s="44"/>
      <c r="N204" s="44"/>
      <c r="O204" s="44"/>
      <c r="P204" s="47"/>
      <c r="Q204" s="44"/>
      <c r="R204" s="44"/>
      <c r="S204" s="44"/>
      <c r="T204" s="49"/>
    </row>
    <row r="205" spans="1:20" ht="15.95" customHeight="1" x14ac:dyDescent="0.2">
      <c r="A205" s="35"/>
      <c r="B205" s="25" t="s">
        <v>2</v>
      </c>
      <c r="C205" s="6">
        <f>SUM(D205:H205)</f>
        <v>0</v>
      </c>
      <c r="D205" s="8"/>
      <c r="E205" s="8"/>
      <c r="F205" s="8"/>
      <c r="G205" s="8"/>
      <c r="H205" s="8"/>
      <c r="I205" s="44"/>
      <c r="J205" s="44"/>
      <c r="K205" s="44"/>
      <c r="L205" s="44"/>
      <c r="M205" s="44"/>
      <c r="N205" s="44"/>
      <c r="O205" s="44"/>
      <c r="P205" s="47"/>
      <c r="Q205" s="44"/>
      <c r="R205" s="44"/>
      <c r="S205" s="44"/>
      <c r="T205" s="49"/>
    </row>
    <row r="206" spans="1:20" ht="15.95" customHeight="1" x14ac:dyDescent="0.2">
      <c r="A206" s="36"/>
      <c r="B206" s="25" t="s">
        <v>3</v>
      </c>
      <c r="C206" s="6">
        <f>SUM(D206:H206)</f>
        <v>0</v>
      </c>
      <c r="D206" s="8"/>
      <c r="E206" s="8"/>
      <c r="F206" s="8"/>
      <c r="G206" s="8"/>
      <c r="H206" s="8"/>
      <c r="I206" s="45"/>
      <c r="J206" s="45"/>
      <c r="K206" s="45"/>
      <c r="L206" s="45"/>
      <c r="M206" s="45"/>
      <c r="N206" s="45"/>
      <c r="O206" s="45"/>
      <c r="P206" s="48"/>
      <c r="Q206" s="45"/>
      <c r="R206" s="45"/>
      <c r="S206" s="45"/>
      <c r="T206" s="49"/>
    </row>
    <row r="207" spans="1:20" ht="15.95" customHeight="1" x14ac:dyDescent="0.2">
      <c r="A207" s="34" t="s">
        <v>693</v>
      </c>
      <c r="B207" s="42" t="s">
        <v>526</v>
      </c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8"/>
    </row>
    <row r="208" spans="1:20" ht="15.95" customHeight="1" x14ac:dyDescent="0.2">
      <c r="A208" s="35"/>
      <c r="B208" s="39" t="s">
        <v>101</v>
      </c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6"/>
    </row>
    <row r="209" spans="1:20" ht="45" customHeight="1" x14ac:dyDescent="0.2">
      <c r="A209" s="35"/>
      <c r="B209" s="57" t="s">
        <v>654</v>
      </c>
      <c r="C209" s="58"/>
      <c r="D209" s="58"/>
      <c r="E209" s="58"/>
      <c r="F209" s="58"/>
      <c r="G209" s="58"/>
      <c r="H209" s="59"/>
      <c r="I209" s="43">
        <v>2024</v>
      </c>
      <c r="J209" s="43" t="s">
        <v>614</v>
      </c>
      <c r="K209" s="43" t="s">
        <v>42</v>
      </c>
      <c r="L209" s="43" t="s">
        <v>655</v>
      </c>
      <c r="M209" s="43" t="s">
        <v>616</v>
      </c>
      <c r="N209" s="43" t="s">
        <v>73</v>
      </c>
      <c r="O209" s="43" t="s">
        <v>616</v>
      </c>
      <c r="P209" s="46" t="s">
        <v>623</v>
      </c>
      <c r="Q209" s="43" t="s">
        <v>33</v>
      </c>
      <c r="R209" s="43" t="s">
        <v>48</v>
      </c>
      <c r="S209" s="43" t="s">
        <v>34</v>
      </c>
      <c r="T209" s="49" t="s">
        <v>624</v>
      </c>
    </row>
    <row r="210" spans="1:20" ht="15.95" customHeight="1" x14ac:dyDescent="0.2">
      <c r="A210" s="35"/>
      <c r="B210" s="25" t="s">
        <v>5</v>
      </c>
      <c r="C210" s="6">
        <f>D210+E210+F210+G210+H210</f>
        <v>81897.600000000006</v>
      </c>
      <c r="D210" s="8">
        <f t="shared" ref="D210:F210" si="55">SUM(D211:D214)</f>
        <v>0</v>
      </c>
      <c r="E210" s="8">
        <f t="shared" si="55"/>
        <v>0</v>
      </c>
      <c r="F210" s="8">
        <f t="shared" si="55"/>
        <v>6200</v>
      </c>
      <c r="G210" s="8">
        <f t="shared" ref="G210:H210" si="56">SUM(G211:G214)</f>
        <v>75697.600000000006</v>
      </c>
      <c r="H210" s="8">
        <f t="shared" si="56"/>
        <v>0</v>
      </c>
      <c r="I210" s="44"/>
      <c r="J210" s="44"/>
      <c r="K210" s="44"/>
      <c r="L210" s="44"/>
      <c r="M210" s="44"/>
      <c r="N210" s="44"/>
      <c r="O210" s="44"/>
      <c r="P210" s="47"/>
      <c r="Q210" s="44"/>
      <c r="R210" s="44"/>
      <c r="S210" s="44"/>
      <c r="T210" s="49"/>
    </row>
    <row r="211" spans="1:20" ht="15.95" customHeight="1" x14ac:dyDescent="0.2">
      <c r="A211" s="35"/>
      <c r="B211" s="25" t="s">
        <v>0</v>
      </c>
      <c r="C211" s="6">
        <f>D211+E211+F211+G211+H211</f>
        <v>80052.754220000003</v>
      </c>
      <c r="D211" s="8"/>
      <c r="E211" s="8"/>
      <c r="F211" s="8">
        <v>6060.3372499999996</v>
      </c>
      <c r="G211" s="8">
        <v>73992.416970000006</v>
      </c>
      <c r="H211" s="8"/>
      <c r="I211" s="44"/>
      <c r="J211" s="44"/>
      <c r="K211" s="44"/>
      <c r="L211" s="44"/>
      <c r="M211" s="44"/>
      <c r="N211" s="44"/>
      <c r="O211" s="44"/>
      <c r="P211" s="47"/>
      <c r="Q211" s="44"/>
      <c r="R211" s="44"/>
      <c r="S211" s="44"/>
      <c r="T211" s="49"/>
    </row>
    <row r="212" spans="1:20" ht="15.95" customHeight="1" x14ac:dyDescent="0.2">
      <c r="A212" s="35"/>
      <c r="B212" s="25" t="s">
        <v>1</v>
      </c>
      <c r="C212" s="6">
        <f>D212+E212+F212+G212+H212</f>
        <v>1844.8457800000012</v>
      </c>
      <c r="D212" s="8"/>
      <c r="E212" s="8"/>
      <c r="F212" s="8">
        <v>139.66274999999999</v>
      </c>
      <c r="G212" s="8">
        <v>1705.1830300000013</v>
      </c>
      <c r="H212" s="8"/>
      <c r="I212" s="44"/>
      <c r="J212" s="44"/>
      <c r="K212" s="44"/>
      <c r="L212" s="44"/>
      <c r="M212" s="44"/>
      <c r="N212" s="44"/>
      <c r="O212" s="44"/>
      <c r="P212" s="47"/>
      <c r="Q212" s="44"/>
      <c r="R212" s="44"/>
      <c r="S212" s="44"/>
      <c r="T212" s="49"/>
    </row>
    <row r="213" spans="1:20" ht="15.95" customHeight="1" x14ac:dyDescent="0.2">
      <c r="A213" s="35"/>
      <c r="B213" s="25" t="s">
        <v>2</v>
      </c>
      <c r="C213" s="6">
        <f>SUM(D213:H213)</f>
        <v>0</v>
      </c>
      <c r="D213" s="8"/>
      <c r="E213" s="8"/>
      <c r="F213" s="8"/>
      <c r="G213" s="8"/>
      <c r="H213" s="8"/>
      <c r="I213" s="44"/>
      <c r="J213" s="44"/>
      <c r="K213" s="44"/>
      <c r="L213" s="44"/>
      <c r="M213" s="44"/>
      <c r="N213" s="44"/>
      <c r="O213" s="44"/>
      <c r="P213" s="47"/>
      <c r="Q213" s="44"/>
      <c r="R213" s="44"/>
      <c r="S213" s="44"/>
      <c r="T213" s="49"/>
    </row>
    <row r="214" spans="1:20" ht="15.95" customHeight="1" x14ac:dyDescent="0.2">
      <c r="A214" s="36"/>
      <c r="B214" s="25" t="s">
        <v>3</v>
      </c>
      <c r="C214" s="6">
        <f>SUM(D214:H214)</f>
        <v>0</v>
      </c>
      <c r="D214" s="8"/>
      <c r="E214" s="8"/>
      <c r="F214" s="8"/>
      <c r="G214" s="8"/>
      <c r="H214" s="8"/>
      <c r="I214" s="45"/>
      <c r="J214" s="45"/>
      <c r="K214" s="45"/>
      <c r="L214" s="45"/>
      <c r="M214" s="45"/>
      <c r="N214" s="45"/>
      <c r="O214" s="45"/>
      <c r="P214" s="48"/>
      <c r="Q214" s="45"/>
      <c r="R214" s="45"/>
      <c r="S214" s="45"/>
      <c r="T214" s="49"/>
    </row>
    <row r="215" spans="1:20" ht="15.95" customHeight="1" x14ac:dyDescent="0.2">
      <c r="A215" s="34" t="s">
        <v>694</v>
      </c>
      <c r="B215" s="42" t="s">
        <v>526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8"/>
    </row>
    <row r="216" spans="1:20" ht="15.95" customHeight="1" x14ac:dyDescent="0.2">
      <c r="A216" s="35"/>
      <c r="B216" s="39" t="s">
        <v>101</v>
      </c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6"/>
    </row>
    <row r="217" spans="1:20" ht="50.1" customHeight="1" x14ac:dyDescent="0.2">
      <c r="A217" s="35"/>
      <c r="B217" s="57" t="s">
        <v>656</v>
      </c>
      <c r="C217" s="58"/>
      <c r="D217" s="58"/>
      <c r="E217" s="58"/>
      <c r="F217" s="58"/>
      <c r="G217" s="58"/>
      <c r="H217" s="59"/>
      <c r="I217" s="43">
        <v>2024</v>
      </c>
      <c r="J217" s="43" t="s">
        <v>614</v>
      </c>
      <c r="K217" s="43" t="s">
        <v>42</v>
      </c>
      <c r="L217" s="43" t="s">
        <v>615</v>
      </c>
      <c r="M217" s="43" t="s">
        <v>616</v>
      </c>
      <c r="N217" s="43" t="s">
        <v>73</v>
      </c>
      <c r="O217" s="43" t="s">
        <v>616</v>
      </c>
      <c r="P217" s="46" t="s">
        <v>623</v>
      </c>
      <c r="Q217" s="43" t="s">
        <v>33</v>
      </c>
      <c r="R217" s="43" t="s">
        <v>48</v>
      </c>
      <c r="S217" s="43" t="s">
        <v>34</v>
      </c>
      <c r="T217" s="49" t="s">
        <v>624</v>
      </c>
    </row>
    <row r="218" spans="1:20" ht="15.95" customHeight="1" x14ac:dyDescent="0.2">
      <c r="A218" s="35"/>
      <c r="B218" s="25" t="s">
        <v>5</v>
      </c>
      <c r="C218" s="6">
        <f>D218+E218+F218+G218+H218</f>
        <v>81897.600000000006</v>
      </c>
      <c r="D218" s="8">
        <f t="shared" ref="D218:F218" si="57">SUM(D219:D222)</f>
        <v>0</v>
      </c>
      <c r="E218" s="8">
        <f t="shared" si="57"/>
        <v>0</v>
      </c>
      <c r="F218" s="8">
        <f t="shared" si="57"/>
        <v>6200</v>
      </c>
      <c r="G218" s="8">
        <f t="shared" ref="G218:H218" si="58">SUM(G219:G222)</f>
        <v>75697.600000000006</v>
      </c>
      <c r="H218" s="8">
        <f t="shared" si="58"/>
        <v>0</v>
      </c>
      <c r="I218" s="44"/>
      <c r="J218" s="44"/>
      <c r="K218" s="44"/>
      <c r="L218" s="44"/>
      <c r="M218" s="44"/>
      <c r="N218" s="44"/>
      <c r="O218" s="44"/>
      <c r="P218" s="47"/>
      <c r="Q218" s="44"/>
      <c r="R218" s="44"/>
      <c r="S218" s="44"/>
      <c r="T218" s="49"/>
    </row>
    <row r="219" spans="1:20" ht="15.95" customHeight="1" x14ac:dyDescent="0.2">
      <c r="A219" s="35"/>
      <c r="B219" s="25" t="s">
        <v>0</v>
      </c>
      <c r="C219" s="6">
        <f>D219+E219+F219+G219+H219</f>
        <v>80052.754220000003</v>
      </c>
      <c r="D219" s="8"/>
      <c r="E219" s="8"/>
      <c r="F219" s="8">
        <v>6060.3372499999996</v>
      </c>
      <c r="G219" s="8">
        <v>73992.416970000006</v>
      </c>
      <c r="H219" s="8"/>
      <c r="I219" s="44"/>
      <c r="J219" s="44"/>
      <c r="K219" s="44"/>
      <c r="L219" s="44"/>
      <c r="M219" s="44"/>
      <c r="N219" s="44"/>
      <c r="O219" s="44"/>
      <c r="P219" s="47"/>
      <c r="Q219" s="44"/>
      <c r="R219" s="44"/>
      <c r="S219" s="44"/>
      <c r="T219" s="49"/>
    </row>
    <row r="220" spans="1:20" ht="15.95" customHeight="1" x14ac:dyDescent="0.2">
      <c r="A220" s="35"/>
      <c r="B220" s="25" t="s">
        <v>1</v>
      </c>
      <c r="C220" s="6">
        <f>D220+E220+F220+G220+H220</f>
        <v>1844.8457800000012</v>
      </c>
      <c r="D220" s="8"/>
      <c r="E220" s="8"/>
      <c r="F220" s="8">
        <v>139.66274999999999</v>
      </c>
      <c r="G220" s="8">
        <v>1705.1830300000013</v>
      </c>
      <c r="H220" s="8"/>
      <c r="I220" s="44"/>
      <c r="J220" s="44"/>
      <c r="K220" s="44"/>
      <c r="L220" s="44"/>
      <c r="M220" s="44"/>
      <c r="N220" s="44"/>
      <c r="O220" s="44"/>
      <c r="P220" s="47"/>
      <c r="Q220" s="44"/>
      <c r="R220" s="44"/>
      <c r="S220" s="44"/>
      <c r="T220" s="49"/>
    </row>
    <row r="221" spans="1:20" ht="15.95" customHeight="1" x14ac:dyDescent="0.2">
      <c r="A221" s="35"/>
      <c r="B221" s="25" t="s">
        <v>2</v>
      </c>
      <c r="C221" s="6">
        <f>SUM(D221:H221)</f>
        <v>0</v>
      </c>
      <c r="D221" s="8"/>
      <c r="E221" s="8"/>
      <c r="F221" s="8"/>
      <c r="G221" s="8"/>
      <c r="H221" s="8"/>
      <c r="I221" s="44"/>
      <c r="J221" s="44"/>
      <c r="K221" s="44"/>
      <c r="L221" s="44"/>
      <c r="M221" s="44"/>
      <c r="N221" s="44"/>
      <c r="O221" s="44"/>
      <c r="P221" s="47"/>
      <c r="Q221" s="44"/>
      <c r="R221" s="44"/>
      <c r="S221" s="44"/>
      <c r="T221" s="49"/>
    </row>
    <row r="222" spans="1:20" ht="15.95" customHeight="1" x14ac:dyDescent="0.2">
      <c r="A222" s="36"/>
      <c r="B222" s="25" t="s">
        <v>3</v>
      </c>
      <c r="C222" s="6">
        <f>SUM(D222:H222)</f>
        <v>0</v>
      </c>
      <c r="D222" s="8"/>
      <c r="E222" s="8"/>
      <c r="F222" s="8"/>
      <c r="G222" s="8"/>
      <c r="H222" s="8"/>
      <c r="I222" s="45"/>
      <c r="J222" s="45"/>
      <c r="K222" s="45"/>
      <c r="L222" s="45"/>
      <c r="M222" s="45"/>
      <c r="N222" s="45"/>
      <c r="O222" s="45"/>
      <c r="P222" s="48"/>
      <c r="Q222" s="45"/>
      <c r="R222" s="45"/>
      <c r="S222" s="45"/>
      <c r="T222" s="49"/>
    </row>
    <row r="223" spans="1:20" ht="15.95" customHeight="1" x14ac:dyDescent="0.2">
      <c r="A223" s="34" t="s">
        <v>695</v>
      </c>
      <c r="B223" s="42" t="s">
        <v>526</v>
      </c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8"/>
    </row>
    <row r="224" spans="1:20" ht="15.95" customHeight="1" x14ac:dyDescent="0.2">
      <c r="A224" s="35"/>
      <c r="B224" s="39" t="s">
        <v>101</v>
      </c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6"/>
    </row>
    <row r="225" spans="1:20" ht="50.1" customHeight="1" x14ac:dyDescent="0.2">
      <c r="A225" s="35"/>
      <c r="B225" s="57" t="s">
        <v>657</v>
      </c>
      <c r="C225" s="58"/>
      <c r="D225" s="58"/>
      <c r="E225" s="58"/>
      <c r="F225" s="58"/>
      <c r="G225" s="58"/>
      <c r="H225" s="59"/>
      <c r="I225" s="43">
        <v>2023</v>
      </c>
      <c r="J225" s="43" t="s">
        <v>614</v>
      </c>
      <c r="K225" s="43" t="s">
        <v>42</v>
      </c>
      <c r="L225" s="43" t="s">
        <v>658</v>
      </c>
      <c r="M225" s="43" t="s">
        <v>616</v>
      </c>
      <c r="N225" s="43" t="s">
        <v>73</v>
      </c>
      <c r="O225" s="43" t="s">
        <v>616</v>
      </c>
      <c r="P225" s="46" t="s">
        <v>623</v>
      </c>
      <c r="Q225" s="43" t="s">
        <v>33</v>
      </c>
      <c r="R225" s="43" t="s">
        <v>38</v>
      </c>
      <c r="S225" s="43" t="s">
        <v>34</v>
      </c>
      <c r="T225" s="49" t="s">
        <v>624</v>
      </c>
    </row>
    <row r="226" spans="1:20" ht="15.95" customHeight="1" x14ac:dyDescent="0.2">
      <c r="A226" s="35"/>
      <c r="B226" s="25" t="s">
        <v>5</v>
      </c>
      <c r="C226" s="6">
        <f>D226+E226+F226+G226+H226</f>
        <v>15500</v>
      </c>
      <c r="D226" s="8">
        <f t="shared" ref="D226:F226" si="59">SUM(D227:D230)</f>
        <v>0</v>
      </c>
      <c r="E226" s="8">
        <f t="shared" si="59"/>
        <v>500</v>
      </c>
      <c r="F226" s="8">
        <f t="shared" si="59"/>
        <v>15000</v>
      </c>
      <c r="G226" s="8">
        <f t="shared" ref="G226:H226" si="60">SUM(G227:G230)</f>
        <v>0</v>
      </c>
      <c r="H226" s="8">
        <f t="shared" si="60"/>
        <v>0</v>
      </c>
      <c r="I226" s="44"/>
      <c r="J226" s="44"/>
      <c r="K226" s="44"/>
      <c r="L226" s="44"/>
      <c r="M226" s="44"/>
      <c r="N226" s="44"/>
      <c r="O226" s="44"/>
      <c r="P226" s="47"/>
      <c r="Q226" s="44"/>
      <c r="R226" s="44" t="s">
        <v>38</v>
      </c>
      <c r="S226" s="44"/>
      <c r="T226" s="49"/>
    </row>
    <row r="227" spans="1:20" ht="15.95" customHeight="1" x14ac:dyDescent="0.2">
      <c r="A227" s="35"/>
      <c r="B227" s="25" t="s">
        <v>0</v>
      </c>
      <c r="C227" s="6">
        <f>D227+E227+F227+G227+H227</f>
        <v>15150.843140000001</v>
      </c>
      <c r="D227" s="8"/>
      <c r="E227" s="8">
        <v>488.73687999999999</v>
      </c>
      <c r="F227" s="8">
        <v>14662.10626</v>
      </c>
      <c r="G227" s="8"/>
      <c r="H227" s="8"/>
      <c r="I227" s="44"/>
      <c r="J227" s="44"/>
      <c r="K227" s="44"/>
      <c r="L227" s="44"/>
      <c r="M227" s="44"/>
      <c r="N227" s="44"/>
      <c r="O227" s="44"/>
      <c r="P227" s="47"/>
      <c r="Q227" s="44"/>
      <c r="R227" s="44" t="s">
        <v>38</v>
      </c>
      <c r="S227" s="44"/>
      <c r="T227" s="49"/>
    </row>
    <row r="228" spans="1:20" ht="15.95" customHeight="1" x14ac:dyDescent="0.2">
      <c r="A228" s="35"/>
      <c r="B228" s="25" t="s">
        <v>1</v>
      </c>
      <c r="C228" s="6">
        <f>D228+E228+F228+G228+H228</f>
        <v>349.15686000000022</v>
      </c>
      <c r="D228" s="8"/>
      <c r="E228" s="8">
        <v>11.263119999999995</v>
      </c>
      <c r="F228" s="8">
        <v>337.89374000000021</v>
      </c>
      <c r="G228" s="8"/>
      <c r="H228" s="8"/>
      <c r="I228" s="44"/>
      <c r="J228" s="44"/>
      <c r="K228" s="44"/>
      <c r="L228" s="44"/>
      <c r="M228" s="44"/>
      <c r="N228" s="44"/>
      <c r="O228" s="44"/>
      <c r="P228" s="47"/>
      <c r="Q228" s="44"/>
      <c r="R228" s="44" t="s">
        <v>38</v>
      </c>
      <c r="S228" s="44"/>
      <c r="T228" s="49"/>
    </row>
    <row r="229" spans="1:20" ht="15.95" customHeight="1" x14ac:dyDescent="0.2">
      <c r="A229" s="35"/>
      <c r="B229" s="25" t="s">
        <v>2</v>
      </c>
      <c r="C229" s="6">
        <f>SUM(D229:H229)</f>
        <v>0</v>
      </c>
      <c r="D229" s="8"/>
      <c r="E229" s="8"/>
      <c r="F229" s="8"/>
      <c r="G229" s="8"/>
      <c r="H229" s="8"/>
      <c r="I229" s="44"/>
      <c r="J229" s="44"/>
      <c r="K229" s="44"/>
      <c r="L229" s="44"/>
      <c r="M229" s="44"/>
      <c r="N229" s="44"/>
      <c r="O229" s="44"/>
      <c r="P229" s="47"/>
      <c r="Q229" s="44"/>
      <c r="R229" s="44" t="s">
        <v>38</v>
      </c>
      <c r="S229" s="44"/>
      <c r="T229" s="49"/>
    </row>
    <row r="230" spans="1:20" ht="15.95" customHeight="1" x14ac:dyDescent="0.2">
      <c r="A230" s="36"/>
      <c r="B230" s="25" t="s">
        <v>3</v>
      </c>
      <c r="C230" s="6">
        <f>SUM(D230:H230)</f>
        <v>0</v>
      </c>
      <c r="D230" s="8"/>
      <c r="E230" s="8"/>
      <c r="F230" s="8"/>
      <c r="G230" s="8"/>
      <c r="H230" s="8"/>
      <c r="I230" s="45"/>
      <c r="J230" s="45"/>
      <c r="K230" s="45"/>
      <c r="L230" s="45"/>
      <c r="M230" s="45"/>
      <c r="N230" s="45"/>
      <c r="O230" s="45"/>
      <c r="P230" s="48"/>
      <c r="Q230" s="45"/>
      <c r="R230" s="45" t="s">
        <v>38</v>
      </c>
      <c r="S230" s="45"/>
      <c r="T230" s="49"/>
    </row>
    <row r="231" spans="1:20" ht="15.95" customHeight="1" x14ac:dyDescent="0.2">
      <c r="A231" s="34" t="s">
        <v>696</v>
      </c>
      <c r="B231" s="42" t="s">
        <v>526</v>
      </c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8"/>
    </row>
    <row r="232" spans="1:20" ht="15.95" customHeight="1" x14ac:dyDescent="0.2">
      <c r="A232" s="35"/>
      <c r="B232" s="39" t="s">
        <v>101</v>
      </c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6"/>
    </row>
    <row r="233" spans="1:20" ht="50.1" customHeight="1" x14ac:dyDescent="0.2">
      <c r="A233" s="35"/>
      <c r="B233" s="57" t="s">
        <v>659</v>
      </c>
      <c r="C233" s="58"/>
      <c r="D233" s="58"/>
      <c r="E233" s="58"/>
      <c r="F233" s="58"/>
      <c r="G233" s="58"/>
      <c r="H233" s="59"/>
      <c r="I233" s="43">
        <v>2023</v>
      </c>
      <c r="J233" s="43" t="s">
        <v>660</v>
      </c>
      <c r="K233" s="43" t="s">
        <v>42</v>
      </c>
      <c r="L233" s="43" t="s">
        <v>658</v>
      </c>
      <c r="M233" s="43" t="s">
        <v>616</v>
      </c>
      <c r="N233" s="43" t="s">
        <v>73</v>
      </c>
      <c r="O233" s="43" t="s">
        <v>616</v>
      </c>
      <c r="P233" s="46" t="s">
        <v>623</v>
      </c>
      <c r="Q233" s="43" t="s">
        <v>33</v>
      </c>
      <c r="R233" s="43" t="s">
        <v>38</v>
      </c>
      <c r="S233" s="43" t="s">
        <v>34</v>
      </c>
      <c r="T233" s="49" t="s">
        <v>624</v>
      </c>
    </row>
    <row r="234" spans="1:20" ht="15.95" customHeight="1" x14ac:dyDescent="0.2">
      <c r="A234" s="35"/>
      <c r="B234" s="25" t="s">
        <v>5</v>
      </c>
      <c r="C234" s="6">
        <f>D234+E234+F234+G234+H234</f>
        <v>15500</v>
      </c>
      <c r="D234" s="8">
        <f t="shared" ref="D234:F234" si="61">SUM(D235:D238)</f>
        <v>0</v>
      </c>
      <c r="E234" s="8">
        <f t="shared" si="61"/>
        <v>500</v>
      </c>
      <c r="F234" s="8">
        <f t="shared" si="61"/>
        <v>15000</v>
      </c>
      <c r="G234" s="8">
        <f t="shared" ref="G234:H234" si="62">SUM(G235:G238)</f>
        <v>0</v>
      </c>
      <c r="H234" s="8">
        <f t="shared" si="62"/>
        <v>0</v>
      </c>
      <c r="I234" s="44"/>
      <c r="J234" s="44"/>
      <c r="K234" s="44"/>
      <c r="L234" s="44"/>
      <c r="M234" s="44"/>
      <c r="N234" s="44"/>
      <c r="O234" s="44"/>
      <c r="P234" s="47"/>
      <c r="Q234" s="44"/>
      <c r="R234" s="44" t="s">
        <v>38</v>
      </c>
      <c r="S234" s="44"/>
      <c r="T234" s="49"/>
    </row>
    <row r="235" spans="1:20" ht="15.95" customHeight="1" x14ac:dyDescent="0.2">
      <c r="A235" s="35"/>
      <c r="B235" s="25" t="s">
        <v>0</v>
      </c>
      <c r="C235" s="6">
        <f>D235+E235+F235+G235+H235</f>
        <v>15150.843140000001</v>
      </c>
      <c r="D235" s="8"/>
      <c r="E235" s="8">
        <v>488.73687999999999</v>
      </c>
      <c r="F235" s="8">
        <v>14662.10626</v>
      </c>
      <c r="G235" s="8"/>
      <c r="H235" s="8"/>
      <c r="I235" s="44"/>
      <c r="J235" s="44"/>
      <c r="K235" s="44"/>
      <c r="L235" s="44"/>
      <c r="M235" s="44"/>
      <c r="N235" s="44"/>
      <c r="O235" s="44"/>
      <c r="P235" s="47"/>
      <c r="Q235" s="44"/>
      <c r="R235" s="44" t="s">
        <v>38</v>
      </c>
      <c r="S235" s="44"/>
      <c r="T235" s="49"/>
    </row>
    <row r="236" spans="1:20" ht="15.95" customHeight="1" x14ac:dyDescent="0.2">
      <c r="A236" s="35"/>
      <c r="B236" s="25" t="s">
        <v>1</v>
      </c>
      <c r="C236" s="6">
        <f>D236+E236+F236+G236+H236</f>
        <v>349.15686000000022</v>
      </c>
      <c r="D236" s="8"/>
      <c r="E236" s="8">
        <v>11.263119999999995</v>
      </c>
      <c r="F236" s="8">
        <v>337.89374000000021</v>
      </c>
      <c r="G236" s="8"/>
      <c r="H236" s="8"/>
      <c r="I236" s="44"/>
      <c r="J236" s="44"/>
      <c r="K236" s="44"/>
      <c r="L236" s="44"/>
      <c r="M236" s="44"/>
      <c r="N236" s="44"/>
      <c r="O236" s="44"/>
      <c r="P236" s="47"/>
      <c r="Q236" s="44"/>
      <c r="R236" s="44" t="s">
        <v>38</v>
      </c>
      <c r="S236" s="44"/>
      <c r="T236" s="49"/>
    </row>
    <row r="237" spans="1:20" ht="15.95" customHeight="1" x14ac:dyDescent="0.2">
      <c r="A237" s="35"/>
      <c r="B237" s="25" t="s">
        <v>2</v>
      </c>
      <c r="C237" s="6">
        <f>SUM(D237:H237)</f>
        <v>0</v>
      </c>
      <c r="D237" s="8"/>
      <c r="E237" s="8"/>
      <c r="F237" s="8"/>
      <c r="G237" s="8"/>
      <c r="H237" s="8"/>
      <c r="I237" s="44"/>
      <c r="J237" s="44"/>
      <c r="K237" s="44"/>
      <c r="L237" s="44"/>
      <c r="M237" s="44"/>
      <c r="N237" s="44"/>
      <c r="O237" s="44"/>
      <c r="P237" s="47"/>
      <c r="Q237" s="44"/>
      <c r="R237" s="44" t="s">
        <v>38</v>
      </c>
      <c r="S237" s="44"/>
      <c r="T237" s="49"/>
    </row>
    <row r="238" spans="1:20" ht="15.95" customHeight="1" x14ac:dyDescent="0.2">
      <c r="A238" s="36"/>
      <c r="B238" s="25" t="s">
        <v>3</v>
      </c>
      <c r="C238" s="6">
        <f>SUM(D238:H238)</f>
        <v>0</v>
      </c>
      <c r="D238" s="8"/>
      <c r="E238" s="8"/>
      <c r="F238" s="8"/>
      <c r="G238" s="8"/>
      <c r="H238" s="8"/>
      <c r="I238" s="45"/>
      <c r="J238" s="45"/>
      <c r="K238" s="45"/>
      <c r="L238" s="45"/>
      <c r="M238" s="45"/>
      <c r="N238" s="45"/>
      <c r="O238" s="45"/>
      <c r="P238" s="48"/>
      <c r="Q238" s="45"/>
      <c r="R238" s="45" t="s">
        <v>38</v>
      </c>
      <c r="S238" s="45"/>
      <c r="T238" s="49"/>
    </row>
    <row r="239" spans="1:20" ht="15.95" customHeight="1" x14ac:dyDescent="0.2">
      <c r="A239" s="34" t="s">
        <v>697</v>
      </c>
      <c r="B239" s="42" t="s">
        <v>526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8"/>
    </row>
    <row r="240" spans="1:20" ht="15.95" customHeight="1" x14ac:dyDescent="0.2">
      <c r="A240" s="35"/>
      <c r="B240" s="39" t="s">
        <v>101</v>
      </c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6"/>
    </row>
    <row r="241" spans="1:20" ht="50.1" customHeight="1" x14ac:dyDescent="0.2">
      <c r="A241" s="35"/>
      <c r="B241" s="57" t="s">
        <v>661</v>
      </c>
      <c r="C241" s="58"/>
      <c r="D241" s="58"/>
      <c r="E241" s="58"/>
      <c r="F241" s="58"/>
      <c r="G241" s="58"/>
      <c r="H241" s="59"/>
      <c r="I241" s="43">
        <v>2023</v>
      </c>
      <c r="J241" s="43" t="s">
        <v>660</v>
      </c>
      <c r="K241" s="43" t="s">
        <v>42</v>
      </c>
      <c r="L241" s="43" t="s">
        <v>658</v>
      </c>
      <c r="M241" s="43" t="s">
        <v>616</v>
      </c>
      <c r="N241" s="43" t="s">
        <v>73</v>
      </c>
      <c r="O241" s="43" t="s">
        <v>616</v>
      </c>
      <c r="P241" s="46" t="s">
        <v>623</v>
      </c>
      <c r="Q241" s="43" t="s">
        <v>33</v>
      </c>
      <c r="R241" s="43" t="s">
        <v>627</v>
      </c>
      <c r="S241" s="43" t="s">
        <v>34</v>
      </c>
      <c r="T241" s="49" t="s">
        <v>624</v>
      </c>
    </row>
    <row r="242" spans="1:20" ht="15.95" customHeight="1" x14ac:dyDescent="0.2">
      <c r="A242" s="35"/>
      <c r="B242" s="25" t="s">
        <v>5</v>
      </c>
      <c r="C242" s="6">
        <f>D242+E242+F242+G242+H242</f>
        <v>15700.6</v>
      </c>
      <c r="D242" s="8">
        <f t="shared" ref="D242:F242" si="63">SUM(D243:D246)</f>
        <v>0</v>
      </c>
      <c r="E242" s="8">
        <f t="shared" si="63"/>
        <v>700.6</v>
      </c>
      <c r="F242" s="8">
        <f t="shared" si="63"/>
        <v>15000</v>
      </c>
      <c r="G242" s="8">
        <f t="shared" ref="G242:H242" si="64">SUM(G243:G246)</f>
        <v>0</v>
      </c>
      <c r="H242" s="8">
        <f t="shared" si="64"/>
        <v>0</v>
      </c>
      <c r="I242" s="44"/>
      <c r="J242" s="44"/>
      <c r="K242" s="44"/>
      <c r="L242" s="44"/>
      <c r="M242" s="44"/>
      <c r="N242" s="44"/>
      <c r="O242" s="44"/>
      <c r="P242" s="47"/>
      <c r="Q242" s="44"/>
      <c r="R242" s="44"/>
      <c r="S242" s="44"/>
      <c r="T242" s="49"/>
    </row>
    <row r="243" spans="1:20" ht="15.95" customHeight="1" x14ac:dyDescent="0.2">
      <c r="A243" s="35"/>
      <c r="B243" s="25" t="s">
        <v>0</v>
      </c>
      <c r="C243" s="6">
        <f>D243+E243+F243+G243+H243</f>
        <v>15346.924370000001</v>
      </c>
      <c r="D243" s="8"/>
      <c r="E243" s="8">
        <v>684.81811000000005</v>
      </c>
      <c r="F243" s="8">
        <v>14662.10626</v>
      </c>
      <c r="G243" s="8"/>
      <c r="H243" s="8"/>
      <c r="I243" s="44"/>
      <c r="J243" s="44"/>
      <c r="K243" s="44"/>
      <c r="L243" s="44"/>
      <c r="M243" s="44"/>
      <c r="N243" s="44"/>
      <c r="O243" s="44"/>
      <c r="P243" s="47"/>
      <c r="Q243" s="44"/>
      <c r="R243" s="44"/>
      <c r="S243" s="44"/>
      <c r="T243" s="49"/>
    </row>
    <row r="244" spans="1:20" ht="15.95" customHeight="1" x14ac:dyDescent="0.2">
      <c r="A244" s="35"/>
      <c r="B244" s="25" t="s">
        <v>1</v>
      </c>
      <c r="C244" s="6">
        <f>D244+E244+F244+G244+H244</f>
        <v>353.67563000000024</v>
      </c>
      <c r="D244" s="8"/>
      <c r="E244" s="8">
        <v>15.781890000000015</v>
      </c>
      <c r="F244" s="8">
        <v>337.89374000000021</v>
      </c>
      <c r="G244" s="8"/>
      <c r="H244" s="8"/>
      <c r="I244" s="44"/>
      <c r="J244" s="44"/>
      <c r="K244" s="44"/>
      <c r="L244" s="44"/>
      <c r="M244" s="44"/>
      <c r="N244" s="44"/>
      <c r="O244" s="44"/>
      <c r="P244" s="47"/>
      <c r="Q244" s="44"/>
      <c r="R244" s="44"/>
      <c r="S244" s="44"/>
      <c r="T244" s="49"/>
    </row>
    <row r="245" spans="1:20" ht="15.95" customHeight="1" x14ac:dyDescent="0.2">
      <c r="A245" s="35"/>
      <c r="B245" s="25" t="s">
        <v>2</v>
      </c>
      <c r="C245" s="6">
        <f>SUM(D245:H245)</f>
        <v>0</v>
      </c>
      <c r="D245" s="8"/>
      <c r="E245" s="8"/>
      <c r="F245" s="8"/>
      <c r="G245" s="8"/>
      <c r="H245" s="8"/>
      <c r="I245" s="44"/>
      <c r="J245" s="44"/>
      <c r="K245" s="44"/>
      <c r="L245" s="44"/>
      <c r="M245" s="44"/>
      <c r="N245" s="44"/>
      <c r="O245" s="44"/>
      <c r="P245" s="47"/>
      <c r="Q245" s="44"/>
      <c r="R245" s="44"/>
      <c r="S245" s="44"/>
      <c r="T245" s="49"/>
    </row>
    <row r="246" spans="1:20" ht="15.95" customHeight="1" x14ac:dyDescent="0.2">
      <c r="A246" s="36"/>
      <c r="B246" s="25" t="s">
        <v>3</v>
      </c>
      <c r="C246" s="6">
        <f>SUM(D246:H246)</f>
        <v>0</v>
      </c>
      <c r="D246" s="8"/>
      <c r="E246" s="8"/>
      <c r="F246" s="8"/>
      <c r="G246" s="8"/>
      <c r="H246" s="8"/>
      <c r="I246" s="45"/>
      <c r="J246" s="45"/>
      <c r="K246" s="45"/>
      <c r="L246" s="45"/>
      <c r="M246" s="45"/>
      <c r="N246" s="45"/>
      <c r="O246" s="45"/>
      <c r="P246" s="48"/>
      <c r="Q246" s="45"/>
      <c r="R246" s="45"/>
      <c r="S246" s="45"/>
      <c r="T246" s="49"/>
    </row>
    <row r="247" spans="1:20" ht="15.95" customHeight="1" x14ac:dyDescent="0.2">
      <c r="A247" s="78" t="s">
        <v>78</v>
      </c>
      <c r="B247" s="54" t="s">
        <v>102</v>
      </c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</row>
    <row r="248" spans="1:20" ht="15.95" customHeight="1" x14ac:dyDescent="0.2">
      <c r="A248" s="79"/>
      <c r="B248" s="22" t="s">
        <v>5</v>
      </c>
      <c r="C248" s="3">
        <f>SUM(C249:C252)</f>
        <v>3009620.8887900002</v>
      </c>
      <c r="D248" s="3">
        <f t="shared" ref="D248:H248" si="65">SUM(D249:D252)</f>
        <v>1144417.07522</v>
      </c>
      <c r="E248" s="3">
        <f t="shared" ref="E248" si="66">SUM(E249:E252)</f>
        <v>824991.86812</v>
      </c>
      <c r="F248" s="3">
        <f t="shared" ref="F248" si="67">SUM(F249:F252)</f>
        <v>375899.98586000007</v>
      </c>
      <c r="G248" s="3">
        <f t="shared" si="65"/>
        <v>456478.92929</v>
      </c>
      <c r="H248" s="3">
        <f t="shared" si="65"/>
        <v>207833.03030000001</v>
      </c>
      <c r="I248" s="60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2"/>
    </row>
    <row r="249" spans="1:20" ht="15.95" customHeight="1" x14ac:dyDescent="0.2">
      <c r="A249" s="79"/>
      <c r="B249" s="22" t="s">
        <v>0</v>
      </c>
      <c r="C249" s="3">
        <f>D249+E249+F249+G249+H249</f>
        <v>1196365</v>
      </c>
      <c r="D249" s="3">
        <f>D257+D265+D273+D281+D289+D297+D305+D313+D321+D329+D337+D345</f>
        <v>714706.3</v>
      </c>
      <c r="E249" s="3">
        <f t="shared" ref="E249:H249" si="68">E257+E265+E273+E281+E289+E297+E305+E313+E321+E329+E337+E345</f>
        <v>392489.3</v>
      </c>
      <c r="F249" s="3">
        <f t="shared" si="68"/>
        <v>89169.4</v>
      </c>
      <c r="G249" s="3">
        <f t="shared" si="68"/>
        <v>0</v>
      </c>
      <c r="H249" s="3">
        <f t="shared" si="68"/>
        <v>0</v>
      </c>
      <c r="I249" s="63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5"/>
    </row>
    <row r="250" spans="1:20" ht="15.95" customHeight="1" x14ac:dyDescent="0.2">
      <c r="A250" s="79"/>
      <c r="B250" s="22" t="s">
        <v>1</v>
      </c>
      <c r="C250" s="3">
        <f>D250+E250+F250+G250+H250</f>
        <v>1799591.6333899999</v>
      </c>
      <c r="D250" s="3">
        <f t="shared" ref="D250:H252" si="69">D258+D266+D274+D282+D290+D298+D306+D314+D322+D330+D338+D346</f>
        <v>427165.86181000003</v>
      </c>
      <c r="E250" s="3">
        <f t="shared" si="69"/>
        <v>430893.65158000001</v>
      </c>
      <c r="F250" s="3">
        <f t="shared" si="69"/>
        <v>283863.28000000003</v>
      </c>
      <c r="G250" s="3">
        <f t="shared" si="69"/>
        <v>451914.14</v>
      </c>
      <c r="H250" s="3">
        <f t="shared" si="69"/>
        <v>205754.7</v>
      </c>
      <c r="I250" s="63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5"/>
    </row>
    <row r="251" spans="1:20" ht="15.95" customHeight="1" x14ac:dyDescent="0.2">
      <c r="A251" s="79"/>
      <c r="B251" s="22" t="s">
        <v>2</v>
      </c>
      <c r="C251" s="3">
        <f>D251+E251+F251+G251+H251</f>
        <v>13664.2554</v>
      </c>
      <c r="D251" s="3">
        <f t="shared" si="69"/>
        <v>2544.9134100000001</v>
      </c>
      <c r="E251" s="3">
        <f t="shared" si="69"/>
        <v>1608.9165399999999</v>
      </c>
      <c r="F251" s="3">
        <f t="shared" si="69"/>
        <v>2867.3058599999999</v>
      </c>
      <c r="G251" s="3">
        <f t="shared" si="69"/>
        <v>4564.7892899999997</v>
      </c>
      <c r="H251" s="3">
        <f t="shared" si="69"/>
        <v>2078.3303000000001</v>
      </c>
      <c r="I251" s="63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5"/>
    </row>
    <row r="252" spans="1:20" ht="15.95" customHeight="1" x14ac:dyDescent="0.2">
      <c r="A252" s="80"/>
      <c r="B252" s="22" t="s">
        <v>3</v>
      </c>
      <c r="C252" s="3">
        <f t="shared" ref="C252" si="70">D252+E252+F252+G252+H252</f>
        <v>0</v>
      </c>
      <c r="D252" s="3">
        <f t="shared" si="69"/>
        <v>0</v>
      </c>
      <c r="E252" s="3">
        <f t="shared" si="69"/>
        <v>0</v>
      </c>
      <c r="F252" s="3">
        <f t="shared" si="69"/>
        <v>0</v>
      </c>
      <c r="G252" s="3">
        <f t="shared" si="69"/>
        <v>0</v>
      </c>
      <c r="H252" s="3">
        <f t="shared" si="69"/>
        <v>0</v>
      </c>
      <c r="I252" s="66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8"/>
    </row>
    <row r="253" spans="1:20" ht="15.95" customHeight="1" x14ac:dyDescent="0.2">
      <c r="A253" s="34" t="s">
        <v>178</v>
      </c>
      <c r="B253" s="37" t="s">
        <v>526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8"/>
    </row>
    <row r="254" spans="1:20" ht="15.95" customHeight="1" x14ac:dyDescent="0.2">
      <c r="A254" s="35" t="s">
        <v>74</v>
      </c>
      <c r="B254" s="54" t="s">
        <v>103</v>
      </c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</row>
    <row r="255" spans="1:20" ht="50.1" customHeight="1" x14ac:dyDescent="0.2">
      <c r="A255" s="35"/>
      <c r="B255" s="57" t="s">
        <v>164</v>
      </c>
      <c r="C255" s="58"/>
      <c r="D255" s="58"/>
      <c r="E255" s="58"/>
      <c r="F255" s="58"/>
      <c r="G255" s="58"/>
      <c r="H255" s="59"/>
      <c r="I255" s="43" t="s">
        <v>20</v>
      </c>
      <c r="J255" s="43"/>
      <c r="K255" s="43" t="s">
        <v>42</v>
      </c>
      <c r="L255" s="43" t="s">
        <v>227</v>
      </c>
      <c r="M255" s="43" t="s">
        <v>737</v>
      </c>
      <c r="N255" s="43" t="s">
        <v>226</v>
      </c>
      <c r="O255" s="43" t="s">
        <v>737</v>
      </c>
      <c r="P255" s="46" t="s">
        <v>228</v>
      </c>
      <c r="Q255" s="43" t="s">
        <v>33</v>
      </c>
      <c r="R255" s="43" t="s">
        <v>8</v>
      </c>
      <c r="S255" s="43" t="s">
        <v>35</v>
      </c>
      <c r="T255" s="49" t="s">
        <v>476</v>
      </c>
    </row>
    <row r="256" spans="1:20" ht="15.95" customHeight="1" x14ac:dyDescent="0.2">
      <c r="A256" s="35"/>
      <c r="B256" s="25" t="s">
        <v>5</v>
      </c>
      <c r="C256" s="6">
        <f>D256+E256+F256+G256+H256</f>
        <v>185702.611</v>
      </c>
      <c r="D256" s="8">
        <f t="shared" ref="D256:F256" si="71">SUM(D257:D260)</f>
        <v>185702.611</v>
      </c>
      <c r="E256" s="8">
        <f t="shared" si="71"/>
        <v>0</v>
      </c>
      <c r="F256" s="8">
        <f t="shared" si="71"/>
        <v>0</v>
      </c>
      <c r="G256" s="8">
        <f t="shared" ref="G256:H256" si="72">SUM(G257:G260)</f>
        <v>0</v>
      </c>
      <c r="H256" s="8">
        <f t="shared" si="72"/>
        <v>0</v>
      </c>
      <c r="I256" s="44"/>
      <c r="J256" s="44"/>
      <c r="K256" s="44"/>
      <c r="L256" s="44"/>
      <c r="M256" s="44"/>
      <c r="N256" s="44"/>
      <c r="O256" s="44"/>
      <c r="P256" s="47"/>
      <c r="Q256" s="44"/>
      <c r="R256" s="44"/>
      <c r="S256" s="44"/>
      <c r="T256" s="49"/>
    </row>
    <row r="257" spans="1:20" ht="15.95" customHeight="1" x14ac:dyDescent="0.2">
      <c r="A257" s="35"/>
      <c r="B257" s="25" t="s">
        <v>0</v>
      </c>
      <c r="C257" s="6">
        <f>D257+E257+F257+G257+H257</f>
        <v>78208.861000000004</v>
      </c>
      <c r="D257" s="8">
        <f>87021.71-8812.849</f>
        <v>78208.861000000004</v>
      </c>
      <c r="E257" s="8"/>
      <c r="F257" s="8"/>
      <c r="G257" s="8"/>
      <c r="H257" s="8"/>
      <c r="I257" s="44"/>
      <c r="J257" s="44"/>
      <c r="K257" s="44"/>
      <c r="L257" s="44"/>
      <c r="M257" s="44"/>
      <c r="N257" s="44"/>
      <c r="O257" s="44"/>
      <c r="P257" s="47"/>
      <c r="Q257" s="44"/>
      <c r="R257" s="44"/>
      <c r="S257" s="44"/>
      <c r="T257" s="49"/>
    </row>
    <row r="258" spans="1:20" ht="15.95" customHeight="1" x14ac:dyDescent="0.2">
      <c r="A258" s="35"/>
      <c r="B258" s="25" t="s">
        <v>1</v>
      </c>
      <c r="C258" s="6">
        <f>D258+E258+F258+G258+H258</f>
        <v>107493.75</v>
      </c>
      <c r="D258" s="8">
        <v>107493.75</v>
      </c>
      <c r="E258" s="8"/>
      <c r="F258" s="8"/>
      <c r="G258" s="8"/>
      <c r="H258" s="8"/>
      <c r="I258" s="44"/>
      <c r="J258" s="44"/>
      <c r="K258" s="44"/>
      <c r="L258" s="44"/>
      <c r="M258" s="44"/>
      <c r="N258" s="44"/>
      <c r="O258" s="44"/>
      <c r="P258" s="47"/>
      <c r="Q258" s="44"/>
      <c r="R258" s="44"/>
      <c r="S258" s="44"/>
      <c r="T258" s="49"/>
    </row>
    <row r="259" spans="1:20" ht="15.95" customHeight="1" x14ac:dyDescent="0.2">
      <c r="A259" s="35"/>
      <c r="B259" s="25" t="s">
        <v>2</v>
      </c>
      <c r="C259" s="6">
        <f>SUM(D259:H259)</f>
        <v>0</v>
      </c>
      <c r="D259" s="8"/>
      <c r="E259" s="8"/>
      <c r="F259" s="8"/>
      <c r="G259" s="8"/>
      <c r="H259" s="8"/>
      <c r="I259" s="44"/>
      <c r="J259" s="44"/>
      <c r="K259" s="44"/>
      <c r="L259" s="44"/>
      <c r="M259" s="44"/>
      <c r="N259" s="44"/>
      <c r="O259" s="44"/>
      <c r="P259" s="47"/>
      <c r="Q259" s="44"/>
      <c r="R259" s="44"/>
      <c r="S259" s="44"/>
      <c r="T259" s="49"/>
    </row>
    <row r="260" spans="1:20" ht="15.95" customHeight="1" x14ac:dyDescent="0.2">
      <c r="A260" s="36"/>
      <c r="B260" s="25" t="s">
        <v>3</v>
      </c>
      <c r="C260" s="6">
        <f>SUM(D260:H260)</f>
        <v>0</v>
      </c>
      <c r="D260" s="8"/>
      <c r="E260" s="8"/>
      <c r="F260" s="8"/>
      <c r="G260" s="8"/>
      <c r="H260" s="8"/>
      <c r="I260" s="45"/>
      <c r="J260" s="45"/>
      <c r="K260" s="45"/>
      <c r="L260" s="45"/>
      <c r="M260" s="45"/>
      <c r="N260" s="45"/>
      <c r="O260" s="45"/>
      <c r="P260" s="48"/>
      <c r="Q260" s="45"/>
      <c r="R260" s="45"/>
      <c r="S260" s="45"/>
      <c r="T260" s="49"/>
    </row>
    <row r="261" spans="1:20" ht="15.95" customHeight="1" x14ac:dyDescent="0.2">
      <c r="A261" s="34" t="s">
        <v>179</v>
      </c>
      <c r="B261" s="37" t="s">
        <v>526</v>
      </c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8"/>
    </row>
    <row r="262" spans="1:20" ht="15.95" customHeight="1" x14ac:dyDescent="0.2">
      <c r="A262" s="35" t="s">
        <v>74</v>
      </c>
      <c r="B262" s="54" t="s">
        <v>103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</row>
    <row r="263" spans="1:20" ht="50.1" customHeight="1" x14ac:dyDescent="0.2">
      <c r="A263" s="35"/>
      <c r="B263" s="42" t="s">
        <v>104</v>
      </c>
      <c r="C263" s="37"/>
      <c r="D263" s="37"/>
      <c r="E263" s="37"/>
      <c r="F263" s="37"/>
      <c r="G263" s="37"/>
      <c r="H263" s="38"/>
      <c r="I263" s="43" t="s">
        <v>23</v>
      </c>
      <c r="J263" s="43"/>
      <c r="K263" s="43" t="s">
        <v>42</v>
      </c>
      <c r="L263" s="43" t="s">
        <v>105</v>
      </c>
      <c r="M263" s="43" t="s">
        <v>737</v>
      </c>
      <c r="N263" s="43" t="s">
        <v>226</v>
      </c>
      <c r="O263" s="43" t="s">
        <v>737</v>
      </c>
      <c r="P263" s="46" t="s">
        <v>229</v>
      </c>
      <c r="Q263" s="43" t="s">
        <v>33</v>
      </c>
      <c r="R263" s="43" t="s">
        <v>8</v>
      </c>
      <c r="S263" s="43" t="s">
        <v>35</v>
      </c>
      <c r="T263" s="49" t="s">
        <v>477</v>
      </c>
    </row>
    <row r="264" spans="1:20" ht="15.95" customHeight="1" x14ac:dyDescent="0.2">
      <c r="A264" s="35"/>
      <c r="B264" s="25" t="s">
        <v>5</v>
      </c>
      <c r="C264" s="6">
        <f>D264+E264+F264+G264+H264</f>
        <v>870581.36520999996</v>
      </c>
      <c r="D264" s="8">
        <f t="shared" ref="D264" si="73">SUM(D265:D268)</f>
        <v>459563.10521000001</v>
      </c>
      <c r="E264" s="8">
        <f t="shared" ref="E264:F264" si="74">SUM(E265:E268)</f>
        <v>411018.26</v>
      </c>
      <c r="F264" s="8">
        <f t="shared" si="74"/>
        <v>0</v>
      </c>
      <c r="G264" s="8">
        <f t="shared" ref="G264:H264" si="75">SUM(G265:G268)</f>
        <v>0</v>
      </c>
      <c r="H264" s="8">
        <f t="shared" si="75"/>
        <v>0</v>
      </c>
      <c r="I264" s="44"/>
      <c r="J264" s="44"/>
      <c r="K264" s="44"/>
      <c r="L264" s="44"/>
      <c r="M264" s="44"/>
      <c r="N264" s="44"/>
      <c r="O264" s="44"/>
      <c r="P264" s="47"/>
      <c r="Q264" s="44"/>
      <c r="R264" s="44"/>
      <c r="S264" s="44"/>
      <c r="T264" s="49"/>
    </row>
    <row r="265" spans="1:20" ht="15.95" customHeight="1" x14ac:dyDescent="0.2">
      <c r="A265" s="35"/>
      <c r="B265" s="25" t="s">
        <v>0</v>
      </c>
      <c r="C265" s="6">
        <f>D265+E265+F265+G265+H265</f>
        <v>602214.5</v>
      </c>
      <c r="D265" s="8">
        <f>335936.4-34020.9</f>
        <v>301915.5</v>
      </c>
      <c r="E265" s="8">
        <f>335936.4-35637.4</f>
        <v>300299</v>
      </c>
      <c r="F265" s="8"/>
      <c r="G265" s="8"/>
      <c r="H265" s="8"/>
      <c r="I265" s="44"/>
      <c r="J265" s="44"/>
      <c r="K265" s="44"/>
      <c r="L265" s="44"/>
      <c r="M265" s="44"/>
      <c r="N265" s="44"/>
      <c r="O265" s="44"/>
      <c r="P265" s="47"/>
      <c r="Q265" s="44"/>
      <c r="R265" s="44"/>
      <c r="S265" s="44"/>
      <c r="T265" s="49"/>
    </row>
    <row r="266" spans="1:20" ht="15.95" customHeight="1" x14ac:dyDescent="0.2">
      <c r="A266" s="35"/>
      <c r="B266" s="25" t="s">
        <v>1</v>
      </c>
      <c r="C266" s="6">
        <f>D266+E266+F266+G266+H266</f>
        <v>268366.86521000002</v>
      </c>
      <c r="D266" s="8">
        <v>157647.60521000001</v>
      </c>
      <c r="E266" s="8">
        <v>110719.26</v>
      </c>
      <c r="F266" s="8"/>
      <c r="G266" s="8"/>
      <c r="H266" s="8"/>
      <c r="I266" s="44"/>
      <c r="J266" s="44"/>
      <c r="K266" s="44"/>
      <c r="L266" s="44"/>
      <c r="M266" s="44"/>
      <c r="N266" s="44"/>
      <c r="O266" s="44"/>
      <c r="P266" s="47"/>
      <c r="Q266" s="44"/>
      <c r="R266" s="44"/>
      <c r="S266" s="44"/>
      <c r="T266" s="49"/>
    </row>
    <row r="267" spans="1:20" ht="15.95" customHeight="1" x14ac:dyDescent="0.2">
      <c r="A267" s="35"/>
      <c r="B267" s="25" t="s">
        <v>2</v>
      </c>
      <c r="C267" s="6">
        <f>D267+E267+F267+G267+H267</f>
        <v>0</v>
      </c>
      <c r="D267" s="8">
        <v>0</v>
      </c>
      <c r="E267" s="8"/>
      <c r="F267" s="8"/>
      <c r="G267" s="8"/>
      <c r="H267" s="8"/>
      <c r="I267" s="44"/>
      <c r="J267" s="44"/>
      <c r="K267" s="44"/>
      <c r="L267" s="44"/>
      <c r="M267" s="44"/>
      <c r="N267" s="44"/>
      <c r="O267" s="44"/>
      <c r="P267" s="47"/>
      <c r="Q267" s="44"/>
      <c r="R267" s="44"/>
      <c r="S267" s="44"/>
      <c r="T267" s="49"/>
    </row>
    <row r="268" spans="1:20" ht="15.95" customHeight="1" x14ac:dyDescent="0.2">
      <c r="A268" s="36"/>
      <c r="B268" s="25" t="s">
        <v>3</v>
      </c>
      <c r="C268" s="6">
        <f>SUM(D268:H268)</f>
        <v>0</v>
      </c>
      <c r="D268" s="8"/>
      <c r="E268" s="8"/>
      <c r="F268" s="8"/>
      <c r="G268" s="8"/>
      <c r="H268" s="8"/>
      <c r="I268" s="45"/>
      <c r="J268" s="45"/>
      <c r="K268" s="45"/>
      <c r="L268" s="45"/>
      <c r="M268" s="45"/>
      <c r="N268" s="45"/>
      <c r="O268" s="45"/>
      <c r="P268" s="48"/>
      <c r="Q268" s="45"/>
      <c r="R268" s="45"/>
      <c r="S268" s="45"/>
      <c r="T268" s="49"/>
    </row>
    <row r="269" spans="1:20" ht="15.95" customHeight="1" x14ac:dyDescent="0.2">
      <c r="A269" s="34" t="s">
        <v>180</v>
      </c>
      <c r="B269" s="37" t="s">
        <v>226</v>
      </c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8"/>
    </row>
    <row r="270" spans="1:20" ht="15.95" customHeight="1" x14ac:dyDescent="0.2">
      <c r="A270" s="35" t="s">
        <v>74</v>
      </c>
      <c r="B270" s="54" t="s">
        <v>103</v>
      </c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</row>
    <row r="271" spans="1:20" ht="50.1" customHeight="1" x14ac:dyDescent="0.2">
      <c r="A271" s="35"/>
      <c r="B271" s="57" t="s">
        <v>394</v>
      </c>
      <c r="C271" s="58"/>
      <c r="D271" s="58"/>
      <c r="E271" s="58"/>
      <c r="F271" s="58"/>
      <c r="G271" s="58"/>
      <c r="H271" s="59"/>
      <c r="I271" s="49" t="s">
        <v>20</v>
      </c>
      <c r="J271" s="49"/>
      <c r="K271" s="49" t="s">
        <v>47</v>
      </c>
      <c r="L271" s="49" t="s">
        <v>168</v>
      </c>
      <c r="M271" s="49" t="s">
        <v>94</v>
      </c>
      <c r="N271" s="49" t="s">
        <v>226</v>
      </c>
      <c r="O271" s="49" t="s">
        <v>94</v>
      </c>
      <c r="P271" s="75" t="s">
        <v>281</v>
      </c>
      <c r="Q271" s="49" t="s">
        <v>7</v>
      </c>
      <c r="R271" s="49" t="s">
        <v>38</v>
      </c>
      <c r="S271" s="49" t="s">
        <v>35</v>
      </c>
      <c r="T271" s="49"/>
    </row>
    <row r="272" spans="1:20" ht="15.95" customHeight="1" x14ac:dyDescent="0.2">
      <c r="A272" s="35"/>
      <c r="B272" s="25" t="s">
        <v>5</v>
      </c>
      <c r="C272" s="6">
        <f t="shared" ref="C272:C273" si="76">D272+E272+F272+G272+H272</f>
        <v>18000</v>
      </c>
      <c r="D272" s="8">
        <f t="shared" ref="D272:H272" si="77">SUM(D273:D276)</f>
        <v>18000</v>
      </c>
      <c r="E272" s="8">
        <f t="shared" si="77"/>
        <v>0</v>
      </c>
      <c r="F272" s="8">
        <f t="shared" si="77"/>
        <v>0</v>
      </c>
      <c r="G272" s="8">
        <f t="shared" si="77"/>
        <v>0</v>
      </c>
      <c r="H272" s="8">
        <f t="shared" si="77"/>
        <v>0</v>
      </c>
      <c r="I272" s="49"/>
      <c r="J272" s="49"/>
      <c r="K272" s="49"/>
      <c r="L272" s="49"/>
      <c r="M272" s="49"/>
      <c r="N272" s="49"/>
      <c r="O272" s="49"/>
      <c r="P272" s="75"/>
      <c r="Q272" s="49"/>
      <c r="R272" s="49"/>
      <c r="S272" s="49"/>
      <c r="T272" s="49"/>
    </row>
    <row r="273" spans="1:20" ht="15.95" customHeight="1" x14ac:dyDescent="0.2">
      <c r="A273" s="35"/>
      <c r="B273" s="25" t="s">
        <v>0</v>
      </c>
      <c r="C273" s="6">
        <f t="shared" si="76"/>
        <v>0</v>
      </c>
      <c r="D273" s="8"/>
      <c r="E273" s="8"/>
      <c r="F273" s="8"/>
      <c r="G273" s="8"/>
      <c r="H273" s="8"/>
      <c r="I273" s="49"/>
      <c r="J273" s="49"/>
      <c r="K273" s="49"/>
      <c r="L273" s="49"/>
      <c r="M273" s="49"/>
      <c r="N273" s="49"/>
      <c r="O273" s="49"/>
      <c r="P273" s="75"/>
      <c r="Q273" s="49"/>
      <c r="R273" s="49"/>
      <c r="S273" s="49"/>
      <c r="T273" s="49"/>
    </row>
    <row r="274" spans="1:20" ht="15.95" customHeight="1" x14ac:dyDescent="0.2">
      <c r="A274" s="35"/>
      <c r="B274" s="25" t="s">
        <v>1</v>
      </c>
      <c r="C274" s="6">
        <f>D274+E274+F274+G274+H274</f>
        <v>18000</v>
      </c>
      <c r="D274" s="8">
        <v>18000</v>
      </c>
      <c r="E274" s="8"/>
      <c r="F274" s="8"/>
      <c r="G274" s="8"/>
      <c r="H274" s="8"/>
      <c r="I274" s="49"/>
      <c r="J274" s="49"/>
      <c r="K274" s="49"/>
      <c r="L274" s="49"/>
      <c r="M274" s="49"/>
      <c r="N274" s="49"/>
      <c r="O274" s="49"/>
      <c r="P274" s="75"/>
      <c r="Q274" s="49"/>
      <c r="R274" s="49"/>
      <c r="S274" s="49"/>
      <c r="T274" s="49"/>
    </row>
    <row r="275" spans="1:20" ht="15.95" customHeight="1" x14ac:dyDescent="0.2">
      <c r="A275" s="35"/>
      <c r="B275" s="25" t="s">
        <v>2</v>
      </c>
      <c r="C275" s="6">
        <f t="shared" ref="C275:C276" si="78">D275+E275+F275+G275+H275</f>
        <v>0</v>
      </c>
      <c r="D275" s="8"/>
      <c r="E275" s="8"/>
      <c r="F275" s="8"/>
      <c r="G275" s="8"/>
      <c r="H275" s="8"/>
      <c r="I275" s="49"/>
      <c r="J275" s="49"/>
      <c r="K275" s="49"/>
      <c r="L275" s="49"/>
      <c r="M275" s="49"/>
      <c r="N275" s="49"/>
      <c r="O275" s="49"/>
      <c r="P275" s="75"/>
      <c r="Q275" s="49"/>
      <c r="R275" s="49"/>
      <c r="S275" s="49"/>
      <c r="T275" s="49"/>
    </row>
    <row r="276" spans="1:20" ht="15.95" customHeight="1" x14ac:dyDescent="0.2">
      <c r="A276" s="36"/>
      <c r="B276" s="25" t="s">
        <v>3</v>
      </c>
      <c r="C276" s="6">
        <f t="shared" si="78"/>
        <v>0</v>
      </c>
      <c r="D276" s="8"/>
      <c r="E276" s="8"/>
      <c r="F276" s="8"/>
      <c r="G276" s="8"/>
      <c r="H276" s="8"/>
      <c r="I276" s="49"/>
      <c r="J276" s="49"/>
      <c r="K276" s="49"/>
      <c r="L276" s="49"/>
      <c r="M276" s="49"/>
      <c r="N276" s="49"/>
      <c r="O276" s="49"/>
      <c r="P276" s="75"/>
      <c r="Q276" s="49"/>
      <c r="R276" s="49"/>
      <c r="S276" s="49"/>
      <c r="T276" s="49"/>
    </row>
    <row r="277" spans="1:20" ht="15.95" customHeight="1" x14ac:dyDescent="0.2">
      <c r="A277" s="34" t="s">
        <v>285</v>
      </c>
      <c r="B277" s="37" t="s">
        <v>226</v>
      </c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8"/>
    </row>
    <row r="278" spans="1:20" ht="15.95" customHeight="1" x14ac:dyDescent="0.2">
      <c r="A278" s="35" t="s">
        <v>74</v>
      </c>
      <c r="B278" s="54" t="s">
        <v>103</v>
      </c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</row>
    <row r="279" spans="1:20" ht="50.1" customHeight="1" x14ac:dyDescent="0.2">
      <c r="A279" s="35"/>
      <c r="B279" s="57" t="s">
        <v>282</v>
      </c>
      <c r="C279" s="58"/>
      <c r="D279" s="58"/>
      <c r="E279" s="58"/>
      <c r="F279" s="58"/>
      <c r="G279" s="58"/>
      <c r="H279" s="59"/>
      <c r="I279" s="49" t="s">
        <v>23</v>
      </c>
      <c r="J279" s="49" t="s">
        <v>51</v>
      </c>
      <c r="K279" s="49" t="s">
        <v>47</v>
      </c>
      <c r="L279" s="49" t="s">
        <v>135</v>
      </c>
      <c r="M279" s="49" t="s">
        <v>22</v>
      </c>
      <c r="N279" s="49" t="s">
        <v>226</v>
      </c>
      <c r="O279" s="49" t="s">
        <v>22</v>
      </c>
      <c r="P279" s="75" t="s">
        <v>283</v>
      </c>
      <c r="Q279" s="49" t="s">
        <v>7</v>
      </c>
      <c r="R279" s="49" t="s">
        <v>8</v>
      </c>
      <c r="S279" s="49" t="s">
        <v>34</v>
      </c>
      <c r="T279" s="49"/>
    </row>
    <row r="280" spans="1:20" ht="15.95" customHeight="1" x14ac:dyDescent="0.2">
      <c r="A280" s="35"/>
      <c r="B280" s="25" t="s">
        <v>5</v>
      </c>
      <c r="C280" s="6">
        <f t="shared" ref="C280:C281" si="79">D280+E280+F280+G280+H280</f>
        <v>399346.10209</v>
      </c>
      <c r="D280" s="8">
        <f t="shared" ref="D280:H280" si="80">SUM(D281:D284)</f>
        <v>77562.793969999999</v>
      </c>
      <c r="E280" s="8">
        <f t="shared" ref="E280:F280" si="81">SUM(E281:E284)</f>
        <v>321783.30812</v>
      </c>
      <c r="F280" s="8">
        <f t="shared" si="81"/>
        <v>0</v>
      </c>
      <c r="G280" s="8">
        <f t="shared" si="80"/>
        <v>0</v>
      </c>
      <c r="H280" s="8">
        <f t="shared" si="80"/>
        <v>0</v>
      </c>
      <c r="I280" s="49"/>
      <c r="J280" s="49"/>
      <c r="K280" s="49"/>
      <c r="L280" s="49"/>
      <c r="M280" s="49"/>
      <c r="N280" s="49"/>
      <c r="O280" s="49"/>
      <c r="P280" s="75"/>
      <c r="Q280" s="49"/>
      <c r="R280" s="49"/>
      <c r="S280" s="49"/>
      <c r="T280" s="49"/>
    </row>
    <row r="281" spans="1:20" ht="15.95" customHeight="1" x14ac:dyDescent="0.2">
      <c r="A281" s="35"/>
      <c r="B281" s="25" t="s">
        <v>0</v>
      </c>
      <c r="C281" s="6">
        <f t="shared" si="79"/>
        <v>0</v>
      </c>
      <c r="D281" s="8"/>
      <c r="E281" s="8"/>
      <c r="F281" s="8"/>
      <c r="G281" s="8"/>
      <c r="H281" s="8"/>
      <c r="I281" s="49"/>
      <c r="J281" s="49"/>
      <c r="K281" s="49"/>
      <c r="L281" s="49"/>
      <c r="M281" s="49"/>
      <c r="N281" s="49"/>
      <c r="O281" s="49"/>
      <c r="P281" s="75"/>
      <c r="Q281" s="49"/>
      <c r="R281" s="49"/>
      <c r="S281" s="49"/>
      <c r="T281" s="49"/>
    </row>
    <row r="282" spans="1:20" ht="15.95" customHeight="1" x14ac:dyDescent="0.2">
      <c r="A282" s="35"/>
      <c r="B282" s="25" t="s">
        <v>1</v>
      </c>
      <c r="C282" s="6">
        <f>D282+E282+F282+G282+H282</f>
        <v>397174.39158</v>
      </c>
      <c r="D282" s="8">
        <v>77000</v>
      </c>
      <c r="E282" s="8">
        <v>320174.39158</v>
      </c>
      <c r="F282" s="8"/>
      <c r="G282" s="8"/>
      <c r="H282" s="8"/>
      <c r="I282" s="49"/>
      <c r="J282" s="49"/>
      <c r="K282" s="49"/>
      <c r="L282" s="49"/>
      <c r="M282" s="49"/>
      <c r="N282" s="49"/>
      <c r="O282" s="49"/>
      <c r="P282" s="75"/>
      <c r="Q282" s="49"/>
      <c r="R282" s="49"/>
      <c r="S282" s="49"/>
      <c r="T282" s="49"/>
    </row>
    <row r="283" spans="1:20" ht="15.95" customHeight="1" x14ac:dyDescent="0.2">
      <c r="A283" s="35"/>
      <c r="B283" s="25" t="s">
        <v>2</v>
      </c>
      <c r="C283" s="6">
        <f t="shared" ref="C283:C284" si="82">D283+E283+F283+G283+H283</f>
        <v>2171.7105099999999</v>
      </c>
      <c r="D283" s="8">
        <v>562.79396999999994</v>
      </c>
      <c r="E283" s="8">
        <v>1608.9165399999999</v>
      </c>
      <c r="F283" s="8"/>
      <c r="G283" s="8"/>
      <c r="H283" s="8"/>
      <c r="I283" s="49"/>
      <c r="J283" s="49"/>
      <c r="K283" s="49"/>
      <c r="L283" s="49"/>
      <c r="M283" s="49"/>
      <c r="N283" s="49"/>
      <c r="O283" s="49"/>
      <c r="P283" s="75"/>
      <c r="Q283" s="49"/>
      <c r="R283" s="49"/>
      <c r="S283" s="49"/>
      <c r="T283" s="49"/>
    </row>
    <row r="284" spans="1:20" ht="15.95" customHeight="1" x14ac:dyDescent="0.2">
      <c r="A284" s="36"/>
      <c r="B284" s="25" t="s">
        <v>3</v>
      </c>
      <c r="C284" s="6">
        <f t="shared" si="82"/>
        <v>0</v>
      </c>
      <c r="D284" s="8"/>
      <c r="E284" s="8"/>
      <c r="F284" s="8"/>
      <c r="G284" s="8"/>
      <c r="H284" s="8"/>
      <c r="I284" s="49"/>
      <c r="J284" s="49"/>
      <c r="K284" s="49"/>
      <c r="L284" s="49"/>
      <c r="M284" s="49"/>
      <c r="N284" s="49"/>
      <c r="O284" s="49"/>
      <c r="P284" s="75"/>
      <c r="Q284" s="49"/>
      <c r="R284" s="49"/>
      <c r="S284" s="49"/>
      <c r="T284" s="49"/>
    </row>
    <row r="285" spans="1:20" ht="15.95" customHeight="1" x14ac:dyDescent="0.2">
      <c r="A285" s="34" t="s">
        <v>181</v>
      </c>
      <c r="B285" s="37" t="s">
        <v>226</v>
      </c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8"/>
    </row>
    <row r="286" spans="1:20" ht="15.95" customHeight="1" x14ac:dyDescent="0.2">
      <c r="A286" s="35" t="s">
        <v>74</v>
      </c>
      <c r="B286" s="54" t="s">
        <v>103</v>
      </c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</row>
    <row r="287" spans="1:20" ht="50.1" customHeight="1" x14ac:dyDescent="0.2">
      <c r="A287" s="35"/>
      <c r="B287" s="57" t="s">
        <v>284</v>
      </c>
      <c r="C287" s="58"/>
      <c r="D287" s="58"/>
      <c r="E287" s="58"/>
      <c r="F287" s="58"/>
      <c r="G287" s="58"/>
      <c r="H287" s="59"/>
      <c r="I287" s="49" t="s">
        <v>20</v>
      </c>
      <c r="J287" s="49"/>
      <c r="K287" s="49" t="s">
        <v>47</v>
      </c>
      <c r="L287" s="49" t="s">
        <v>79</v>
      </c>
      <c r="M287" s="49" t="s">
        <v>136</v>
      </c>
      <c r="N287" s="49" t="s">
        <v>226</v>
      </c>
      <c r="O287" s="49" t="s">
        <v>136</v>
      </c>
      <c r="P287" s="75" t="s">
        <v>395</v>
      </c>
      <c r="Q287" s="49" t="s">
        <v>7</v>
      </c>
      <c r="R287" s="49" t="s">
        <v>41</v>
      </c>
      <c r="S287" s="49" t="s">
        <v>35</v>
      </c>
      <c r="T287" s="49" t="s">
        <v>478</v>
      </c>
    </row>
    <row r="288" spans="1:20" ht="15.95" customHeight="1" x14ac:dyDescent="0.2">
      <c r="A288" s="35"/>
      <c r="B288" s="25" t="s">
        <v>5</v>
      </c>
      <c r="C288" s="6">
        <f t="shared" ref="C288:H288" si="83">SUM(C289:C292)</f>
        <v>339798.65205999999</v>
      </c>
      <c r="D288" s="8">
        <f t="shared" si="83"/>
        <v>339798.65205999999</v>
      </c>
      <c r="E288" s="8">
        <f t="shared" si="83"/>
        <v>0</v>
      </c>
      <c r="F288" s="8">
        <f t="shared" si="83"/>
        <v>0</v>
      </c>
      <c r="G288" s="8">
        <f t="shared" si="83"/>
        <v>0</v>
      </c>
      <c r="H288" s="8">
        <f t="shared" si="83"/>
        <v>0</v>
      </c>
      <c r="I288" s="49"/>
      <c r="J288" s="49"/>
      <c r="K288" s="49"/>
      <c r="L288" s="49"/>
      <c r="M288" s="49"/>
      <c r="N288" s="49"/>
      <c r="O288" s="49"/>
      <c r="P288" s="75"/>
      <c r="Q288" s="49"/>
      <c r="R288" s="49"/>
      <c r="S288" s="49"/>
      <c r="T288" s="49"/>
    </row>
    <row r="289" spans="1:20" ht="15.95" customHeight="1" x14ac:dyDescent="0.2">
      <c r="A289" s="35"/>
      <c r="B289" s="25" t="s">
        <v>0</v>
      </c>
      <c r="C289" s="6">
        <f>D289+E289+F289+G289+H289</f>
        <v>334581.93900000001</v>
      </c>
      <c r="D289" s="8">
        <f>361926.39-27344.451</f>
        <v>334581.93900000001</v>
      </c>
      <c r="E289" s="8"/>
      <c r="F289" s="8"/>
      <c r="G289" s="8"/>
      <c r="H289" s="8"/>
      <c r="I289" s="49"/>
      <c r="J289" s="49"/>
      <c r="K289" s="49"/>
      <c r="L289" s="49"/>
      <c r="M289" s="49"/>
      <c r="N289" s="49"/>
      <c r="O289" s="49"/>
      <c r="P289" s="75"/>
      <c r="Q289" s="49"/>
      <c r="R289" s="49"/>
      <c r="S289" s="49"/>
      <c r="T289" s="49"/>
    </row>
    <row r="290" spans="1:20" ht="15.95" customHeight="1" x14ac:dyDescent="0.2">
      <c r="A290" s="35"/>
      <c r="B290" s="25" t="s">
        <v>1</v>
      </c>
      <c r="C290" s="6">
        <f t="shared" ref="C290:C292" si="84">D290+E290+F290+G290+H290</f>
        <v>3379.6165199999996</v>
      </c>
      <c r="D290" s="8">
        <f>3655.82212-276.2056</f>
        <v>3379.6165199999996</v>
      </c>
      <c r="E290" s="8"/>
      <c r="F290" s="8"/>
      <c r="G290" s="8"/>
      <c r="H290" s="8"/>
      <c r="I290" s="49"/>
      <c r="J290" s="49"/>
      <c r="K290" s="49"/>
      <c r="L290" s="49"/>
      <c r="M290" s="49"/>
      <c r="N290" s="49"/>
      <c r="O290" s="49"/>
      <c r="P290" s="75"/>
      <c r="Q290" s="49"/>
      <c r="R290" s="49"/>
      <c r="S290" s="49"/>
      <c r="T290" s="49"/>
    </row>
    <row r="291" spans="1:20" ht="15.95" customHeight="1" x14ac:dyDescent="0.2">
      <c r="A291" s="35"/>
      <c r="B291" s="25" t="s">
        <v>2</v>
      </c>
      <c r="C291" s="6">
        <f t="shared" si="84"/>
        <v>1837.09654</v>
      </c>
      <c r="D291" s="8">
        <v>1837.09654</v>
      </c>
      <c r="E291" s="8"/>
      <c r="F291" s="8"/>
      <c r="G291" s="8"/>
      <c r="H291" s="8"/>
      <c r="I291" s="49"/>
      <c r="J291" s="49"/>
      <c r="K291" s="49"/>
      <c r="L291" s="49"/>
      <c r="M291" s="49"/>
      <c r="N291" s="49"/>
      <c r="O291" s="49"/>
      <c r="P291" s="75"/>
      <c r="Q291" s="49"/>
      <c r="R291" s="49"/>
      <c r="S291" s="49"/>
      <c r="T291" s="49"/>
    </row>
    <row r="292" spans="1:20" ht="15.95" customHeight="1" x14ac:dyDescent="0.2">
      <c r="A292" s="36"/>
      <c r="B292" s="25" t="s">
        <v>3</v>
      </c>
      <c r="C292" s="6">
        <f t="shared" si="84"/>
        <v>0</v>
      </c>
      <c r="D292" s="8"/>
      <c r="E292" s="8"/>
      <c r="F292" s="8"/>
      <c r="G292" s="8"/>
      <c r="H292" s="8"/>
      <c r="I292" s="49"/>
      <c r="J292" s="49"/>
      <c r="K292" s="49"/>
      <c r="L292" s="49"/>
      <c r="M292" s="49"/>
      <c r="N292" s="49"/>
      <c r="O292" s="49"/>
      <c r="P292" s="75"/>
      <c r="Q292" s="49"/>
      <c r="R292" s="49"/>
      <c r="S292" s="49"/>
      <c r="T292" s="49"/>
    </row>
    <row r="293" spans="1:20" ht="15.95" customHeight="1" x14ac:dyDescent="0.2">
      <c r="A293" s="34" t="s">
        <v>286</v>
      </c>
      <c r="B293" s="37" t="s">
        <v>526</v>
      </c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8"/>
    </row>
    <row r="294" spans="1:20" ht="15.95" customHeight="1" x14ac:dyDescent="0.2">
      <c r="A294" s="35" t="s">
        <v>74</v>
      </c>
      <c r="B294" s="54" t="s">
        <v>103</v>
      </c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</row>
    <row r="295" spans="1:20" ht="50.1" customHeight="1" x14ac:dyDescent="0.2">
      <c r="A295" s="35"/>
      <c r="B295" s="57" t="s">
        <v>709</v>
      </c>
      <c r="C295" s="58"/>
      <c r="D295" s="58"/>
      <c r="E295" s="58"/>
      <c r="F295" s="58"/>
      <c r="G295" s="58"/>
      <c r="H295" s="59"/>
      <c r="I295" s="43" t="s">
        <v>24</v>
      </c>
      <c r="J295" s="43" t="s">
        <v>20</v>
      </c>
      <c r="K295" s="43" t="s">
        <v>42</v>
      </c>
      <c r="L295" s="43" t="s">
        <v>719</v>
      </c>
      <c r="M295" s="43" t="s">
        <v>737</v>
      </c>
      <c r="N295" s="43" t="s">
        <v>226</v>
      </c>
      <c r="O295" s="43" t="s">
        <v>737</v>
      </c>
      <c r="P295" s="46" t="s">
        <v>398</v>
      </c>
      <c r="Q295" s="43" t="s">
        <v>33</v>
      </c>
      <c r="R295" s="43" t="s">
        <v>37</v>
      </c>
      <c r="S295" s="43" t="s">
        <v>25</v>
      </c>
      <c r="T295" s="43"/>
    </row>
    <row r="296" spans="1:20" ht="15.95" customHeight="1" x14ac:dyDescent="0.2">
      <c r="A296" s="35"/>
      <c r="B296" s="25" t="s">
        <v>5</v>
      </c>
      <c r="C296" s="6">
        <f t="shared" ref="C296" si="85">D296+E296+F296+G296+H296</f>
        <v>19000</v>
      </c>
      <c r="D296" s="8">
        <f t="shared" ref="D296:H296" si="86">SUM(D297:D300)</f>
        <v>19000</v>
      </c>
      <c r="E296" s="8">
        <f t="shared" si="86"/>
        <v>0</v>
      </c>
      <c r="F296" s="8">
        <f t="shared" si="86"/>
        <v>0</v>
      </c>
      <c r="G296" s="8">
        <f t="shared" si="86"/>
        <v>0</v>
      </c>
      <c r="H296" s="8">
        <f t="shared" si="86"/>
        <v>0</v>
      </c>
      <c r="I296" s="44"/>
      <c r="J296" s="44"/>
      <c r="K296" s="44"/>
      <c r="L296" s="44"/>
      <c r="M296" s="44"/>
      <c r="N296" s="44"/>
      <c r="O296" s="44"/>
      <c r="P296" s="47"/>
      <c r="Q296" s="44"/>
      <c r="R296" s="44"/>
      <c r="S296" s="44"/>
      <c r="T296" s="44"/>
    </row>
    <row r="297" spans="1:20" ht="15.95" customHeight="1" x14ac:dyDescent="0.2">
      <c r="A297" s="35"/>
      <c r="B297" s="25" t="s">
        <v>0</v>
      </c>
      <c r="C297" s="6">
        <f>D297+E297+F297+G297+H297</f>
        <v>0</v>
      </c>
      <c r="D297" s="8"/>
      <c r="E297" s="8"/>
      <c r="F297" s="8"/>
      <c r="G297" s="8"/>
      <c r="H297" s="8"/>
      <c r="I297" s="44"/>
      <c r="J297" s="44"/>
      <c r="K297" s="44"/>
      <c r="L297" s="44"/>
      <c r="M297" s="44"/>
      <c r="N297" s="44"/>
      <c r="O297" s="44"/>
      <c r="P297" s="47"/>
      <c r="Q297" s="44"/>
      <c r="R297" s="44"/>
      <c r="S297" s="44"/>
      <c r="T297" s="44"/>
    </row>
    <row r="298" spans="1:20" ht="15.95" customHeight="1" x14ac:dyDescent="0.2">
      <c r="A298" s="35"/>
      <c r="B298" s="25" t="s">
        <v>1</v>
      </c>
      <c r="C298" s="6">
        <f>D298+E298+F298+G298+H298</f>
        <v>19000</v>
      </c>
      <c r="D298" s="8">
        <v>19000</v>
      </c>
      <c r="E298" s="8"/>
      <c r="F298" s="8"/>
      <c r="G298" s="8"/>
      <c r="H298" s="8"/>
      <c r="I298" s="44"/>
      <c r="J298" s="44"/>
      <c r="K298" s="44"/>
      <c r="L298" s="44"/>
      <c r="M298" s="44"/>
      <c r="N298" s="44"/>
      <c r="O298" s="44"/>
      <c r="P298" s="47"/>
      <c r="Q298" s="44"/>
      <c r="R298" s="44"/>
      <c r="S298" s="44"/>
      <c r="T298" s="44"/>
    </row>
    <row r="299" spans="1:20" ht="15.95" customHeight="1" x14ac:dyDescent="0.2">
      <c r="A299" s="35"/>
      <c r="B299" s="25" t="s">
        <v>2</v>
      </c>
      <c r="C299" s="6">
        <f t="shared" ref="C299:C300" si="87">D299+E299+F299+G299+H299</f>
        <v>0</v>
      </c>
      <c r="D299" s="8">
        <f>1000-1000</f>
        <v>0</v>
      </c>
      <c r="E299" s="8"/>
      <c r="F299" s="8"/>
      <c r="G299" s="8"/>
      <c r="H299" s="8"/>
      <c r="I299" s="44"/>
      <c r="J299" s="44"/>
      <c r="K299" s="44"/>
      <c r="L299" s="44"/>
      <c r="M299" s="44"/>
      <c r="N299" s="44"/>
      <c r="O299" s="44"/>
      <c r="P299" s="47"/>
      <c r="Q299" s="44"/>
      <c r="R299" s="44"/>
      <c r="S299" s="44"/>
      <c r="T299" s="44"/>
    </row>
    <row r="300" spans="1:20" ht="15.95" customHeight="1" x14ac:dyDescent="0.2">
      <c r="A300" s="36"/>
      <c r="B300" s="25" t="s">
        <v>3</v>
      </c>
      <c r="C300" s="6">
        <f t="shared" si="87"/>
        <v>0</v>
      </c>
      <c r="D300" s="8"/>
      <c r="E300" s="8"/>
      <c r="F300" s="8"/>
      <c r="G300" s="8"/>
      <c r="H300" s="8"/>
      <c r="I300" s="45"/>
      <c r="J300" s="45"/>
      <c r="K300" s="45"/>
      <c r="L300" s="45"/>
      <c r="M300" s="45"/>
      <c r="N300" s="45"/>
      <c r="O300" s="45"/>
      <c r="P300" s="48"/>
      <c r="Q300" s="45"/>
      <c r="R300" s="45"/>
      <c r="S300" s="45"/>
      <c r="T300" s="45"/>
    </row>
    <row r="301" spans="1:20" ht="15.95" customHeight="1" x14ac:dyDescent="0.2">
      <c r="A301" s="34" t="s">
        <v>287</v>
      </c>
      <c r="B301" s="37" t="s">
        <v>226</v>
      </c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8"/>
    </row>
    <row r="302" spans="1:20" ht="15.95" customHeight="1" x14ac:dyDescent="0.2">
      <c r="A302" s="35" t="s">
        <v>74</v>
      </c>
      <c r="B302" s="54" t="s">
        <v>103</v>
      </c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</row>
    <row r="303" spans="1:20" ht="50.1" customHeight="1" x14ac:dyDescent="0.2">
      <c r="A303" s="35"/>
      <c r="B303" s="57" t="s">
        <v>451</v>
      </c>
      <c r="C303" s="58"/>
      <c r="D303" s="58"/>
      <c r="E303" s="58"/>
      <c r="F303" s="58"/>
      <c r="G303" s="58"/>
      <c r="H303" s="59"/>
      <c r="I303" s="49" t="s">
        <v>24</v>
      </c>
      <c r="J303" s="49" t="s">
        <v>20</v>
      </c>
      <c r="K303" s="49" t="s">
        <v>47</v>
      </c>
      <c r="L303" s="49" t="s">
        <v>80</v>
      </c>
      <c r="M303" s="49" t="s">
        <v>61</v>
      </c>
      <c r="N303" s="49" t="s">
        <v>226</v>
      </c>
      <c r="O303" s="49" t="s">
        <v>61</v>
      </c>
      <c r="P303" s="75" t="s">
        <v>294</v>
      </c>
      <c r="Q303" s="49" t="s">
        <v>7</v>
      </c>
      <c r="R303" s="49" t="s">
        <v>37</v>
      </c>
      <c r="S303" s="49" t="s">
        <v>25</v>
      </c>
      <c r="T303" s="49"/>
    </row>
    <row r="304" spans="1:20" ht="15.95" customHeight="1" x14ac:dyDescent="0.2">
      <c r="A304" s="35"/>
      <c r="B304" s="25" t="s">
        <v>5</v>
      </c>
      <c r="C304" s="6">
        <f t="shared" ref="C304:C305" si="88">D304+E304+F304+G304+H304</f>
        <v>7035.1758799999998</v>
      </c>
      <c r="D304" s="8">
        <f t="shared" ref="D304:H304" si="89">SUM(D305:D308)</f>
        <v>7035.1758799999998</v>
      </c>
      <c r="E304" s="8">
        <f t="shared" si="89"/>
        <v>0</v>
      </c>
      <c r="F304" s="8">
        <f t="shared" si="89"/>
        <v>0</v>
      </c>
      <c r="G304" s="8">
        <f t="shared" si="89"/>
        <v>0</v>
      </c>
      <c r="H304" s="8">
        <f t="shared" si="89"/>
        <v>0</v>
      </c>
      <c r="I304" s="49"/>
      <c r="J304" s="49"/>
      <c r="K304" s="49"/>
      <c r="L304" s="49"/>
      <c r="M304" s="49"/>
      <c r="N304" s="49"/>
      <c r="O304" s="49"/>
      <c r="P304" s="75"/>
      <c r="Q304" s="49"/>
      <c r="R304" s="49"/>
      <c r="S304" s="49"/>
      <c r="T304" s="49"/>
    </row>
    <row r="305" spans="1:21" ht="15.95" customHeight="1" x14ac:dyDescent="0.2">
      <c r="A305" s="35"/>
      <c r="B305" s="25" t="s">
        <v>0</v>
      </c>
      <c r="C305" s="6">
        <f t="shared" si="88"/>
        <v>0</v>
      </c>
      <c r="D305" s="8"/>
      <c r="E305" s="8"/>
      <c r="F305" s="8"/>
      <c r="G305" s="8"/>
      <c r="H305" s="8"/>
      <c r="I305" s="49"/>
      <c r="J305" s="49"/>
      <c r="K305" s="49"/>
      <c r="L305" s="49"/>
      <c r="M305" s="49"/>
      <c r="N305" s="49"/>
      <c r="O305" s="49"/>
      <c r="P305" s="75"/>
      <c r="Q305" s="49"/>
      <c r="R305" s="49"/>
      <c r="S305" s="49"/>
      <c r="T305" s="49"/>
    </row>
    <row r="306" spans="1:21" ht="15.95" customHeight="1" x14ac:dyDescent="0.2">
      <c r="A306" s="35"/>
      <c r="B306" s="25" t="s">
        <v>1</v>
      </c>
      <c r="C306" s="6">
        <f>D306+E306+F306+G306+H306</f>
        <v>7000</v>
      </c>
      <c r="D306" s="8">
        <v>7000</v>
      </c>
      <c r="E306" s="8"/>
      <c r="F306" s="8"/>
      <c r="G306" s="8"/>
      <c r="H306" s="8"/>
      <c r="I306" s="49"/>
      <c r="J306" s="49"/>
      <c r="K306" s="49"/>
      <c r="L306" s="49"/>
      <c r="M306" s="49"/>
      <c r="N306" s="49"/>
      <c r="O306" s="49"/>
      <c r="P306" s="75"/>
      <c r="Q306" s="49"/>
      <c r="R306" s="49"/>
      <c r="S306" s="49"/>
      <c r="T306" s="49"/>
    </row>
    <row r="307" spans="1:21" ht="15.95" customHeight="1" x14ac:dyDescent="0.2">
      <c r="A307" s="35"/>
      <c r="B307" s="25" t="s">
        <v>2</v>
      </c>
      <c r="C307" s="6">
        <f t="shared" ref="C307:C308" si="90">D307+E307+F307+G307+H307</f>
        <v>35.175879999999999</v>
      </c>
      <c r="D307" s="8">
        <v>35.175879999999999</v>
      </c>
      <c r="E307" s="8"/>
      <c r="F307" s="8"/>
      <c r="G307" s="8"/>
      <c r="H307" s="8"/>
      <c r="I307" s="49"/>
      <c r="J307" s="49"/>
      <c r="K307" s="49"/>
      <c r="L307" s="49"/>
      <c r="M307" s="49"/>
      <c r="N307" s="49"/>
      <c r="O307" s="49"/>
      <c r="P307" s="75"/>
      <c r="Q307" s="49"/>
      <c r="R307" s="49"/>
      <c r="S307" s="49"/>
      <c r="T307" s="49"/>
    </row>
    <row r="308" spans="1:21" ht="15.95" customHeight="1" x14ac:dyDescent="0.2">
      <c r="A308" s="36"/>
      <c r="B308" s="25" t="s">
        <v>3</v>
      </c>
      <c r="C308" s="6">
        <f t="shared" si="90"/>
        <v>0</v>
      </c>
      <c r="D308" s="8"/>
      <c r="E308" s="8"/>
      <c r="F308" s="8"/>
      <c r="G308" s="8"/>
      <c r="H308" s="8"/>
      <c r="I308" s="49"/>
      <c r="J308" s="49"/>
      <c r="K308" s="49"/>
      <c r="L308" s="49"/>
      <c r="M308" s="49"/>
      <c r="N308" s="49"/>
      <c r="O308" s="49"/>
      <c r="P308" s="75"/>
      <c r="Q308" s="49"/>
      <c r="R308" s="49"/>
      <c r="S308" s="49"/>
      <c r="T308" s="49"/>
      <c r="U308" s="9"/>
    </row>
    <row r="309" spans="1:21" ht="15.95" customHeight="1" x14ac:dyDescent="0.2">
      <c r="A309" s="34" t="s">
        <v>470</v>
      </c>
      <c r="B309" s="37" t="s">
        <v>526</v>
      </c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8"/>
      <c r="U309" s="10"/>
    </row>
    <row r="310" spans="1:21" ht="15.95" customHeight="1" x14ac:dyDescent="0.2">
      <c r="A310" s="35" t="s">
        <v>74</v>
      </c>
      <c r="B310" s="39" t="s">
        <v>103</v>
      </c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90"/>
      <c r="U310" s="43"/>
    </row>
    <row r="311" spans="1:21" ht="50.1" customHeight="1" x14ac:dyDescent="0.2">
      <c r="A311" s="35"/>
      <c r="B311" s="57" t="s">
        <v>313</v>
      </c>
      <c r="C311" s="58"/>
      <c r="D311" s="58"/>
      <c r="E311" s="58"/>
      <c r="F311" s="58"/>
      <c r="G311" s="58"/>
      <c r="H311" s="59"/>
      <c r="I311" s="43" t="s">
        <v>52</v>
      </c>
      <c r="J311" s="43" t="s">
        <v>21</v>
      </c>
      <c r="K311" s="43" t="s">
        <v>11</v>
      </c>
      <c r="L311" s="43" t="s">
        <v>375</v>
      </c>
      <c r="M311" s="43" t="s">
        <v>22</v>
      </c>
      <c r="N311" s="43" t="s">
        <v>226</v>
      </c>
      <c r="O311" s="43" t="s">
        <v>22</v>
      </c>
      <c r="P311" s="43" t="s">
        <v>376</v>
      </c>
      <c r="Q311" s="46" t="s">
        <v>7</v>
      </c>
      <c r="R311" s="43" t="s">
        <v>8</v>
      </c>
      <c r="S311" s="43" t="s">
        <v>34</v>
      </c>
      <c r="T311" s="43"/>
      <c r="U311" s="44"/>
    </row>
    <row r="312" spans="1:21" ht="15.95" customHeight="1" x14ac:dyDescent="0.2">
      <c r="A312" s="35"/>
      <c r="B312" s="25" t="s">
        <v>5</v>
      </c>
      <c r="C312" s="6">
        <f>D312+E312+F312+G312+H312</f>
        <v>951042.54545000009</v>
      </c>
      <c r="D312" s="8">
        <f t="shared" ref="D312:H312" si="91">SUM(D313:D316)</f>
        <v>0</v>
      </c>
      <c r="E312" s="8">
        <f>SUM(E313:E316)</f>
        <v>0</v>
      </c>
      <c r="F312" s="8">
        <f t="shared" si="91"/>
        <v>286730.58586000005</v>
      </c>
      <c r="G312" s="8">
        <f t="shared" si="91"/>
        <v>456478.92929</v>
      </c>
      <c r="H312" s="8">
        <f t="shared" si="91"/>
        <v>207833.03030000001</v>
      </c>
      <c r="I312" s="44"/>
      <c r="J312" s="44"/>
      <c r="K312" s="44"/>
      <c r="L312" s="44"/>
      <c r="M312" s="44"/>
      <c r="N312" s="44"/>
      <c r="O312" s="44"/>
      <c r="P312" s="44"/>
      <c r="Q312" s="47"/>
      <c r="R312" s="44"/>
      <c r="S312" s="44"/>
      <c r="T312" s="44"/>
      <c r="U312" s="44"/>
    </row>
    <row r="313" spans="1:21" ht="15.95" customHeight="1" x14ac:dyDescent="0.2">
      <c r="A313" s="35"/>
      <c r="B313" s="25" t="s">
        <v>0</v>
      </c>
      <c r="C313" s="6">
        <f t="shared" ref="C313" si="92">D313+E313+F313+G313+H313</f>
        <v>0</v>
      </c>
      <c r="D313" s="8"/>
      <c r="E313" s="8"/>
      <c r="F313" s="8"/>
      <c r="G313" s="8"/>
      <c r="H313" s="8"/>
      <c r="I313" s="44"/>
      <c r="J313" s="44"/>
      <c r="K313" s="44"/>
      <c r="L313" s="44"/>
      <c r="M313" s="44"/>
      <c r="N313" s="44"/>
      <c r="O313" s="44"/>
      <c r="P313" s="44"/>
      <c r="Q313" s="47"/>
      <c r="R313" s="44"/>
      <c r="S313" s="44"/>
      <c r="T313" s="44"/>
      <c r="U313" s="44"/>
    </row>
    <row r="314" spans="1:21" ht="15.95" customHeight="1" x14ac:dyDescent="0.2">
      <c r="A314" s="35"/>
      <c r="B314" s="25" t="s">
        <v>1</v>
      </c>
      <c r="C314" s="6">
        <f>D314+E314+F314+G314+H314</f>
        <v>941532.12000000011</v>
      </c>
      <c r="D314" s="8"/>
      <c r="E314" s="8"/>
      <c r="F314" s="8">
        <v>283863.28000000003</v>
      </c>
      <c r="G314" s="8">
        <v>451914.14</v>
      </c>
      <c r="H314" s="8">
        <v>205754.7</v>
      </c>
      <c r="I314" s="44"/>
      <c r="J314" s="44"/>
      <c r="K314" s="44"/>
      <c r="L314" s="44"/>
      <c r="M314" s="44"/>
      <c r="N314" s="44"/>
      <c r="O314" s="44"/>
      <c r="P314" s="44"/>
      <c r="Q314" s="47"/>
      <c r="R314" s="44"/>
      <c r="S314" s="44"/>
      <c r="T314" s="44"/>
      <c r="U314" s="44"/>
    </row>
    <row r="315" spans="1:21" ht="15.95" customHeight="1" x14ac:dyDescent="0.2">
      <c r="A315" s="35"/>
      <c r="B315" s="25" t="s">
        <v>2</v>
      </c>
      <c r="C315" s="6">
        <f t="shared" ref="C315:C316" si="93">D315+E315+F315+G315+H315</f>
        <v>9510.4254499999988</v>
      </c>
      <c r="D315" s="8"/>
      <c r="E315" s="8"/>
      <c r="F315" s="8">
        <v>2867.3058599999999</v>
      </c>
      <c r="G315" s="8">
        <v>4564.7892899999997</v>
      </c>
      <c r="H315" s="8">
        <v>2078.3303000000001</v>
      </c>
      <c r="I315" s="44"/>
      <c r="J315" s="44"/>
      <c r="K315" s="44"/>
      <c r="L315" s="44"/>
      <c r="M315" s="44"/>
      <c r="N315" s="44"/>
      <c r="O315" s="44"/>
      <c r="P315" s="44"/>
      <c r="Q315" s="47"/>
      <c r="R315" s="44"/>
      <c r="S315" s="44"/>
      <c r="T315" s="44"/>
      <c r="U315" s="45"/>
    </row>
    <row r="316" spans="1:21" ht="15.95" customHeight="1" x14ac:dyDescent="0.2">
      <c r="A316" s="36"/>
      <c r="B316" s="25" t="s">
        <v>3</v>
      </c>
      <c r="C316" s="6">
        <f t="shared" si="93"/>
        <v>0</v>
      </c>
      <c r="D316" s="8"/>
      <c r="E316" s="8"/>
      <c r="F316" s="8"/>
      <c r="G316" s="8"/>
      <c r="H316" s="8"/>
      <c r="I316" s="45"/>
      <c r="J316" s="45"/>
      <c r="K316" s="45"/>
      <c r="L316" s="45"/>
      <c r="M316" s="45"/>
      <c r="N316" s="45"/>
      <c r="O316" s="45"/>
      <c r="P316" s="45"/>
      <c r="Q316" s="48"/>
      <c r="R316" s="45"/>
      <c r="S316" s="45"/>
      <c r="T316" s="45"/>
    </row>
    <row r="317" spans="1:21" ht="15.95" customHeight="1" x14ac:dyDescent="0.2">
      <c r="A317" s="34" t="s">
        <v>538</v>
      </c>
      <c r="B317" s="37" t="s">
        <v>526</v>
      </c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8"/>
    </row>
    <row r="318" spans="1:21" ht="15.95" customHeight="1" x14ac:dyDescent="0.2">
      <c r="A318" s="35" t="s">
        <v>74</v>
      </c>
      <c r="B318" s="39" t="s">
        <v>103</v>
      </c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90"/>
    </row>
    <row r="319" spans="1:21" ht="50.1" customHeight="1" x14ac:dyDescent="0.2">
      <c r="A319" s="35"/>
      <c r="B319" s="42" t="s">
        <v>539</v>
      </c>
      <c r="C319" s="37"/>
      <c r="D319" s="37"/>
      <c r="E319" s="37"/>
      <c r="F319" s="37"/>
      <c r="G319" s="37"/>
      <c r="H319" s="38"/>
      <c r="I319" s="43" t="s">
        <v>540</v>
      </c>
      <c r="J319" s="43"/>
      <c r="K319" s="43" t="s">
        <v>42</v>
      </c>
      <c r="L319" s="43" t="s">
        <v>541</v>
      </c>
      <c r="M319" s="43" t="s">
        <v>737</v>
      </c>
      <c r="N319" s="43" t="s">
        <v>226</v>
      </c>
      <c r="O319" s="43" t="s">
        <v>737</v>
      </c>
      <c r="P319" s="46" t="s">
        <v>542</v>
      </c>
      <c r="Q319" s="43" t="s">
        <v>33</v>
      </c>
      <c r="R319" s="43" t="s">
        <v>543</v>
      </c>
      <c r="S319" s="43" t="s">
        <v>34</v>
      </c>
      <c r="T319" s="43"/>
    </row>
    <row r="320" spans="1:21" ht="15.95" customHeight="1" x14ac:dyDescent="0.2">
      <c r="A320" s="35"/>
      <c r="B320" s="29" t="s">
        <v>5</v>
      </c>
      <c r="C320" s="6">
        <f>SUM(D320:H320)</f>
        <v>181359.7</v>
      </c>
      <c r="D320" s="8">
        <f>SUM(D321:D324)</f>
        <v>0</v>
      </c>
      <c r="E320" s="8">
        <f t="shared" ref="E320:H320" si="94">SUM(E321:E324)</f>
        <v>92190.3</v>
      </c>
      <c r="F320" s="8">
        <f t="shared" si="94"/>
        <v>89169.4</v>
      </c>
      <c r="G320" s="8">
        <f t="shared" si="94"/>
        <v>0</v>
      </c>
      <c r="H320" s="8">
        <f t="shared" si="94"/>
        <v>0</v>
      </c>
      <c r="I320" s="44"/>
      <c r="J320" s="44"/>
      <c r="K320" s="44"/>
      <c r="L320" s="44"/>
      <c r="M320" s="44"/>
      <c r="N320" s="44"/>
      <c r="O320" s="44"/>
      <c r="P320" s="47"/>
      <c r="Q320" s="44"/>
      <c r="R320" s="44"/>
      <c r="S320" s="44"/>
      <c r="T320" s="44"/>
    </row>
    <row r="321" spans="1:20" ht="15.95" customHeight="1" x14ac:dyDescent="0.2">
      <c r="A321" s="35"/>
      <c r="B321" s="29" t="s">
        <v>0</v>
      </c>
      <c r="C321" s="6">
        <f t="shared" ref="C321:C324" si="95">SUM(D321:H321)</f>
        <v>181359.7</v>
      </c>
      <c r="D321" s="8"/>
      <c r="E321" s="8">
        <f>0+92190.3</f>
        <v>92190.3</v>
      </c>
      <c r="F321" s="8">
        <f>0+89169.4</f>
        <v>89169.4</v>
      </c>
      <c r="G321" s="8"/>
      <c r="H321" s="8"/>
      <c r="I321" s="44"/>
      <c r="J321" s="44"/>
      <c r="K321" s="44"/>
      <c r="L321" s="44"/>
      <c r="M321" s="44"/>
      <c r="N321" s="44"/>
      <c r="O321" s="44"/>
      <c r="P321" s="47"/>
      <c r="Q321" s="44"/>
      <c r="R321" s="44"/>
      <c r="S321" s="44"/>
      <c r="T321" s="44"/>
    </row>
    <row r="322" spans="1:20" ht="15.95" customHeight="1" x14ac:dyDescent="0.2">
      <c r="A322" s="35"/>
      <c r="B322" s="29" t="s">
        <v>1</v>
      </c>
      <c r="C322" s="6">
        <f t="shared" si="95"/>
        <v>0</v>
      </c>
      <c r="D322" s="8"/>
      <c r="E322" s="8"/>
      <c r="F322" s="8"/>
      <c r="G322" s="8"/>
      <c r="H322" s="8"/>
      <c r="I322" s="44"/>
      <c r="J322" s="44"/>
      <c r="K322" s="44"/>
      <c r="L322" s="44"/>
      <c r="M322" s="44"/>
      <c r="N322" s="44"/>
      <c r="O322" s="44"/>
      <c r="P322" s="47"/>
      <c r="Q322" s="44"/>
      <c r="R322" s="44"/>
      <c r="S322" s="44"/>
      <c r="T322" s="44"/>
    </row>
    <row r="323" spans="1:20" ht="15.95" customHeight="1" x14ac:dyDescent="0.2">
      <c r="A323" s="35"/>
      <c r="B323" s="29" t="s">
        <v>2</v>
      </c>
      <c r="C323" s="6">
        <f t="shared" si="95"/>
        <v>0</v>
      </c>
      <c r="D323" s="8"/>
      <c r="E323" s="8"/>
      <c r="F323" s="8"/>
      <c r="G323" s="8"/>
      <c r="H323" s="8"/>
      <c r="I323" s="44"/>
      <c r="J323" s="44"/>
      <c r="K323" s="44"/>
      <c r="L323" s="44"/>
      <c r="M323" s="44"/>
      <c r="N323" s="44"/>
      <c r="O323" s="44"/>
      <c r="P323" s="47"/>
      <c r="Q323" s="44"/>
      <c r="R323" s="44"/>
      <c r="S323" s="44"/>
      <c r="T323" s="44"/>
    </row>
    <row r="324" spans="1:20" ht="15.95" customHeight="1" x14ac:dyDescent="0.2">
      <c r="A324" s="36"/>
      <c r="B324" s="29" t="s">
        <v>3</v>
      </c>
      <c r="C324" s="6">
        <f t="shared" si="95"/>
        <v>0</v>
      </c>
      <c r="D324" s="8"/>
      <c r="E324" s="8"/>
      <c r="F324" s="8"/>
      <c r="G324" s="8"/>
      <c r="H324" s="8"/>
      <c r="I324" s="45"/>
      <c r="J324" s="45"/>
      <c r="K324" s="45"/>
      <c r="L324" s="45"/>
      <c r="M324" s="45"/>
      <c r="N324" s="45"/>
      <c r="O324" s="45"/>
      <c r="P324" s="48"/>
      <c r="Q324" s="45"/>
      <c r="R324" s="45"/>
      <c r="S324" s="45"/>
      <c r="T324" s="45"/>
    </row>
    <row r="325" spans="1:20" ht="15.95" customHeight="1" x14ac:dyDescent="0.2">
      <c r="A325" s="34" t="s">
        <v>710</v>
      </c>
      <c r="B325" s="37" t="s">
        <v>226</v>
      </c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8"/>
    </row>
    <row r="326" spans="1:20" ht="15.95" customHeight="1" x14ac:dyDescent="0.2">
      <c r="A326" s="35"/>
      <c r="B326" s="39" t="s">
        <v>103</v>
      </c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1"/>
    </row>
    <row r="327" spans="1:20" ht="45" customHeight="1" x14ac:dyDescent="0.2">
      <c r="A327" s="35"/>
      <c r="B327" s="42" t="s">
        <v>711</v>
      </c>
      <c r="C327" s="37"/>
      <c r="D327" s="37"/>
      <c r="E327" s="37"/>
      <c r="F327" s="37"/>
      <c r="G327" s="37"/>
      <c r="H327" s="38"/>
      <c r="I327" s="49" t="s">
        <v>20</v>
      </c>
      <c r="J327" s="43" t="s">
        <v>712</v>
      </c>
      <c r="K327" s="43" t="s">
        <v>47</v>
      </c>
      <c r="L327" s="43" t="s">
        <v>79</v>
      </c>
      <c r="M327" s="43" t="s">
        <v>94</v>
      </c>
      <c r="N327" s="43" t="s">
        <v>226</v>
      </c>
      <c r="O327" s="43" t="s">
        <v>94</v>
      </c>
      <c r="P327" s="46">
        <v>488793.74</v>
      </c>
      <c r="Q327" s="43" t="s">
        <v>7</v>
      </c>
      <c r="R327" s="43" t="s">
        <v>38</v>
      </c>
      <c r="S327" s="43" t="s">
        <v>35</v>
      </c>
      <c r="T327" s="49" t="s">
        <v>713</v>
      </c>
    </row>
    <row r="328" spans="1:20" ht="15.95" customHeight="1" x14ac:dyDescent="0.2">
      <c r="A328" s="35"/>
      <c r="B328" s="29" t="s">
        <v>5</v>
      </c>
      <c r="C328" s="8">
        <f>SUM(D328:H328)</f>
        <v>1882.7679799999999</v>
      </c>
      <c r="D328" s="8">
        <f>SUM(D329:D332)</f>
        <v>1882.7679799999999</v>
      </c>
      <c r="E328" s="8">
        <f t="shared" ref="E328:H328" si="96">SUM(E329:E332)</f>
        <v>0</v>
      </c>
      <c r="F328" s="8">
        <f t="shared" si="96"/>
        <v>0</v>
      </c>
      <c r="G328" s="8">
        <f t="shared" si="96"/>
        <v>0</v>
      </c>
      <c r="H328" s="8">
        <f t="shared" si="96"/>
        <v>0</v>
      </c>
      <c r="I328" s="49"/>
      <c r="J328" s="44"/>
      <c r="K328" s="44"/>
      <c r="L328" s="44"/>
      <c r="M328" s="44"/>
      <c r="N328" s="44"/>
      <c r="O328" s="44"/>
      <c r="P328" s="47"/>
      <c r="Q328" s="44"/>
      <c r="R328" s="44"/>
      <c r="S328" s="44"/>
      <c r="T328" s="49"/>
    </row>
    <row r="329" spans="1:20" ht="15.95" customHeight="1" x14ac:dyDescent="0.2">
      <c r="A329" s="35"/>
      <c r="B329" s="29" t="s">
        <v>0</v>
      </c>
      <c r="C329" s="8">
        <f t="shared" ref="C329:C332" si="97">SUM(D329:H329)</f>
        <v>0</v>
      </c>
      <c r="D329" s="8"/>
      <c r="E329" s="8"/>
      <c r="F329" s="8"/>
      <c r="G329" s="8"/>
      <c r="H329" s="8"/>
      <c r="I329" s="49"/>
      <c r="J329" s="44"/>
      <c r="K329" s="44"/>
      <c r="L329" s="44"/>
      <c r="M329" s="44"/>
      <c r="N329" s="44"/>
      <c r="O329" s="44"/>
      <c r="P329" s="47"/>
      <c r="Q329" s="44"/>
      <c r="R329" s="44"/>
      <c r="S329" s="44"/>
      <c r="T329" s="49"/>
    </row>
    <row r="330" spans="1:20" ht="15.95" customHeight="1" x14ac:dyDescent="0.2">
      <c r="A330" s="35"/>
      <c r="B330" s="29" t="s">
        <v>1</v>
      </c>
      <c r="C330" s="8">
        <f t="shared" si="97"/>
        <v>1873.1268299999999</v>
      </c>
      <c r="D330" s="8">
        <f>0+1873.12683</f>
        <v>1873.1268299999999</v>
      </c>
      <c r="E330" s="8"/>
      <c r="F330" s="8"/>
      <c r="G330" s="8"/>
      <c r="H330" s="8"/>
      <c r="I330" s="49"/>
      <c r="J330" s="44"/>
      <c r="K330" s="44"/>
      <c r="L330" s="44"/>
      <c r="M330" s="44"/>
      <c r="N330" s="44"/>
      <c r="O330" s="44"/>
      <c r="P330" s="47"/>
      <c r="Q330" s="44"/>
      <c r="R330" s="44"/>
      <c r="S330" s="44"/>
      <c r="T330" s="49"/>
    </row>
    <row r="331" spans="1:20" ht="15.95" customHeight="1" x14ac:dyDescent="0.2">
      <c r="A331" s="35"/>
      <c r="B331" s="29" t="s">
        <v>2</v>
      </c>
      <c r="C331" s="8">
        <f t="shared" si="97"/>
        <v>9.6411499999999997</v>
      </c>
      <c r="D331" s="8">
        <v>9.6411499999999997</v>
      </c>
      <c r="E331" s="8"/>
      <c r="F331" s="8"/>
      <c r="G331" s="8"/>
      <c r="H331" s="8"/>
      <c r="I331" s="49"/>
      <c r="J331" s="44"/>
      <c r="K331" s="44"/>
      <c r="L331" s="44"/>
      <c r="M331" s="44"/>
      <c r="N331" s="44"/>
      <c r="O331" s="44"/>
      <c r="P331" s="47"/>
      <c r="Q331" s="44"/>
      <c r="R331" s="44"/>
      <c r="S331" s="44"/>
      <c r="T331" s="49"/>
    </row>
    <row r="332" spans="1:20" ht="15.95" customHeight="1" x14ac:dyDescent="0.2">
      <c r="A332" s="36"/>
      <c r="B332" s="29" t="s">
        <v>3</v>
      </c>
      <c r="C332" s="8">
        <f t="shared" si="97"/>
        <v>0</v>
      </c>
      <c r="D332" s="8"/>
      <c r="E332" s="8"/>
      <c r="F332" s="8"/>
      <c r="G332" s="8"/>
      <c r="H332" s="8"/>
      <c r="I332" s="49"/>
      <c r="J332" s="45"/>
      <c r="K332" s="45"/>
      <c r="L332" s="45"/>
      <c r="M332" s="45"/>
      <c r="N332" s="45"/>
      <c r="O332" s="45"/>
      <c r="P332" s="48"/>
      <c r="Q332" s="45"/>
      <c r="R332" s="45"/>
      <c r="S332" s="45"/>
      <c r="T332" s="49"/>
    </row>
    <row r="333" spans="1:20" ht="15.95" customHeight="1" x14ac:dyDescent="0.2">
      <c r="A333" s="34" t="s">
        <v>714</v>
      </c>
      <c r="B333" s="37" t="s">
        <v>226</v>
      </c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8"/>
    </row>
    <row r="334" spans="1:20" ht="15.95" customHeight="1" x14ac:dyDescent="0.2">
      <c r="A334" s="35"/>
      <c r="B334" s="39" t="s">
        <v>103</v>
      </c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1"/>
    </row>
    <row r="335" spans="1:20" ht="45" customHeight="1" x14ac:dyDescent="0.2">
      <c r="A335" s="35"/>
      <c r="B335" s="42" t="s">
        <v>715</v>
      </c>
      <c r="C335" s="37"/>
      <c r="D335" s="37"/>
      <c r="E335" s="37"/>
      <c r="F335" s="37"/>
      <c r="G335" s="37"/>
      <c r="H335" s="38"/>
      <c r="I335" s="49" t="s">
        <v>20</v>
      </c>
      <c r="J335" s="43" t="s">
        <v>712</v>
      </c>
      <c r="K335" s="43" t="s">
        <v>47</v>
      </c>
      <c r="L335" s="43" t="s">
        <v>80</v>
      </c>
      <c r="M335" s="43" t="s">
        <v>94</v>
      </c>
      <c r="N335" s="43" t="s">
        <v>226</v>
      </c>
      <c r="O335" s="43" t="s">
        <v>94</v>
      </c>
      <c r="P335" s="46">
        <v>288172.3</v>
      </c>
      <c r="Q335" s="43" t="s">
        <v>7</v>
      </c>
      <c r="R335" s="43" t="s">
        <v>38</v>
      </c>
      <c r="S335" s="43" t="s">
        <v>35</v>
      </c>
      <c r="T335" s="49" t="s">
        <v>716</v>
      </c>
    </row>
    <row r="336" spans="1:20" ht="15.95" customHeight="1" x14ac:dyDescent="0.2">
      <c r="A336" s="35"/>
      <c r="B336" s="29" t="s">
        <v>5</v>
      </c>
      <c r="C336" s="8">
        <f>SUM(D336:H336)</f>
        <v>19940.969120000002</v>
      </c>
      <c r="D336" s="8">
        <f>SUM(D337:D340)</f>
        <v>19940.969120000002</v>
      </c>
      <c r="E336" s="8">
        <f t="shared" ref="E336:H336" si="98">SUM(E337:E340)</f>
        <v>0</v>
      </c>
      <c r="F336" s="8">
        <f t="shared" si="98"/>
        <v>0</v>
      </c>
      <c r="G336" s="8">
        <f t="shared" si="98"/>
        <v>0</v>
      </c>
      <c r="H336" s="8">
        <f t="shared" si="98"/>
        <v>0</v>
      </c>
      <c r="I336" s="49"/>
      <c r="J336" s="44"/>
      <c r="K336" s="44"/>
      <c r="L336" s="44"/>
      <c r="M336" s="44"/>
      <c r="N336" s="44"/>
      <c r="O336" s="44"/>
      <c r="P336" s="47"/>
      <c r="Q336" s="44"/>
      <c r="R336" s="44"/>
      <c r="S336" s="44"/>
      <c r="T336" s="49"/>
    </row>
    <row r="337" spans="1:20" ht="15.95" customHeight="1" x14ac:dyDescent="0.2">
      <c r="A337" s="35"/>
      <c r="B337" s="29" t="s">
        <v>0</v>
      </c>
      <c r="C337" s="8">
        <f t="shared" ref="C337:C340" si="99">SUM(D337:H337)</f>
        <v>0</v>
      </c>
      <c r="D337" s="8"/>
      <c r="E337" s="8"/>
      <c r="F337" s="8"/>
      <c r="G337" s="8"/>
      <c r="H337" s="8"/>
      <c r="I337" s="49"/>
      <c r="J337" s="44"/>
      <c r="K337" s="44"/>
      <c r="L337" s="44"/>
      <c r="M337" s="44"/>
      <c r="N337" s="44"/>
      <c r="O337" s="44"/>
      <c r="P337" s="47"/>
      <c r="Q337" s="44"/>
      <c r="R337" s="44"/>
      <c r="S337" s="44"/>
      <c r="T337" s="49"/>
    </row>
    <row r="338" spans="1:20" ht="15.95" customHeight="1" x14ac:dyDescent="0.2">
      <c r="A338" s="35"/>
      <c r="B338" s="29" t="s">
        <v>1</v>
      </c>
      <c r="C338" s="8">
        <f t="shared" si="99"/>
        <v>19840.76325</v>
      </c>
      <c r="D338" s="8">
        <f>0+19840.76325</f>
        <v>19840.76325</v>
      </c>
      <c r="E338" s="8"/>
      <c r="F338" s="8"/>
      <c r="G338" s="8"/>
      <c r="H338" s="8"/>
      <c r="I338" s="49"/>
      <c r="J338" s="44"/>
      <c r="K338" s="44"/>
      <c r="L338" s="44"/>
      <c r="M338" s="44"/>
      <c r="N338" s="44"/>
      <c r="O338" s="44"/>
      <c r="P338" s="47"/>
      <c r="Q338" s="44"/>
      <c r="R338" s="44"/>
      <c r="S338" s="44"/>
      <c r="T338" s="49"/>
    </row>
    <row r="339" spans="1:20" ht="15.95" customHeight="1" x14ac:dyDescent="0.2">
      <c r="A339" s="35"/>
      <c r="B339" s="29" t="s">
        <v>2</v>
      </c>
      <c r="C339" s="8">
        <f t="shared" si="99"/>
        <v>100.20587</v>
      </c>
      <c r="D339" s="8">
        <v>100.20587</v>
      </c>
      <c r="E339" s="8"/>
      <c r="F339" s="8"/>
      <c r="G339" s="8"/>
      <c r="H339" s="8"/>
      <c r="I339" s="49"/>
      <c r="J339" s="44"/>
      <c r="K339" s="44"/>
      <c r="L339" s="44"/>
      <c r="M339" s="44"/>
      <c r="N339" s="44"/>
      <c r="O339" s="44"/>
      <c r="P339" s="47"/>
      <c r="Q339" s="44"/>
      <c r="R339" s="44"/>
      <c r="S339" s="44"/>
      <c r="T339" s="49"/>
    </row>
    <row r="340" spans="1:20" ht="15.95" customHeight="1" x14ac:dyDescent="0.2">
      <c r="A340" s="36"/>
      <c r="B340" s="29" t="s">
        <v>3</v>
      </c>
      <c r="C340" s="8">
        <f t="shared" si="99"/>
        <v>0</v>
      </c>
      <c r="D340" s="8"/>
      <c r="E340" s="8"/>
      <c r="F340" s="8"/>
      <c r="G340" s="8"/>
      <c r="H340" s="8"/>
      <c r="I340" s="49"/>
      <c r="J340" s="45"/>
      <c r="K340" s="45"/>
      <c r="L340" s="45"/>
      <c r="M340" s="45"/>
      <c r="N340" s="45"/>
      <c r="O340" s="45"/>
      <c r="P340" s="48"/>
      <c r="Q340" s="45"/>
      <c r="R340" s="45"/>
      <c r="S340" s="45"/>
      <c r="T340" s="49"/>
    </row>
    <row r="341" spans="1:20" ht="15.95" customHeight="1" x14ac:dyDescent="0.2">
      <c r="A341" s="34" t="s">
        <v>721</v>
      </c>
      <c r="B341" s="37" t="s">
        <v>526</v>
      </c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8"/>
    </row>
    <row r="342" spans="1:20" ht="15.95" customHeight="1" x14ac:dyDescent="0.2">
      <c r="A342" s="35"/>
      <c r="B342" s="39" t="s">
        <v>103</v>
      </c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1"/>
    </row>
    <row r="343" spans="1:20" ht="15.95" customHeight="1" x14ac:dyDescent="0.2">
      <c r="A343" s="35"/>
      <c r="B343" s="42" t="s">
        <v>722</v>
      </c>
      <c r="C343" s="37"/>
      <c r="D343" s="37"/>
      <c r="E343" s="37"/>
      <c r="F343" s="37"/>
      <c r="G343" s="37"/>
      <c r="H343" s="38"/>
      <c r="I343" s="43" t="s">
        <v>20</v>
      </c>
      <c r="J343" s="43"/>
      <c r="K343" s="43" t="s">
        <v>42</v>
      </c>
      <c r="L343" s="43" t="s">
        <v>401</v>
      </c>
      <c r="M343" s="43" t="s">
        <v>737</v>
      </c>
      <c r="N343" s="43" t="s">
        <v>226</v>
      </c>
      <c r="O343" s="43" t="s">
        <v>737</v>
      </c>
      <c r="P343" s="46" t="s">
        <v>723</v>
      </c>
      <c r="Q343" s="43" t="s">
        <v>33</v>
      </c>
      <c r="R343" s="43" t="s">
        <v>627</v>
      </c>
      <c r="S343" s="43" t="s">
        <v>35</v>
      </c>
      <c r="T343" s="49" t="s">
        <v>724</v>
      </c>
    </row>
    <row r="344" spans="1:20" ht="15.95" customHeight="1" x14ac:dyDescent="0.2">
      <c r="A344" s="35"/>
      <c r="B344" s="30" t="s">
        <v>5</v>
      </c>
      <c r="C344" s="6">
        <f>SUM(D344:H344)</f>
        <v>15931</v>
      </c>
      <c r="D344" s="8">
        <f>SUM(D345:D348)</f>
        <v>15931</v>
      </c>
      <c r="E344" s="8">
        <f t="shared" ref="E344:H344" si="100">SUM(E345:E348)</f>
        <v>0</v>
      </c>
      <c r="F344" s="8">
        <f t="shared" si="100"/>
        <v>0</v>
      </c>
      <c r="G344" s="8">
        <f t="shared" si="100"/>
        <v>0</v>
      </c>
      <c r="H344" s="8">
        <f t="shared" si="100"/>
        <v>0</v>
      </c>
      <c r="I344" s="44"/>
      <c r="J344" s="44"/>
      <c r="K344" s="44"/>
      <c r="L344" s="44"/>
      <c r="M344" s="44"/>
      <c r="N344" s="44"/>
      <c r="O344" s="44"/>
      <c r="P344" s="47"/>
      <c r="Q344" s="44"/>
      <c r="R344" s="44"/>
      <c r="S344" s="44"/>
      <c r="T344" s="49"/>
    </row>
    <row r="345" spans="1:20" ht="15.95" customHeight="1" x14ac:dyDescent="0.2">
      <c r="A345" s="35"/>
      <c r="B345" s="30" t="s">
        <v>0</v>
      </c>
      <c r="C345" s="6">
        <f t="shared" ref="C345:C348" si="101">SUM(D345:H345)</f>
        <v>0</v>
      </c>
      <c r="D345" s="8"/>
      <c r="E345" s="8"/>
      <c r="F345" s="8"/>
      <c r="G345" s="8"/>
      <c r="H345" s="8"/>
      <c r="I345" s="44"/>
      <c r="J345" s="44"/>
      <c r="K345" s="44"/>
      <c r="L345" s="44"/>
      <c r="M345" s="44"/>
      <c r="N345" s="44"/>
      <c r="O345" s="44"/>
      <c r="P345" s="47"/>
      <c r="Q345" s="44"/>
      <c r="R345" s="44"/>
      <c r="S345" s="44"/>
      <c r="T345" s="49"/>
    </row>
    <row r="346" spans="1:20" ht="15.95" customHeight="1" x14ac:dyDescent="0.2">
      <c r="A346" s="35"/>
      <c r="B346" s="30" t="s">
        <v>1</v>
      </c>
      <c r="C346" s="6">
        <f t="shared" si="101"/>
        <v>15931</v>
      </c>
      <c r="D346" s="8">
        <f>0+15931</f>
        <v>15931</v>
      </c>
      <c r="E346" s="8"/>
      <c r="F346" s="8"/>
      <c r="G346" s="8"/>
      <c r="H346" s="8"/>
      <c r="I346" s="44"/>
      <c r="J346" s="44"/>
      <c r="K346" s="44"/>
      <c r="L346" s="44"/>
      <c r="M346" s="44"/>
      <c r="N346" s="44"/>
      <c r="O346" s="44"/>
      <c r="P346" s="47"/>
      <c r="Q346" s="44"/>
      <c r="R346" s="44"/>
      <c r="S346" s="44"/>
      <c r="T346" s="49"/>
    </row>
    <row r="347" spans="1:20" ht="15.95" customHeight="1" x14ac:dyDescent="0.2">
      <c r="A347" s="35"/>
      <c r="B347" s="30" t="s">
        <v>2</v>
      </c>
      <c r="C347" s="6">
        <f t="shared" si="101"/>
        <v>0</v>
      </c>
      <c r="D347" s="8"/>
      <c r="E347" s="8"/>
      <c r="F347" s="8"/>
      <c r="G347" s="8"/>
      <c r="H347" s="8"/>
      <c r="I347" s="44"/>
      <c r="J347" s="44"/>
      <c r="K347" s="44"/>
      <c r="L347" s="44"/>
      <c r="M347" s="44"/>
      <c r="N347" s="44"/>
      <c r="O347" s="44"/>
      <c r="P347" s="47"/>
      <c r="Q347" s="44"/>
      <c r="R347" s="44"/>
      <c r="S347" s="44"/>
      <c r="T347" s="49"/>
    </row>
    <row r="348" spans="1:20" ht="15.95" customHeight="1" x14ac:dyDescent="0.2">
      <c r="A348" s="36"/>
      <c r="B348" s="30" t="s">
        <v>3</v>
      </c>
      <c r="C348" s="6">
        <f t="shared" si="101"/>
        <v>0</v>
      </c>
      <c r="D348" s="8"/>
      <c r="E348" s="8"/>
      <c r="F348" s="8"/>
      <c r="G348" s="8"/>
      <c r="H348" s="8"/>
      <c r="I348" s="45"/>
      <c r="J348" s="45"/>
      <c r="K348" s="45"/>
      <c r="L348" s="45"/>
      <c r="M348" s="45"/>
      <c r="N348" s="45"/>
      <c r="O348" s="45"/>
      <c r="P348" s="48"/>
      <c r="Q348" s="45"/>
      <c r="R348" s="45"/>
      <c r="S348" s="45"/>
      <c r="T348" s="49"/>
    </row>
    <row r="349" spans="1:20" ht="15.95" customHeight="1" x14ac:dyDescent="0.2">
      <c r="A349" s="78" t="s">
        <v>82</v>
      </c>
      <c r="B349" s="54" t="s">
        <v>106</v>
      </c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</row>
    <row r="350" spans="1:20" ht="15.95" customHeight="1" x14ac:dyDescent="0.2">
      <c r="A350" s="79"/>
      <c r="B350" s="22" t="s">
        <v>5</v>
      </c>
      <c r="C350" s="3">
        <f>SUM(C351:C354)</f>
        <v>917748.94169000001</v>
      </c>
      <c r="D350" s="3">
        <f t="shared" ref="D350:H350" si="102">SUM(D351:D354)</f>
        <v>198748.94169000001</v>
      </c>
      <c r="E350" s="3">
        <f t="shared" ref="E350" si="103">SUM(E351:E354)</f>
        <v>0</v>
      </c>
      <c r="F350" s="3">
        <f t="shared" ref="F350" si="104">SUM(F351:F354)</f>
        <v>500000</v>
      </c>
      <c r="G350" s="3">
        <f t="shared" si="102"/>
        <v>219000</v>
      </c>
      <c r="H350" s="3">
        <f t="shared" si="102"/>
        <v>0</v>
      </c>
      <c r="I350" s="60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2"/>
    </row>
    <row r="351" spans="1:20" ht="15.95" customHeight="1" x14ac:dyDescent="0.2">
      <c r="A351" s="79"/>
      <c r="B351" s="22" t="s">
        <v>0</v>
      </c>
      <c r="C351" s="3">
        <f>D351+E351+F351+G351+H351</f>
        <v>0</v>
      </c>
      <c r="D351" s="3">
        <f>D359+D367+D375</f>
        <v>0</v>
      </c>
      <c r="E351" s="3">
        <f t="shared" ref="E351:H351" si="105">E359+E367+E375</f>
        <v>0</v>
      </c>
      <c r="F351" s="3">
        <f t="shared" si="105"/>
        <v>0</v>
      </c>
      <c r="G351" s="3">
        <f t="shared" si="105"/>
        <v>0</v>
      </c>
      <c r="H351" s="3">
        <f t="shared" si="105"/>
        <v>0</v>
      </c>
      <c r="I351" s="63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5"/>
    </row>
    <row r="352" spans="1:20" ht="15.95" customHeight="1" x14ac:dyDescent="0.2">
      <c r="A352" s="79"/>
      <c r="B352" s="22" t="s">
        <v>1</v>
      </c>
      <c r="C352" s="3">
        <f>D352+E352+F352+G352+H352</f>
        <v>917466.45227000001</v>
      </c>
      <c r="D352" s="3">
        <f t="shared" ref="D352:H354" si="106">D360+D368+D376</f>
        <v>198466.45227000001</v>
      </c>
      <c r="E352" s="3">
        <f t="shared" si="106"/>
        <v>0</v>
      </c>
      <c r="F352" s="3">
        <f t="shared" si="106"/>
        <v>500000</v>
      </c>
      <c r="G352" s="3">
        <f t="shared" si="106"/>
        <v>219000</v>
      </c>
      <c r="H352" s="3">
        <f t="shared" si="106"/>
        <v>0</v>
      </c>
      <c r="I352" s="63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5"/>
    </row>
    <row r="353" spans="1:21" ht="15.95" customHeight="1" x14ac:dyDescent="0.2">
      <c r="A353" s="79"/>
      <c r="B353" s="22" t="s">
        <v>2</v>
      </c>
      <c r="C353" s="3">
        <f t="shared" ref="C353:C354" si="107">D353+E353+F353+G353+H353</f>
        <v>282.48942</v>
      </c>
      <c r="D353" s="3">
        <f t="shared" si="106"/>
        <v>282.48942</v>
      </c>
      <c r="E353" s="3">
        <f t="shared" si="106"/>
        <v>0</v>
      </c>
      <c r="F353" s="3">
        <f t="shared" si="106"/>
        <v>0</v>
      </c>
      <c r="G353" s="3">
        <f t="shared" si="106"/>
        <v>0</v>
      </c>
      <c r="H353" s="3">
        <f t="shared" si="106"/>
        <v>0</v>
      </c>
      <c r="I353" s="63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5"/>
    </row>
    <row r="354" spans="1:21" ht="15.95" customHeight="1" x14ac:dyDescent="0.2">
      <c r="A354" s="80"/>
      <c r="B354" s="22" t="s">
        <v>3</v>
      </c>
      <c r="C354" s="3">
        <f t="shared" si="107"/>
        <v>0</v>
      </c>
      <c r="D354" s="3">
        <f t="shared" si="106"/>
        <v>0</v>
      </c>
      <c r="E354" s="3">
        <f t="shared" si="106"/>
        <v>0</v>
      </c>
      <c r="F354" s="3">
        <f t="shared" si="106"/>
        <v>0</v>
      </c>
      <c r="G354" s="3">
        <f t="shared" si="106"/>
        <v>0</v>
      </c>
      <c r="H354" s="3">
        <f t="shared" si="106"/>
        <v>0</v>
      </c>
      <c r="I354" s="66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8"/>
    </row>
    <row r="355" spans="1:21" ht="15.95" customHeight="1" x14ac:dyDescent="0.2">
      <c r="A355" s="34" t="s">
        <v>471</v>
      </c>
      <c r="B355" s="37" t="s">
        <v>526</v>
      </c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8"/>
    </row>
    <row r="356" spans="1:21" ht="15.95" customHeight="1" x14ac:dyDescent="0.2">
      <c r="A356" s="35" t="s">
        <v>74</v>
      </c>
      <c r="B356" s="54" t="s">
        <v>107</v>
      </c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49"/>
    </row>
    <row r="357" spans="1:21" ht="45" customHeight="1" x14ac:dyDescent="0.2">
      <c r="A357" s="35"/>
      <c r="B357" s="57" t="s">
        <v>314</v>
      </c>
      <c r="C357" s="58"/>
      <c r="D357" s="58"/>
      <c r="E357" s="58"/>
      <c r="F357" s="58"/>
      <c r="G357" s="58"/>
      <c r="H357" s="59"/>
      <c r="I357" s="43" t="s">
        <v>460</v>
      </c>
      <c r="J357" s="43"/>
      <c r="K357" s="43" t="s">
        <v>42</v>
      </c>
      <c r="L357" s="43" t="s">
        <v>373</v>
      </c>
      <c r="M357" s="43" t="s">
        <v>737</v>
      </c>
      <c r="N357" s="43" t="s">
        <v>89</v>
      </c>
      <c r="O357" s="43" t="s">
        <v>737</v>
      </c>
      <c r="P357" s="43" t="s">
        <v>374</v>
      </c>
      <c r="Q357" s="46" t="s">
        <v>33</v>
      </c>
      <c r="R357" s="43" t="s">
        <v>8</v>
      </c>
      <c r="S357" s="43" t="s">
        <v>35</v>
      </c>
      <c r="T357" s="43" t="s">
        <v>479</v>
      </c>
      <c r="U357" s="49"/>
    </row>
    <row r="358" spans="1:21" ht="15.95" customHeight="1" x14ac:dyDescent="0.2">
      <c r="A358" s="35"/>
      <c r="B358" s="25" t="s">
        <v>5</v>
      </c>
      <c r="C358" s="6">
        <f t="shared" ref="C358:C359" si="108">D358+E358+F358+G358+H358</f>
        <v>869000</v>
      </c>
      <c r="D358" s="8">
        <f t="shared" ref="D358:H358" si="109">SUM(D359:D362)</f>
        <v>150000</v>
      </c>
      <c r="E358" s="8">
        <f t="shared" si="109"/>
        <v>0</v>
      </c>
      <c r="F358" s="8">
        <f t="shared" si="109"/>
        <v>500000</v>
      </c>
      <c r="G358" s="8">
        <f t="shared" si="109"/>
        <v>219000</v>
      </c>
      <c r="H358" s="8">
        <f t="shared" si="109"/>
        <v>0</v>
      </c>
      <c r="I358" s="44"/>
      <c r="J358" s="44"/>
      <c r="K358" s="44"/>
      <c r="L358" s="44"/>
      <c r="M358" s="44"/>
      <c r="N358" s="44"/>
      <c r="O358" s="44"/>
      <c r="P358" s="44"/>
      <c r="Q358" s="47"/>
      <c r="R358" s="44"/>
      <c r="S358" s="44"/>
      <c r="T358" s="44"/>
      <c r="U358" s="49"/>
    </row>
    <row r="359" spans="1:21" ht="15.95" customHeight="1" x14ac:dyDescent="0.2">
      <c r="A359" s="35"/>
      <c r="B359" s="25" t="s">
        <v>0</v>
      </c>
      <c r="C359" s="6">
        <f t="shared" si="108"/>
        <v>0</v>
      </c>
      <c r="D359" s="8"/>
      <c r="E359" s="8"/>
      <c r="F359" s="8"/>
      <c r="G359" s="8"/>
      <c r="H359" s="8"/>
      <c r="I359" s="44"/>
      <c r="J359" s="44"/>
      <c r="K359" s="44"/>
      <c r="L359" s="44"/>
      <c r="M359" s="44"/>
      <c r="N359" s="44"/>
      <c r="O359" s="44"/>
      <c r="P359" s="44"/>
      <c r="Q359" s="47"/>
      <c r="R359" s="44"/>
      <c r="S359" s="44"/>
      <c r="T359" s="44"/>
      <c r="U359" s="49"/>
    </row>
    <row r="360" spans="1:21" ht="15.95" customHeight="1" x14ac:dyDescent="0.2">
      <c r="A360" s="35"/>
      <c r="B360" s="25" t="s">
        <v>1</v>
      </c>
      <c r="C360" s="6">
        <f>D360+E360+F360+G360+H360</f>
        <v>869000</v>
      </c>
      <c r="D360" s="8">
        <f>0+5000-5000+150000</f>
        <v>150000</v>
      </c>
      <c r="E360" s="8">
        <v>0</v>
      </c>
      <c r="F360" s="8">
        <v>500000</v>
      </c>
      <c r="G360" s="8">
        <v>219000</v>
      </c>
      <c r="H360" s="8"/>
      <c r="I360" s="44"/>
      <c r="J360" s="44"/>
      <c r="K360" s="44"/>
      <c r="L360" s="44"/>
      <c r="M360" s="44"/>
      <c r="N360" s="44"/>
      <c r="O360" s="44"/>
      <c r="P360" s="44"/>
      <c r="Q360" s="47"/>
      <c r="R360" s="44"/>
      <c r="S360" s="44"/>
      <c r="T360" s="44"/>
      <c r="U360" s="49"/>
    </row>
    <row r="361" spans="1:21" ht="15.95" customHeight="1" x14ac:dyDescent="0.2">
      <c r="A361" s="35"/>
      <c r="B361" s="25" t="s">
        <v>2</v>
      </c>
      <c r="C361" s="6">
        <f t="shared" ref="C361:C362" si="110">D361+E361+F361+G361+H361</f>
        <v>0</v>
      </c>
      <c r="D361" s="8"/>
      <c r="E361" s="8"/>
      <c r="F361" s="8"/>
      <c r="G361" s="8"/>
      <c r="H361" s="8"/>
      <c r="I361" s="44"/>
      <c r="J361" s="44"/>
      <c r="K361" s="44"/>
      <c r="L361" s="44"/>
      <c r="M361" s="44"/>
      <c r="N361" s="44"/>
      <c r="O361" s="44"/>
      <c r="P361" s="44"/>
      <c r="Q361" s="47"/>
      <c r="R361" s="44"/>
      <c r="S361" s="44"/>
      <c r="T361" s="44"/>
      <c r="U361" s="49"/>
    </row>
    <row r="362" spans="1:21" ht="15.95" customHeight="1" x14ac:dyDescent="0.2">
      <c r="A362" s="36"/>
      <c r="B362" s="25" t="s">
        <v>3</v>
      </c>
      <c r="C362" s="6">
        <f t="shared" si="110"/>
        <v>0</v>
      </c>
      <c r="D362" s="8"/>
      <c r="E362" s="8"/>
      <c r="F362" s="8"/>
      <c r="G362" s="8"/>
      <c r="H362" s="8"/>
      <c r="I362" s="45"/>
      <c r="J362" s="45"/>
      <c r="K362" s="45"/>
      <c r="L362" s="45"/>
      <c r="M362" s="45"/>
      <c r="N362" s="45"/>
      <c r="O362" s="45"/>
      <c r="P362" s="45"/>
      <c r="Q362" s="48"/>
      <c r="R362" s="45"/>
      <c r="S362" s="45"/>
      <c r="T362" s="45"/>
    </row>
    <row r="363" spans="1:21" ht="15.95" customHeight="1" x14ac:dyDescent="0.2">
      <c r="A363" s="34" t="s">
        <v>472</v>
      </c>
      <c r="B363" s="37" t="s">
        <v>89</v>
      </c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8"/>
    </row>
    <row r="364" spans="1:21" ht="15.95" customHeight="1" x14ac:dyDescent="0.2">
      <c r="A364" s="35" t="s">
        <v>74</v>
      </c>
      <c r="B364" s="54" t="s">
        <v>107</v>
      </c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</row>
    <row r="365" spans="1:21" ht="45" customHeight="1" x14ac:dyDescent="0.2">
      <c r="A365" s="35"/>
      <c r="B365" s="57" t="s">
        <v>380</v>
      </c>
      <c r="C365" s="58"/>
      <c r="D365" s="58"/>
      <c r="E365" s="58"/>
      <c r="F365" s="58"/>
      <c r="G365" s="58"/>
      <c r="H365" s="59"/>
      <c r="I365" s="49" t="s">
        <v>20</v>
      </c>
      <c r="J365" s="49"/>
      <c r="K365" s="49" t="s">
        <v>47</v>
      </c>
      <c r="L365" s="49" t="s">
        <v>97</v>
      </c>
      <c r="M365" s="49" t="s">
        <v>41</v>
      </c>
      <c r="N365" s="49" t="s">
        <v>98</v>
      </c>
      <c r="O365" s="49" t="s">
        <v>98</v>
      </c>
      <c r="P365" s="75" t="s">
        <v>422</v>
      </c>
      <c r="Q365" s="49" t="s">
        <v>7</v>
      </c>
      <c r="R365" s="49" t="s">
        <v>41</v>
      </c>
      <c r="S365" s="49" t="s">
        <v>34</v>
      </c>
      <c r="T365" s="49" t="s">
        <v>480</v>
      </c>
    </row>
    <row r="366" spans="1:21" ht="15.95" customHeight="1" x14ac:dyDescent="0.2">
      <c r="A366" s="35"/>
      <c r="B366" s="25" t="s">
        <v>5</v>
      </c>
      <c r="C366" s="6">
        <f t="shared" ref="C366:C367" si="111">D366+E366+F366+G366+H366</f>
        <v>28248.941690000003</v>
      </c>
      <c r="D366" s="8">
        <f t="shared" ref="D366:H366" si="112">SUM(D367:D370)</f>
        <v>28248.941690000003</v>
      </c>
      <c r="E366" s="8">
        <f t="shared" si="112"/>
        <v>0</v>
      </c>
      <c r="F366" s="8">
        <f t="shared" si="112"/>
        <v>0</v>
      </c>
      <c r="G366" s="8">
        <f t="shared" si="112"/>
        <v>0</v>
      </c>
      <c r="H366" s="8">
        <f t="shared" si="112"/>
        <v>0</v>
      </c>
      <c r="I366" s="49"/>
      <c r="J366" s="49"/>
      <c r="K366" s="49"/>
      <c r="L366" s="49"/>
      <c r="M366" s="49"/>
      <c r="N366" s="49"/>
      <c r="O366" s="49"/>
      <c r="P366" s="75"/>
      <c r="Q366" s="49"/>
      <c r="R366" s="49"/>
      <c r="S366" s="49"/>
      <c r="T366" s="49"/>
    </row>
    <row r="367" spans="1:21" ht="15.95" customHeight="1" x14ac:dyDescent="0.2">
      <c r="A367" s="35"/>
      <c r="B367" s="25" t="s">
        <v>0</v>
      </c>
      <c r="C367" s="6">
        <f t="shared" si="111"/>
        <v>0</v>
      </c>
      <c r="D367" s="8"/>
      <c r="E367" s="8"/>
      <c r="F367" s="8"/>
      <c r="G367" s="8"/>
      <c r="H367" s="8"/>
      <c r="I367" s="49"/>
      <c r="J367" s="49"/>
      <c r="K367" s="49"/>
      <c r="L367" s="49"/>
      <c r="M367" s="49"/>
      <c r="N367" s="49"/>
      <c r="O367" s="49"/>
      <c r="P367" s="75"/>
      <c r="Q367" s="49"/>
      <c r="R367" s="49"/>
      <c r="S367" s="49"/>
      <c r="T367" s="49"/>
    </row>
    <row r="368" spans="1:21" ht="15.95" customHeight="1" x14ac:dyDescent="0.2">
      <c r="A368" s="35"/>
      <c r="B368" s="25" t="s">
        <v>1</v>
      </c>
      <c r="C368" s="6">
        <f>D368+E368+F368+G368+H368</f>
        <v>27966.452270000002</v>
      </c>
      <c r="D368" s="8">
        <v>27966.452270000002</v>
      </c>
      <c r="E368" s="8"/>
      <c r="F368" s="8"/>
      <c r="G368" s="8"/>
      <c r="H368" s="8"/>
      <c r="I368" s="49"/>
      <c r="J368" s="49"/>
      <c r="K368" s="49"/>
      <c r="L368" s="49"/>
      <c r="M368" s="49"/>
      <c r="N368" s="49"/>
      <c r="O368" s="49"/>
      <c r="P368" s="75"/>
      <c r="Q368" s="49"/>
      <c r="R368" s="49"/>
      <c r="S368" s="49"/>
      <c r="T368" s="49"/>
    </row>
    <row r="369" spans="1:20" ht="15.95" customHeight="1" x14ac:dyDescent="0.2">
      <c r="A369" s="35"/>
      <c r="B369" s="25" t="s">
        <v>2</v>
      </c>
      <c r="C369" s="6">
        <f t="shared" ref="C369:C370" si="113">D369+E369+F369+G369+H369</f>
        <v>282.48942</v>
      </c>
      <c r="D369" s="8">
        <v>282.48942</v>
      </c>
      <c r="E369" s="8"/>
      <c r="F369" s="8"/>
      <c r="G369" s="8"/>
      <c r="H369" s="8"/>
      <c r="I369" s="49"/>
      <c r="J369" s="49"/>
      <c r="K369" s="49"/>
      <c r="L369" s="49"/>
      <c r="M369" s="49"/>
      <c r="N369" s="49"/>
      <c r="O369" s="49"/>
      <c r="P369" s="75"/>
      <c r="Q369" s="49"/>
      <c r="R369" s="49"/>
      <c r="S369" s="49"/>
      <c r="T369" s="49"/>
    </row>
    <row r="370" spans="1:20" ht="15.95" customHeight="1" x14ac:dyDescent="0.2">
      <c r="A370" s="36"/>
      <c r="B370" s="25" t="s">
        <v>3</v>
      </c>
      <c r="C370" s="6">
        <f t="shared" si="113"/>
        <v>0</v>
      </c>
      <c r="D370" s="8"/>
      <c r="E370" s="8"/>
      <c r="F370" s="8"/>
      <c r="G370" s="8"/>
      <c r="H370" s="8"/>
      <c r="I370" s="49"/>
      <c r="J370" s="49"/>
      <c r="K370" s="49"/>
      <c r="L370" s="49"/>
      <c r="M370" s="49"/>
      <c r="N370" s="49"/>
      <c r="O370" s="49"/>
      <c r="P370" s="75"/>
      <c r="Q370" s="49"/>
      <c r="R370" s="49"/>
      <c r="S370" s="49"/>
      <c r="T370" s="49"/>
    </row>
    <row r="371" spans="1:20" ht="15.95" customHeight="1" x14ac:dyDescent="0.2">
      <c r="A371" s="34" t="s">
        <v>703</v>
      </c>
      <c r="B371" s="37" t="s">
        <v>526</v>
      </c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8"/>
    </row>
    <row r="372" spans="1:20" ht="15.95" customHeight="1" x14ac:dyDescent="0.2">
      <c r="A372" s="35" t="s">
        <v>74</v>
      </c>
      <c r="B372" s="54" t="s">
        <v>107</v>
      </c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</row>
    <row r="373" spans="1:20" ht="45" customHeight="1" x14ac:dyDescent="0.2">
      <c r="A373" s="35"/>
      <c r="B373" s="57" t="s">
        <v>704</v>
      </c>
      <c r="C373" s="58"/>
      <c r="D373" s="58"/>
      <c r="E373" s="58"/>
      <c r="F373" s="58"/>
      <c r="G373" s="58"/>
      <c r="H373" s="59"/>
      <c r="I373" s="43" t="s">
        <v>20</v>
      </c>
      <c r="J373" s="43"/>
      <c r="K373" s="43" t="s">
        <v>42</v>
      </c>
      <c r="L373" s="43"/>
      <c r="M373" s="43" t="s">
        <v>737</v>
      </c>
      <c r="N373" s="43" t="s">
        <v>89</v>
      </c>
      <c r="O373" s="43" t="s">
        <v>737</v>
      </c>
      <c r="P373" s="46" t="s">
        <v>705</v>
      </c>
      <c r="Q373" s="43" t="s">
        <v>33</v>
      </c>
      <c r="R373" s="43" t="s">
        <v>706</v>
      </c>
      <c r="S373" s="43" t="s">
        <v>707</v>
      </c>
      <c r="T373" s="49" t="s">
        <v>708</v>
      </c>
    </row>
    <row r="374" spans="1:20" ht="15.95" customHeight="1" x14ac:dyDescent="0.2">
      <c r="A374" s="35"/>
      <c r="B374" s="28" t="s">
        <v>5</v>
      </c>
      <c r="C374" s="6">
        <f t="shared" ref="C374:C375" si="114">D374+E374+F374+G374+H374</f>
        <v>20500</v>
      </c>
      <c r="D374" s="8">
        <f t="shared" ref="D374:H374" si="115">SUM(D375:D378)</f>
        <v>20500</v>
      </c>
      <c r="E374" s="8">
        <f t="shared" si="115"/>
        <v>0</v>
      </c>
      <c r="F374" s="8">
        <f t="shared" si="115"/>
        <v>0</v>
      </c>
      <c r="G374" s="8">
        <f t="shared" si="115"/>
        <v>0</v>
      </c>
      <c r="H374" s="8">
        <f t="shared" si="115"/>
        <v>0</v>
      </c>
      <c r="I374" s="44"/>
      <c r="J374" s="44"/>
      <c r="K374" s="44"/>
      <c r="L374" s="44"/>
      <c r="M374" s="44"/>
      <c r="N374" s="44"/>
      <c r="O374" s="44"/>
      <c r="P374" s="47"/>
      <c r="Q374" s="44"/>
      <c r="R374" s="44"/>
      <c r="S374" s="44"/>
      <c r="T374" s="49"/>
    </row>
    <row r="375" spans="1:20" ht="15.95" customHeight="1" x14ac:dyDescent="0.2">
      <c r="A375" s="35"/>
      <c r="B375" s="28" t="s">
        <v>0</v>
      </c>
      <c r="C375" s="6">
        <f t="shared" si="114"/>
        <v>0</v>
      </c>
      <c r="D375" s="8"/>
      <c r="E375" s="8"/>
      <c r="F375" s="8"/>
      <c r="G375" s="8"/>
      <c r="H375" s="8"/>
      <c r="I375" s="44"/>
      <c r="J375" s="44"/>
      <c r="K375" s="44"/>
      <c r="L375" s="44"/>
      <c r="M375" s="44"/>
      <c r="N375" s="44"/>
      <c r="O375" s="44"/>
      <c r="P375" s="47"/>
      <c r="Q375" s="44"/>
      <c r="R375" s="44"/>
      <c r="S375" s="44"/>
      <c r="T375" s="49"/>
    </row>
    <row r="376" spans="1:20" ht="15.95" customHeight="1" x14ac:dyDescent="0.2">
      <c r="A376" s="35"/>
      <c r="B376" s="28" t="s">
        <v>1</v>
      </c>
      <c r="C376" s="6">
        <f>D376+E376+F376+G376+H376</f>
        <v>20500</v>
      </c>
      <c r="D376" s="8">
        <f>0+20500</f>
        <v>20500</v>
      </c>
      <c r="E376" s="8"/>
      <c r="F376" s="8"/>
      <c r="G376" s="8"/>
      <c r="H376" s="8"/>
      <c r="I376" s="44"/>
      <c r="J376" s="44"/>
      <c r="K376" s="44"/>
      <c r="L376" s="44"/>
      <c r="M376" s="44"/>
      <c r="N376" s="44"/>
      <c r="O376" s="44"/>
      <c r="P376" s="47"/>
      <c r="Q376" s="44"/>
      <c r="R376" s="44"/>
      <c r="S376" s="44"/>
      <c r="T376" s="49"/>
    </row>
    <row r="377" spans="1:20" ht="15.95" customHeight="1" x14ac:dyDescent="0.2">
      <c r="A377" s="35"/>
      <c r="B377" s="28" t="s">
        <v>2</v>
      </c>
      <c r="C377" s="6">
        <f t="shared" ref="C377:C378" si="116">D377+E377+F377+G377+H377</f>
        <v>0</v>
      </c>
      <c r="D377" s="8"/>
      <c r="E377" s="8"/>
      <c r="F377" s="8"/>
      <c r="G377" s="8"/>
      <c r="H377" s="8"/>
      <c r="I377" s="44"/>
      <c r="J377" s="44"/>
      <c r="K377" s="44"/>
      <c r="L377" s="44"/>
      <c r="M377" s="44"/>
      <c r="N377" s="44"/>
      <c r="O377" s="44"/>
      <c r="P377" s="47"/>
      <c r="Q377" s="44"/>
      <c r="R377" s="44"/>
      <c r="S377" s="44"/>
      <c r="T377" s="49"/>
    </row>
    <row r="378" spans="1:20" ht="15.95" customHeight="1" x14ac:dyDescent="0.2">
      <c r="A378" s="36"/>
      <c r="B378" s="28" t="s">
        <v>3</v>
      </c>
      <c r="C378" s="6">
        <f t="shared" si="116"/>
        <v>0</v>
      </c>
      <c r="D378" s="8"/>
      <c r="E378" s="8"/>
      <c r="F378" s="8"/>
      <c r="G378" s="8"/>
      <c r="H378" s="8"/>
      <c r="I378" s="45"/>
      <c r="J378" s="45"/>
      <c r="K378" s="45"/>
      <c r="L378" s="45"/>
      <c r="M378" s="45"/>
      <c r="N378" s="45"/>
      <c r="O378" s="45"/>
      <c r="P378" s="48"/>
      <c r="Q378" s="45"/>
      <c r="R378" s="45"/>
      <c r="S378" s="45"/>
      <c r="T378" s="49"/>
    </row>
    <row r="379" spans="1:20" ht="15.95" customHeight="1" x14ac:dyDescent="0.2">
      <c r="A379" s="78" t="s">
        <v>83</v>
      </c>
      <c r="B379" s="54" t="s">
        <v>108</v>
      </c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</row>
    <row r="380" spans="1:20" ht="15.95" customHeight="1" x14ac:dyDescent="0.2">
      <c r="A380" s="79"/>
      <c r="B380" s="22" t="s">
        <v>5</v>
      </c>
      <c r="C380" s="3">
        <f>SUM(C381:C384)</f>
        <v>1979520.8</v>
      </c>
      <c r="D380" s="3">
        <f>SUM(D381:D384)</f>
        <v>36300</v>
      </c>
      <c r="E380" s="3">
        <f t="shared" ref="E380" si="117">SUM(E381:E384)</f>
        <v>371460.5</v>
      </c>
      <c r="F380" s="3">
        <f t="shared" ref="F380" si="118">SUM(F381:F384)</f>
        <v>794470.3</v>
      </c>
      <c r="G380" s="3">
        <f t="shared" ref="G380:H380" si="119">SUM(G381:G384)</f>
        <v>777290</v>
      </c>
      <c r="H380" s="3">
        <f t="shared" si="119"/>
        <v>0</v>
      </c>
      <c r="I380" s="60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2"/>
    </row>
    <row r="381" spans="1:20" ht="15.95" customHeight="1" x14ac:dyDescent="0.2">
      <c r="A381" s="79"/>
      <c r="B381" s="22" t="s">
        <v>0</v>
      </c>
      <c r="C381" s="3">
        <f>D381+E381+F381+G381+H381</f>
        <v>1757530.3</v>
      </c>
      <c r="D381" s="3">
        <f>D389+D397+D405+D413</f>
        <v>0</v>
      </c>
      <c r="E381" s="3">
        <f t="shared" ref="E381:H381" si="120">E389+E397+E405+E413</f>
        <v>327194.5</v>
      </c>
      <c r="F381" s="3">
        <f t="shared" si="120"/>
        <v>691909.8</v>
      </c>
      <c r="G381" s="3">
        <f t="shared" si="120"/>
        <v>738426</v>
      </c>
      <c r="H381" s="3">
        <f t="shared" si="120"/>
        <v>0</v>
      </c>
      <c r="I381" s="63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5"/>
    </row>
    <row r="382" spans="1:20" ht="15.95" customHeight="1" x14ac:dyDescent="0.2">
      <c r="A382" s="79"/>
      <c r="B382" s="22" t="s">
        <v>1</v>
      </c>
      <c r="C382" s="3">
        <f>D382+E382+F382+G382+H382</f>
        <v>221990.5</v>
      </c>
      <c r="D382" s="3">
        <f t="shared" ref="D382:H384" si="121">D390+D398+D406+D414</f>
        <v>36300</v>
      </c>
      <c r="E382" s="3">
        <f t="shared" si="121"/>
        <v>44266</v>
      </c>
      <c r="F382" s="3">
        <f t="shared" si="121"/>
        <v>102560.5</v>
      </c>
      <c r="G382" s="3">
        <f t="shared" si="121"/>
        <v>38864</v>
      </c>
      <c r="H382" s="3">
        <f t="shared" si="121"/>
        <v>0</v>
      </c>
      <c r="I382" s="63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5"/>
    </row>
    <row r="383" spans="1:20" ht="15.95" customHeight="1" x14ac:dyDescent="0.2">
      <c r="A383" s="79"/>
      <c r="B383" s="22" t="s">
        <v>2</v>
      </c>
      <c r="C383" s="3">
        <f>D383+E383+F383+G383+H383</f>
        <v>0</v>
      </c>
      <c r="D383" s="3">
        <f t="shared" si="121"/>
        <v>0</v>
      </c>
      <c r="E383" s="3">
        <f t="shared" si="121"/>
        <v>0</v>
      </c>
      <c r="F383" s="3">
        <f t="shared" si="121"/>
        <v>0</v>
      </c>
      <c r="G383" s="3">
        <f t="shared" si="121"/>
        <v>0</v>
      </c>
      <c r="H383" s="3">
        <f t="shared" si="121"/>
        <v>0</v>
      </c>
      <c r="I383" s="63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5"/>
    </row>
    <row r="384" spans="1:20" ht="15.95" customHeight="1" x14ac:dyDescent="0.2">
      <c r="A384" s="80"/>
      <c r="B384" s="22" t="s">
        <v>3</v>
      </c>
      <c r="C384" s="3">
        <f t="shared" ref="C384" si="122">D384+E384+F384+G384+H384</f>
        <v>0</v>
      </c>
      <c r="D384" s="3">
        <f t="shared" si="121"/>
        <v>0</v>
      </c>
      <c r="E384" s="3">
        <f t="shared" si="121"/>
        <v>0</v>
      </c>
      <c r="F384" s="3">
        <f t="shared" si="121"/>
        <v>0</v>
      </c>
      <c r="G384" s="3">
        <f t="shared" si="121"/>
        <v>0</v>
      </c>
      <c r="H384" s="3">
        <f t="shared" si="121"/>
        <v>0</v>
      </c>
      <c r="I384" s="66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8"/>
    </row>
    <row r="385" spans="1:20" ht="15.95" customHeight="1" x14ac:dyDescent="0.2">
      <c r="A385" s="34" t="s">
        <v>182</v>
      </c>
      <c r="B385" s="37" t="s">
        <v>526</v>
      </c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8"/>
    </row>
    <row r="386" spans="1:20" ht="15.95" customHeight="1" x14ac:dyDescent="0.2">
      <c r="A386" s="35"/>
      <c r="B386" s="54" t="s">
        <v>455</v>
      </c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</row>
    <row r="387" spans="1:20" ht="45" customHeight="1" x14ac:dyDescent="0.2">
      <c r="A387" s="35"/>
      <c r="B387" s="57" t="s">
        <v>417</v>
      </c>
      <c r="C387" s="58"/>
      <c r="D387" s="58"/>
      <c r="E387" s="58"/>
      <c r="F387" s="58"/>
      <c r="G387" s="58"/>
      <c r="H387" s="59"/>
      <c r="I387" s="43" t="s">
        <v>20</v>
      </c>
      <c r="J387" s="43" t="s">
        <v>51</v>
      </c>
      <c r="K387" s="43" t="s">
        <v>42</v>
      </c>
      <c r="L387" s="43" t="s">
        <v>165</v>
      </c>
      <c r="M387" s="43" t="s">
        <v>737</v>
      </c>
      <c r="N387" s="43" t="s">
        <v>527</v>
      </c>
      <c r="O387" s="43" t="s">
        <v>737</v>
      </c>
      <c r="P387" s="46" t="s">
        <v>245</v>
      </c>
      <c r="Q387" s="43" t="s">
        <v>33</v>
      </c>
      <c r="R387" s="43" t="s">
        <v>8</v>
      </c>
      <c r="S387" s="43" t="s">
        <v>34</v>
      </c>
      <c r="T387" s="49"/>
    </row>
    <row r="388" spans="1:20" ht="15.95" customHeight="1" x14ac:dyDescent="0.2">
      <c r="A388" s="35"/>
      <c r="B388" s="33" t="s">
        <v>5</v>
      </c>
      <c r="C388" s="6">
        <f>D388+E388+F388+G388+H388</f>
        <v>20000</v>
      </c>
      <c r="D388" s="8">
        <f t="shared" ref="D388:H388" si="123">SUM(D389:D392)</f>
        <v>20000</v>
      </c>
      <c r="E388" s="8">
        <f t="shared" si="123"/>
        <v>0</v>
      </c>
      <c r="F388" s="8">
        <f t="shared" si="123"/>
        <v>0</v>
      </c>
      <c r="G388" s="8">
        <f t="shared" si="123"/>
        <v>0</v>
      </c>
      <c r="H388" s="8">
        <f t="shared" si="123"/>
        <v>0</v>
      </c>
      <c r="I388" s="44"/>
      <c r="J388" s="44"/>
      <c r="K388" s="44"/>
      <c r="L388" s="44"/>
      <c r="M388" s="44"/>
      <c r="N388" s="44"/>
      <c r="O388" s="44"/>
      <c r="P388" s="47"/>
      <c r="Q388" s="44"/>
      <c r="R388" s="44"/>
      <c r="S388" s="44"/>
      <c r="T388" s="49"/>
    </row>
    <row r="389" spans="1:20" ht="15.95" customHeight="1" x14ac:dyDescent="0.2">
      <c r="A389" s="35"/>
      <c r="B389" s="33" t="s">
        <v>0</v>
      </c>
      <c r="C389" s="6">
        <f>D389+E389+F389+G389+H389</f>
        <v>0</v>
      </c>
      <c r="D389" s="8"/>
      <c r="E389" s="8"/>
      <c r="F389" s="8"/>
      <c r="G389" s="8"/>
      <c r="H389" s="8"/>
      <c r="I389" s="44"/>
      <c r="J389" s="44"/>
      <c r="K389" s="44"/>
      <c r="L389" s="44"/>
      <c r="M389" s="44"/>
      <c r="N389" s="44"/>
      <c r="O389" s="44"/>
      <c r="P389" s="47"/>
      <c r="Q389" s="44"/>
      <c r="R389" s="44"/>
      <c r="S389" s="44"/>
      <c r="T389" s="49"/>
    </row>
    <row r="390" spans="1:20" ht="15.95" customHeight="1" x14ac:dyDescent="0.2">
      <c r="A390" s="35"/>
      <c r="B390" s="33" t="s">
        <v>1</v>
      </c>
      <c r="C390" s="6">
        <f>D390+E390+F390+G390+H390</f>
        <v>20000</v>
      </c>
      <c r="D390" s="8">
        <v>20000</v>
      </c>
      <c r="E390" s="8"/>
      <c r="F390" s="8"/>
      <c r="G390" s="8"/>
      <c r="H390" s="8"/>
      <c r="I390" s="44"/>
      <c r="J390" s="44"/>
      <c r="K390" s="44"/>
      <c r="L390" s="44"/>
      <c r="M390" s="44"/>
      <c r="N390" s="44"/>
      <c r="O390" s="44"/>
      <c r="P390" s="47"/>
      <c r="Q390" s="44"/>
      <c r="R390" s="44"/>
      <c r="S390" s="44"/>
      <c r="T390" s="49"/>
    </row>
    <row r="391" spans="1:20" ht="15.95" customHeight="1" x14ac:dyDescent="0.2">
      <c r="A391" s="35"/>
      <c r="B391" s="33" t="s">
        <v>2</v>
      </c>
      <c r="C391" s="6">
        <f>SUM(D391:H391)</f>
        <v>0</v>
      </c>
      <c r="D391" s="8"/>
      <c r="E391" s="8"/>
      <c r="F391" s="8"/>
      <c r="G391" s="8"/>
      <c r="H391" s="8"/>
      <c r="I391" s="44"/>
      <c r="J391" s="44"/>
      <c r="K391" s="44"/>
      <c r="L391" s="44"/>
      <c r="M391" s="44"/>
      <c r="N391" s="44"/>
      <c r="O391" s="44"/>
      <c r="P391" s="47"/>
      <c r="Q391" s="44"/>
      <c r="R391" s="44"/>
      <c r="S391" s="44"/>
      <c r="T391" s="49"/>
    </row>
    <row r="392" spans="1:20" ht="15.95" customHeight="1" x14ac:dyDescent="0.2">
      <c r="A392" s="36"/>
      <c r="B392" s="33" t="s">
        <v>3</v>
      </c>
      <c r="C392" s="6">
        <f>SUM(D392:H392)</f>
        <v>0</v>
      </c>
      <c r="D392" s="8"/>
      <c r="E392" s="8"/>
      <c r="F392" s="8"/>
      <c r="G392" s="8"/>
      <c r="H392" s="8"/>
      <c r="I392" s="45"/>
      <c r="J392" s="45"/>
      <c r="K392" s="45"/>
      <c r="L392" s="45"/>
      <c r="M392" s="45"/>
      <c r="N392" s="45"/>
      <c r="O392" s="45"/>
      <c r="P392" s="48"/>
      <c r="Q392" s="45"/>
      <c r="R392" s="45"/>
      <c r="S392" s="45"/>
      <c r="T392" s="49"/>
    </row>
    <row r="393" spans="1:20" ht="15.95" customHeight="1" x14ac:dyDescent="0.2">
      <c r="A393" s="34" t="s">
        <v>183</v>
      </c>
      <c r="B393" s="37" t="s">
        <v>527</v>
      </c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8"/>
    </row>
    <row r="394" spans="1:20" ht="15.95" customHeight="1" x14ac:dyDescent="0.2">
      <c r="A394" s="35"/>
      <c r="B394" s="54" t="s">
        <v>109</v>
      </c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</row>
    <row r="395" spans="1:20" ht="50.1" customHeight="1" x14ac:dyDescent="0.2">
      <c r="A395" s="35"/>
      <c r="B395" s="57" t="s">
        <v>268</v>
      </c>
      <c r="C395" s="58"/>
      <c r="D395" s="58"/>
      <c r="E395" s="58"/>
      <c r="F395" s="58"/>
      <c r="G395" s="58"/>
      <c r="H395" s="59"/>
      <c r="I395" s="49" t="s">
        <v>399</v>
      </c>
      <c r="J395" s="49" t="s">
        <v>51</v>
      </c>
      <c r="K395" s="49" t="s">
        <v>42</v>
      </c>
      <c r="L395" s="49" t="s">
        <v>81</v>
      </c>
      <c r="M395" s="49" t="s">
        <v>527</v>
      </c>
      <c r="N395" s="49" t="s">
        <v>527</v>
      </c>
      <c r="O395" s="49" t="s">
        <v>527</v>
      </c>
      <c r="P395" s="75" t="s">
        <v>247</v>
      </c>
      <c r="Q395" s="49" t="s">
        <v>33</v>
      </c>
      <c r="R395" s="49" t="s">
        <v>38</v>
      </c>
      <c r="S395" s="49" t="s">
        <v>34</v>
      </c>
      <c r="T395" s="49"/>
    </row>
    <row r="396" spans="1:20" ht="15.95" customHeight="1" x14ac:dyDescent="0.2">
      <c r="A396" s="35"/>
      <c r="B396" s="33" t="s">
        <v>5</v>
      </c>
      <c r="C396" s="6">
        <f t="shared" ref="C396:C397" si="124">D396+E396+F396+G396+H396</f>
        <v>92462</v>
      </c>
      <c r="D396" s="8">
        <f t="shared" ref="D396" si="125">SUM(D397:D400)</f>
        <v>1500</v>
      </c>
      <c r="E396" s="8">
        <f t="shared" ref="E396" si="126">SUM(E397:E400)</f>
        <v>40962</v>
      </c>
      <c r="F396" s="8">
        <f t="shared" ref="F396" si="127">SUM(F397:F400)</f>
        <v>50000</v>
      </c>
      <c r="G396" s="8">
        <f t="shared" ref="G396" si="128">SUM(G397:G400)</f>
        <v>0</v>
      </c>
      <c r="H396" s="8">
        <f t="shared" ref="H396" si="129">SUM(H397:H400)</f>
        <v>0</v>
      </c>
      <c r="I396" s="49"/>
      <c r="J396" s="49"/>
      <c r="K396" s="49"/>
      <c r="L396" s="49"/>
      <c r="M396" s="49"/>
      <c r="N396" s="49"/>
      <c r="O396" s="49"/>
      <c r="P396" s="75"/>
      <c r="Q396" s="49"/>
      <c r="R396" s="49"/>
      <c r="S396" s="49"/>
      <c r="T396" s="49"/>
    </row>
    <row r="397" spans="1:20" ht="15.95" customHeight="1" x14ac:dyDescent="0.2">
      <c r="A397" s="35"/>
      <c r="B397" s="33" t="s">
        <v>0</v>
      </c>
      <c r="C397" s="6">
        <f t="shared" si="124"/>
        <v>0</v>
      </c>
      <c r="D397" s="8">
        <f>28500-28500</f>
        <v>0</v>
      </c>
      <c r="E397" s="8">
        <f>819223-819223</f>
        <v>0</v>
      </c>
      <c r="F397" s="8">
        <f>950000-950000</f>
        <v>0</v>
      </c>
      <c r="G397" s="8"/>
      <c r="H397" s="8"/>
      <c r="I397" s="49"/>
      <c r="J397" s="49"/>
      <c r="K397" s="49"/>
      <c r="L397" s="49"/>
      <c r="M397" s="49"/>
      <c r="N397" s="49"/>
      <c r="O397" s="49"/>
      <c r="P397" s="75"/>
      <c r="Q397" s="49"/>
      <c r="R397" s="49"/>
      <c r="S397" s="49"/>
      <c r="T397" s="49"/>
    </row>
    <row r="398" spans="1:20" ht="15.95" customHeight="1" x14ac:dyDescent="0.2">
      <c r="A398" s="35"/>
      <c r="B398" s="33" t="s">
        <v>1</v>
      </c>
      <c r="C398" s="6">
        <f>D398+E398+F398+G398+H398</f>
        <v>92462</v>
      </c>
      <c r="D398" s="8">
        <v>1500</v>
      </c>
      <c r="E398" s="8">
        <v>40962</v>
      </c>
      <c r="F398" s="8">
        <v>50000</v>
      </c>
      <c r="G398" s="8"/>
      <c r="H398" s="8"/>
      <c r="I398" s="49"/>
      <c r="J398" s="49"/>
      <c r="K398" s="49"/>
      <c r="L398" s="49"/>
      <c r="M398" s="49"/>
      <c r="N398" s="49"/>
      <c r="O398" s="49"/>
      <c r="P398" s="75"/>
      <c r="Q398" s="49"/>
      <c r="R398" s="49"/>
      <c r="S398" s="49"/>
      <c r="T398" s="49"/>
    </row>
    <row r="399" spans="1:20" ht="15.95" customHeight="1" x14ac:dyDescent="0.2">
      <c r="A399" s="35"/>
      <c r="B399" s="33" t="s">
        <v>2</v>
      </c>
      <c r="C399" s="6">
        <f t="shared" ref="C399:C400" si="130">D399+E399+F399+G399+H399</f>
        <v>0</v>
      </c>
      <c r="D399" s="8"/>
      <c r="E399" s="8"/>
      <c r="F399" s="8"/>
      <c r="G399" s="8"/>
      <c r="H399" s="8"/>
      <c r="I399" s="49"/>
      <c r="J399" s="49"/>
      <c r="K399" s="49"/>
      <c r="L399" s="49"/>
      <c r="M399" s="49"/>
      <c r="N399" s="49"/>
      <c r="O399" s="49"/>
      <c r="P399" s="75"/>
      <c r="Q399" s="49"/>
      <c r="R399" s="49"/>
      <c r="S399" s="49"/>
      <c r="T399" s="49"/>
    </row>
    <row r="400" spans="1:20" ht="15.95" customHeight="1" x14ac:dyDescent="0.2">
      <c r="A400" s="35"/>
      <c r="B400" s="33" t="s">
        <v>3</v>
      </c>
      <c r="C400" s="6">
        <f t="shared" si="130"/>
        <v>0</v>
      </c>
      <c r="D400" s="8"/>
      <c r="E400" s="8"/>
      <c r="F400" s="8"/>
      <c r="G400" s="8"/>
      <c r="H400" s="8"/>
      <c r="I400" s="49"/>
      <c r="J400" s="49"/>
      <c r="K400" s="49"/>
      <c r="L400" s="49"/>
      <c r="M400" s="49"/>
      <c r="N400" s="49"/>
      <c r="O400" s="49"/>
      <c r="P400" s="75"/>
      <c r="Q400" s="49"/>
      <c r="R400" s="49"/>
      <c r="S400" s="49"/>
      <c r="T400" s="49"/>
    </row>
    <row r="401" spans="1:20" ht="15.95" customHeight="1" x14ac:dyDescent="0.2">
      <c r="A401" s="34" t="s">
        <v>184</v>
      </c>
      <c r="B401" s="37" t="s">
        <v>527</v>
      </c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8"/>
    </row>
    <row r="402" spans="1:20" ht="15.95" customHeight="1" x14ac:dyDescent="0.2">
      <c r="A402" s="35"/>
      <c r="B402" s="54" t="s">
        <v>109</v>
      </c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</row>
    <row r="403" spans="1:20" ht="50.1" customHeight="1" x14ac:dyDescent="0.2">
      <c r="A403" s="35"/>
      <c r="B403" s="57" t="s">
        <v>269</v>
      </c>
      <c r="C403" s="58"/>
      <c r="D403" s="58"/>
      <c r="E403" s="58"/>
      <c r="F403" s="58"/>
      <c r="G403" s="58"/>
      <c r="H403" s="59"/>
      <c r="I403" s="49" t="s">
        <v>400</v>
      </c>
      <c r="J403" s="49" t="s">
        <v>51</v>
      </c>
      <c r="K403" s="49" t="s">
        <v>42</v>
      </c>
      <c r="L403" s="49" t="s">
        <v>169</v>
      </c>
      <c r="M403" s="49" t="s">
        <v>527</v>
      </c>
      <c r="N403" s="49" t="s">
        <v>527</v>
      </c>
      <c r="O403" s="49" t="s">
        <v>527</v>
      </c>
      <c r="P403" s="75" t="s">
        <v>416</v>
      </c>
      <c r="Q403" s="49" t="s">
        <v>33</v>
      </c>
      <c r="R403" s="49" t="s">
        <v>38</v>
      </c>
      <c r="S403" s="49" t="s">
        <v>34</v>
      </c>
      <c r="T403" s="49"/>
    </row>
    <row r="404" spans="1:20" ht="15.95" customHeight="1" x14ac:dyDescent="0.2">
      <c r="A404" s="35"/>
      <c r="B404" s="33" t="s">
        <v>5</v>
      </c>
      <c r="C404" s="6">
        <f>D404+E404+F404+G404+H404</f>
        <v>819155</v>
      </c>
      <c r="D404" s="8">
        <f t="shared" ref="D404:H404" si="131">SUM(D405:D408)</f>
        <v>0</v>
      </c>
      <c r="E404" s="8">
        <f t="shared" si="131"/>
        <v>0</v>
      </c>
      <c r="F404" s="8">
        <f t="shared" ref="F404" si="132">SUM(F405:F408)</f>
        <v>41865</v>
      </c>
      <c r="G404" s="8">
        <f t="shared" si="131"/>
        <v>777290</v>
      </c>
      <c r="H404" s="8">
        <f t="shared" si="131"/>
        <v>0</v>
      </c>
      <c r="I404" s="49"/>
      <c r="J404" s="49"/>
      <c r="K404" s="49"/>
      <c r="L404" s="49"/>
      <c r="M404" s="49"/>
      <c r="N404" s="49"/>
      <c r="O404" s="49"/>
      <c r="P404" s="75"/>
      <c r="Q404" s="49"/>
      <c r="R404" s="49"/>
      <c r="S404" s="49"/>
      <c r="T404" s="49"/>
    </row>
    <row r="405" spans="1:20" ht="15.95" customHeight="1" x14ac:dyDescent="0.2">
      <c r="A405" s="35"/>
      <c r="B405" s="33" t="s">
        <v>0</v>
      </c>
      <c r="C405" s="6">
        <f>D405+E405+F405+G405+H405</f>
        <v>738426</v>
      </c>
      <c r="D405" s="8"/>
      <c r="E405" s="8"/>
      <c r="F405" s="8">
        <f>795426-795426</f>
        <v>0</v>
      </c>
      <c r="G405" s="8">
        <v>738426</v>
      </c>
      <c r="H405" s="8"/>
      <c r="I405" s="49"/>
      <c r="J405" s="49"/>
      <c r="K405" s="49"/>
      <c r="L405" s="49"/>
      <c r="M405" s="49"/>
      <c r="N405" s="49"/>
      <c r="O405" s="49"/>
      <c r="P405" s="75"/>
      <c r="Q405" s="49"/>
      <c r="R405" s="49"/>
      <c r="S405" s="49"/>
      <c r="T405" s="49"/>
    </row>
    <row r="406" spans="1:20" ht="15.95" customHeight="1" x14ac:dyDescent="0.2">
      <c r="A406" s="35"/>
      <c r="B406" s="33" t="s">
        <v>1</v>
      </c>
      <c r="C406" s="6">
        <f t="shared" ref="C406:C408" si="133">D406+E406+F406+G406+H406</f>
        <v>80729</v>
      </c>
      <c r="D406" s="8"/>
      <c r="E406" s="8"/>
      <c r="F406" s="8">
        <v>41865</v>
      </c>
      <c r="G406" s="8">
        <v>38864</v>
      </c>
      <c r="H406" s="8"/>
      <c r="I406" s="49"/>
      <c r="J406" s="49"/>
      <c r="K406" s="49"/>
      <c r="L406" s="49"/>
      <c r="M406" s="49"/>
      <c r="N406" s="49"/>
      <c r="O406" s="49"/>
      <c r="P406" s="75"/>
      <c r="Q406" s="49"/>
      <c r="R406" s="49"/>
      <c r="S406" s="49"/>
      <c r="T406" s="49"/>
    </row>
    <row r="407" spans="1:20" ht="15.95" customHeight="1" x14ac:dyDescent="0.2">
      <c r="A407" s="35"/>
      <c r="B407" s="33" t="s">
        <v>2</v>
      </c>
      <c r="C407" s="6">
        <f t="shared" si="133"/>
        <v>0</v>
      </c>
      <c r="D407" s="8"/>
      <c r="E407" s="8"/>
      <c r="F407" s="8"/>
      <c r="G407" s="8"/>
      <c r="H407" s="8"/>
      <c r="I407" s="49"/>
      <c r="J407" s="49"/>
      <c r="K407" s="49"/>
      <c r="L407" s="49"/>
      <c r="M407" s="49"/>
      <c r="N407" s="49"/>
      <c r="O407" s="49"/>
      <c r="P407" s="75"/>
      <c r="Q407" s="49"/>
      <c r="R407" s="49"/>
      <c r="S407" s="49"/>
      <c r="T407" s="49"/>
    </row>
    <row r="408" spans="1:20" ht="15.95" customHeight="1" x14ac:dyDescent="0.2">
      <c r="A408" s="35"/>
      <c r="B408" s="33" t="s">
        <v>3</v>
      </c>
      <c r="C408" s="6">
        <f t="shared" si="133"/>
        <v>0</v>
      </c>
      <c r="D408" s="8"/>
      <c r="E408" s="8"/>
      <c r="F408" s="8"/>
      <c r="G408" s="8"/>
      <c r="H408" s="8"/>
      <c r="I408" s="49"/>
      <c r="J408" s="49"/>
      <c r="K408" s="49"/>
      <c r="L408" s="49"/>
      <c r="M408" s="49"/>
      <c r="N408" s="49"/>
      <c r="O408" s="49"/>
      <c r="P408" s="75"/>
      <c r="Q408" s="49"/>
      <c r="R408" s="49"/>
      <c r="S408" s="49"/>
      <c r="T408" s="49"/>
    </row>
    <row r="409" spans="1:20" ht="15.95" customHeight="1" x14ac:dyDescent="0.2">
      <c r="A409" s="34" t="s">
        <v>288</v>
      </c>
      <c r="B409" s="37" t="s">
        <v>526</v>
      </c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8"/>
    </row>
    <row r="410" spans="1:20" ht="15.95" customHeight="1" x14ac:dyDescent="0.2">
      <c r="A410" s="35"/>
      <c r="B410" s="54" t="s">
        <v>244</v>
      </c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</row>
    <row r="411" spans="1:20" ht="50.1" customHeight="1" x14ac:dyDescent="0.2">
      <c r="A411" s="35"/>
      <c r="B411" s="57" t="s">
        <v>699</v>
      </c>
      <c r="C411" s="58"/>
      <c r="D411" s="58"/>
      <c r="E411" s="58"/>
      <c r="F411" s="58"/>
      <c r="G411" s="58"/>
      <c r="H411" s="59"/>
      <c r="I411" s="43" t="s">
        <v>29</v>
      </c>
      <c r="J411" s="43" t="s">
        <v>20</v>
      </c>
      <c r="K411" s="43" t="s">
        <v>42</v>
      </c>
      <c r="L411" s="43" t="s">
        <v>401</v>
      </c>
      <c r="M411" s="43" t="s">
        <v>737</v>
      </c>
      <c r="N411" s="43" t="s">
        <v>527</v>
      </c>
      <c r="O411" s="43" t="s">
        <v>737</v>
      </c>
      <c r="P411" s="46" t="s">
        <v>402</v>
      </c>
      <c r="Q411" s="43" t="s">
        <v>33</v>
      </c>
      <c r="R411" s="43" t="s">
        <v>8</v>
      </c>
      <c r="S411" s="43" t="s">
        <v>25</v>
      </c>
      <c r="T411" s="49" t="s">
        <v>481</v>
      </c>
    </row>
    <row r="412" spans="1:20" ht="15.95" customHeight="1" x14ac:dyDescent="0.2">
      <c r="A412" s="35"/>
      <c r="B412" s="33" t="s">
        <v>5</v>
      </c>
      <c r="C412" s="6">
        <f>D412+E412+F412+G412+H412</f>
        <v>1047903.8</v>
      </c>
      <c r="D412" s="8">
        <f t="shared" ref="D412:H412" si="134">SUM(D413:D416)</f>
        <v>14800</v>
      </c>
      <c r="E412" s="8">
        <f>SUM(E413:E416)</f>
        <v>330498.5</v>
      </c>
      <c r="F412" s="8">
        <f>SUM(F413:F416)</f>
        <v>702605.3</v>
      </c>
      <c r="G412" s="8">
        <f t="shared" si="134"/>
        <v>0</v>
      </c>
      <c r="H412" s="8">
        <f t="shared" si="134"/>
        <v>0</v>
      </c>
      <c r="I412" s="44"/>
      <c r="J412" s="44"/>
      <c r="K412" s="44"/>
      <c r="L412" s="44"/>
      <c r="M412" s="44"/>
      <c r="N412" s="44"/>
      <c r="O412" s="44"/>
      <c r="P412" s="47"/>
      <c r="Q412" s="44"/>
      <c r="R412" s="44"/>
      <c r="S412" s="44"/>
      <c r="T412" s="49"/>
    </row>
    <row r="413" spans="1:20" ht="15.95" customHeight="1" x14ac:dyDescent="0.2">
      <c r="A413" s="35"/>
      <c r="B413" s="33" t="s">
        <v>0</v>
      </c>
      <c r="C413" s="6">
        <f>D413+E413+F413+G413+H413</f>
        <v>1019104.3</v>
      </c>
      <c r="D413" s="8">
        <v>0</v>
      </c>
      <c r="E413" s="8">
        <f>327094.5+100</f>
        <v>327194.5</v>
      </c>
      <c r="F413" s="8">
        <f>1058805.5-366895.7</f>
        <v>691909.8</v>
      </c>
      <c r="G413" s="8">
        <v>0</v>
      </c>
      <c r="H413" s="8">
        <v>0</v>
      </c>
      <c r="I413" s="44"/>
      <c r="J413" s="44"/>
      <c r="K413" s="44"/>
      <c r="L413" s="44"/>
      <c r="M413" s="44"/>
      <c r="N413" s="44"/>
      <c r="O413" s="44"/>
      <c r="P413" s="47"/>
      <c r="Q413" s="44"/>
      <c r="R413" s="44"/>
      <c r="S413" s="44"/>
      <c r="T413" s="49"/>
    </row>
    <row r="414" spans="1:20" ht="15.95" customHeight="1" x14ac:dyDescent="0.2">
      <c r="A414" s="35"/>
      <c r="B414" s="33" t="s">
        <v>1</v>
      </c>
      <c r="C414" s="6">
        <f>D414+E414+F414+G414+H414</f>
        <v>28799.5</v>
      </c>
      <c r="D414" s="8">
        <v>14800</v>
      </c>
      <c r="E414" s="8">
        <v>3304</v>
      </c>
      <c r="F414" s="8">
        <v>10695.5</v>
      </c>
      <c r="G414" s="8">
        <v>0</v>
      </c>
      <c r="H414" s="8">
        <v>0</v>
      </c>
      <c r="I414" s="44"/>
      <c r="J414" s="44"/>
      <c r="K414" s="44"/>
      <c r="L414" s="44"/>
      <c r="M414" s="44"/>
      <c r="N414" s="44"/>
      <c r="O414" s="44"/>
      <c r="P414" s="47"/>
      <c r="Q414" s="44"/>
      <c r="R414" s="44"/>
      <c r="S414" s="44"/>
      <c r="T414" s="49"/>
    </row>
    <row r="415" spans="1:20" ht="15.95" customHeight="1" x14ac:dyDescent="0.2">
      <c r="A415" s="35"/>
      <c r="B415" s="33" t="s">
        <v>2</v>
      </c>
      <c r="C415" s="6">
        <f>D415+E415+F415+G415+H415</f>
        <v>0</v>
      </c>
      <c r="D415" s="8"/>
      <c r="E415" s="8"/>
      <c r="F415" s="8"/>
      <c r="G415" s="8"/>
      <c r="H415" s="8"/>
      <c r="I415" s="44"/>
      <c r="J415" s="44"/>
      <c r="K415" s="44"/>
      <c r="L415" s="44"/>
      <c r="M415" s="44"/>
      <c r="N415" s="44"/>
      <c r="O415" s="44"/>
      <c r="P415" s="47"/>
      <c r="Q415" s="44"/>
      <c r="R415" s="44"/>
      <c r="S415" s="44"/>
      <c r="T415" s="49"/>
    </row>
    <row r="416" spans="1:20" ht="15.95" customHeight="1" x14ac:dyDescent="0.2">
      <c r="A416" s="36"/>
      <c r="B416" s="33" t="s">
        <v>3</v>
      </c>
      <c r="C416" s="6">
        <f>D416+E416+F416+G416+H416</f>
        <v>0</v>
      </c>
      <c r="D416" s="8"/>
      <c r="E416" s="8"/>
      <c r="F416" s="8"/>
      <c r="G416" s="8"/>
      <c r="H416" s="8"/>
      <c r="I416" s="45"/>
      <c r="J416" s="45"/>
      <c r="K416" s="45"/>
      <c r="L416" s="45"/>
      <c r="M416" s="45"/>
      <c r="N416" s="45"/>
      <c r="O416" s="45"/>
      <c r="P416" s="48"/>
      <c r="Q416" s="45"/>
      <c r="R416" s="45"/>
      <c r="S416" s="45"/>
      <c r="T416" s="49"/>
    </row>
    <row r="417" spans="1:20" ht="15.95" customHeight="1" x14ac:dyDescent="0.2">
      <c r="A417" s="78" t="s">
        <v>85</v>
      </c>
      <c r="B417" s="54" t="s">
        <v>110</v>
      </c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</row>
    <row r="418" spans="1:20" ht="15.95" customHeight="1" x14ac:dyDescent="0.2">
      <c r="A418" s="79"/>
      <c r="B418" s="22" t="s">
        <v>5</v>
      </c>
      <c r="C418" s="3">
        <f>SUM(C419:C422)</f>
        <v>775199.03499000007</v>
      </c>
      <c r="D418" s="3">
        <f>SUM(D419:D422)</f>
        <v>229919.01208000001</v>
      </c>
      <c r="E418" s="3">
        <f t="shared" ref="E418" si="135">SUM(E419:E422)</f>
        <v>510832.73933999997</v>
      </c>
      <c r="F418" s="3">
        <f t="shared" ref="F418" si="136">SUM(F419:F422)</f>
        <v>34447.28357</v>
      </c>
      <c r="G418" s="3">
        <f t="shared" ref="G418:H418" si="137">SUM(G419:G422)</f>
        <v>0</v>
      </c>
      <c r="H418" s="3">
        <f t="shared" si="137"/>
        <v>0</v>
      </c>
      <c r="I418" s="60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2"/>
    </row>
    <row r="419" spans="1:20" ht="15.95" customHeight="1" x14ac:dyDescent="0.2">
      <c r="A419" s="79"/>
      <c r="B419" s="22" t="s">
        <v>0</v>
      </c>
      <c r="C419" s="3">
        <f>D419+E419+F419+G419+H419</f>
        <v>705878.4</v>
      </c>
      <c r="D419" s="3">
        <f>D427+D451+D435+D443</f>
        <v>193922</v>
      </c>
      <c r="E419" s="3">
        <f t="shared" ref="E419:H419" si="138">E427+E451+E435+E443</f>
        <v>479248</v>
      </c>
      <c r="F419" s="3">
        <f t="shared" si="138"/>
        <v>32708.400000000001</v>
      </c>
      <c r="G419" s="3">
        <f t="shared" si="138"/>
        <v>0</v>
      </c>
      <c r="H419" s="3">
        <f t="shared" si="138"/>
        <v>0</v>
      </c>
      <c r="I419" s="63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5"/>
    </row>
    <row r="420" spans="1:20" ht="15.95" customHeight="1" x14ac:dyDescent="0.2">
      <c r="A420" s="79"/>
      <c r="B420" s="22" t="s">
        <v>1</v>
      </c>
      <c r="C420" s="3">
        <f t="shared" ref="C420:C422" si="139">D420+E420+F420+G420+H420</f>
        <v>42102.58885</v>
      </c>
      <c r="D420" s="3">
        <f t="shared" ref="D420:H422" si="140">D428+D452+D436+D444</f>
        <v>35997.01208</v>
      </c>
      <c r="E420" s="3">
        <f t="shared" si="140"/>
        <v>6105.5767699999997</v>
      </c>
      <c r="F420" s="3">
        <f t="shared" si="140"/>
        <v>0</v>
      </c>
      <c r="G420" s="3">
        <f t="shared" si="140"/>
        <v>0</v>
      </c>
      <c r="H420" s="3">
        <f t="shared" si="140"/>
        <v>0</v>
      </c>
      <c r="I420" s="63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5"/>
    </row>
    <row r="421" spans="1:20" ht="15.95" customHeight="1" x14ac:dyDescent="0.2">
      <c r="A421" s="79"/>
      <c r="B421" s="22" t="s">
        <v>2</v>
      </c>
      <c r="C421" s="3">
        <f t="shared" si="139"/>
        <v>27218.046139999999</v>
      </c>
      <c r="D421" s="3">
        <f t="shared" si="140"/>
        <v>0</v>
      </c>
      <c r="E421" s="3">
        <f t="shared" si="140"/>
        <v>25479.16257</v>
      </c>
      <c r="F421" s="3">
        <f t="shared" si="140"/>
        <v>1738.88357</v>
      </c>
      <c r="G421" s="3">
        <f t="shared" si="140"/>
        <v>0</v>
      </c>
      <c r="H421" s="3">
        <f t="shared" si="140"/>
        <v>0</v>
      </c>
      <c r="I421" s="63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5"/>
    </row>
    <row r="422" spans="1:20" ht="15.95" customHeight="1" x14ac:dyDescent="0.2">
      <c r="A422" s="80"/>
      <c r="B422" s="22" t="s">
        <v>3</v>
      </c>
      <c r="C422" s="3">
        <f t="shared" si="139"/>
        <v>0</v>
      </c>
      <c r="D422" s="3">
        <f t="shared" si="140"/>
        <v>0</v>
      </c>
      <c r="E422" s="3">
        <f t="shared" si="140"/>
        <v>0</v>
      </c>
      <c r="F422" s="3">
        <f t="shared" si="140"/>
        <v>0</v>
      </c>
      <c r="G422" s="3">
        <f t="shared" si="140"/>
        <v>0</v>
      </c>
      <c r="H422" s="3">
        <f t="shared" si="140"/>
        <v>0</v>
      </c>
      <c r="I422" s="66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8"/>
    </row>
    <row r="423" spans="1:20" ht="15.95" customHeight="1" x14ac:dyDescent="0.2">
      <c r="A423" s="34" t="s">
        <v>185</v>
      </c>
      <c r="B423" s="37" t="s">
        <v>526</v>
      </c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8"/>
    </row>
    <row r="424" spans="1:20" ht="15.95" customHeight="1" x14ac:dyDescent="0.2">
      <c r="A424" s="35" t="s">
        <v>74</v>
      </c>
      <c r="B424" s="54" t="s">
        <v>111</v>
      </c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</row>
    <row r="425" spans="1:20" ht="50.1" customHeight="1" x14ac:dyDescent="0.2">
      <c r="A425" s="35"/>
      <c r="B425" s="57" t="s">
        <v>137</v>
      </c>
      <c r="C425" s="58"/>
      <c r="D425" s="58"/>
      <c r="E425" s="58"/>
      <c r="F425" s="58"/>
      <c r="G425" s="58"/>
      <c r="H425" s="59"/>
      <c r="I425" s="43" t="s">
        <v>20</v>
      </c>
      <c r="J425" s="43"/>
      <c r="K425" s="43" t="s">
        <v>42</v>
      </c>
      <c r="L425" s="43" t="s">
        <v>113</v>
      </c>
      <c r="M425" s="43" t="s">
        <v>737</v>
      </c>
      <c r="N425" s="43" t="s">
        <v>112</v>
      </c>
      <c r="O425" s="43" t="s">
        <v>737</v>
      </c>
      <c r="P425" s="46" t="s">
        <v>114</v>
      </c>
      <c r="Q425" s="43" t="s">
        <v>33</v>
      </c>
      <c r="R425" s="43" t="s">
        <v>8</v>
      </c>
      <c r="S425" s="43" t="s">
        <v>35</v>
      </c>
      <c r="T425" s="49" t="s">
        <v>482</v>
      </c>
    </row>
    <row r="426" spans="1:20" ht="15.95" customHeight="1" x14ac:dyDescent="0.2">
      <c r="A426" s="35"/>
      <c r="B426" s="25" t="s">
        <v>5</v>
      </c>
      <c r="C426" s="6">
        <f>D426+E426+F426+G426+H426</f>
        <v>204635.11</v>
      </c>
      <c r="D426" s="8">
        <f t="shared" ref="D426:F426" si="141">SUM(D427:D430)</f>
        <v>204635.11</v>
      </c>
      <c r="E426" s="8">
        <f t="shared" si="141"/>
        <v>0</v>
      </c>
      <c r="F426" s="8">
        <f t="shared" si="141"/>
        <v>0</v>
      </c>
      <c r="G426" s="8">
        <f t="shared" ref="G426:H426" si="142">SUM(G427:G430)</f>
        <v>0</v>
      </c>
      <c r="H426" s="8">
        <f t="shared" si="142"/>
        <v>0</v>
      </c>
      <c r="I426" s="44"/>
      <c r="J426" s="44"/>
      <c r="K426" s="44"/>
      <c r="L426" s="44"/>
      <c r="M426" s="44"/>
      <c r="N426" s="44"/>
      <c r="O426" s="44"/>
      <c r="P426" s="47"/>
      <c r="Q426" s="44"/>
      <c r="R426" s="44"/>
      <c r="S426" s="44"/>
      <c r="T426" s="49"/>
    </row>
    <row r="427" spans="1:20" ht="15.95" customHeight="1" x14ac:dyDescent="0.2">
      <c r="A427" s="35"/>
      <c r="B427" s="25" t="s">
        <v>0</v>
      </c>
      <c r="C427" s="6">
        <f>D427+E427+F427+G427+H427</f>
        <v>193922</v>
      </c>
      <c r="D427" s="8">
        <v>193922</v>
      </c>
      <c r="E427" s="8"/>
      <c r="F427" s="8"/>
      <c r="G427" s="8"/>
      <c r="H427" s="8"/>
      <c r="I427" s="44"/>
      <c r="J427" s="44"/>
      <c r="K427" s="44"/>
      <c r="L427" s="44"/>
      <c r="M427" s="44"/>
      <c r="N427" s="44"/>
      <c r="O427" s="44"/>
      <c r="P427" s="47"/>
      <c r="Q427" s="44"/>
      <c r="R427" s="44"/>
      <c r="S427" s="44"/>
      <c r="T427" s="49"/>
    </row>
    <row r="428" spans="1:20" ht="15.75" customHeight="1" x14ac:dyDescent="0.2">
      <c r="A428" s="35"/>
      <c r="B428" s="25" t="s">
        <v>1</v>
      </c>
      <c r="C428" s="6">
        <f>D428+E428+F428+G428+H428</f>
        <v>10713.11</v>
      </c>
      <c r="D428" s="8">
        <v>10713.11</v>
      </c>
      <c r="E428" s="8"/>
      <c r="F428" s="8"/>
      <c r="G428" s="8"/>
      <c r="H428" s="8"/>
      <c r="I428" s="44"/>
      <c r="J428" s="44"/>
      <c r="K428" s="44"/>
      <c r="L428" s="44"/>
      <c r="M428" s="44"/>
      <c r="N428" s="44"/>
      <c r="O428" s="44"/>
      <c r="P428" s="47"/>
      <c r="Q428" s="44"/>
      <c r="R428" s="44"/>
      <c r="S428" s="44"/>
      <c r="T428" s="49"/>
    </row>
    <row r="429" spans="1:20" ht="15.95" customHeight="1" x14ac:dyDescent="0.2">
      <c r="A429" s="35"/>
      <c r="B429" s="25" t="s">
        <v>2</v>
      </c>
      <c r="C429" s="6">
        <f>SUM(D429:H429)</f>
        <v>0</v>
      </c>
      <c r="D429" s="8"/>
      <c r="E429" s="8"/>
      <c r="F429" s="8"/>
      <c r="G429" s="8"/>
      <c r="H429" s="8"/>
      <c r="I429" s="44"/>
      <c r="J429" s="44"/>
      <c r="K429" s="44"/>
      <c r="L429" s="44"/>
      <c r="M429" s="44"/>
      <c r="N429" s="44"/>
      <c r="O429" s="44"/>
      <c r="P429" s="47"/>
      <c r="Q429" s="44"/>
      <c r="R429" s="44"/>
      <c r="S429" s="44"/>
      <c r="T429" s="49"/>
    </row>
    <row r="430" spans="1:20" ht="15.95" customHeight="1" x14ac:dyDescent="0.2">
      <c r="A430" s="36"/>
      <c r="B430" s="25" t="s">
        <v>3</v>
      </c>
      <c r="C430" s="6">
        <f>SUM(D430:H430)</f>
        <v>0</v>
      </c>
      <c r="D430" s="8"/>
      <c r="E430" s="8"/>
      <c r="F430" s="8"/>
      <c r="G430" s="8"/>
      <c r="H430" s="8"/>
      <c r="I430" s="45"/>
      <c r="J430" s="45"/>
      <c r="K430" s="45"/>
      <c r="L430" s="45"/>
      <c r="M430" s="45"/>
      <c r="N430" s="45"/>
      <c r="O430" s="45"/>
      <c r="P430" s="48"/>
      <c r="Q430" s="45"/>
      <c r="R430" s="45"/>
      <c r="S430" s="45"/>
      <c r="T430" s="49"/>
    </row>
    <row r="431" spans="1:20" ht="15.95" customHeight="1" x14ac:dyDescent="0.2">
      <c r="A431" s="34" t="s">
        <v>186</v>
      </c>
      <c r="B431" s="37" t="s">
        <v>526</v>
      </c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8"/>
    </row>
    <row r="432" spans="1:20" ht="15.95" customHeight="1" x14ac:dyDescent="0.2">
      <c r="A432" s="35" t="s">
        <v>74</v>
      </c>
      <c r="B432" s="54" t="s">
        <v>111</v>
      </c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</row>
    <row r="433" spans="1:20" ht="50.1" customHeight="1" x14ac:dyDescent="0.2">
      <c r="A433" s="35"/>
      <c r="B433" s="51" t="s">
        <v>673</v>
      </c>
      <c r="C433" s="52"/>
      <c r="D433" s="52"/>
      <c r="E433" s="52"/>
      <c r="F433" s="52"/>
      <c r="G433" s="52"/>
      <c r="H433" s="53"/>
      <c r="I433" s="43" t="s">
        <v>24</v>
      </c>
      <c r="J433" s="43" t="s">
        <v>20</v>
      </c>
      <c r="K433" s="43" t="s">
        <v>47</v>
      </c>
      <c r="L433" s="43" t="s">
        <v>664</v>
      </c>
      <c r="M433" s="43" t="s">
        <v>665</v>
      </c>
      <c r="N433" s="43" t="s">
        <v>112</v>
      </c>
      <c r="O433" s="43" t="s">
        <v>666</v>
      </c>
      <c r="P433" s="46" t="s">
        <v>667</v>
      </c>
      <c r="Q433" s="43" t="s">
        <v>7</v>
      </c>
      <c r="R433" s="43" t="s">
        <v>668</v>
      </c>
      <c r="S433" s="43" t="s">
        <v>34</v>
      </c>
      <c r="T433" s="49"/>
    </row>
    <row r="434" spans="1:20" ht="15.95" customHeight="1" x14ac:dyDescent="0.2">
      <c r="A434" s="35"/>
      <c r="B434" s="25" t="s">
        <v>5</v>
      </c>
      <c r="C434" s="6">
        <f>D434+E434+F434+G434+H434</f>
        <v>398457.31524999999</v>
      </c>
      <c r="D434" s="6">
        <f t="shared" ref="D434:H434" si="143">SUM(D435:D438)</f>
        <v>0</v>
      </c>
      <c r="E434" s="6">
        <f>SUM(E435:E438)</f>
        <v>364010.03167999996</v>
      </c>
      <c r="F434" s="6">
        <f>SUM(F435:F438)</f>
        <v>34447.28357</v>
      </c>
      <c r="G434" s="6">
        <f t="shared" si="143"/>
        <v>0</v>
      </c>
      <c r="H434" s="8">
        <f t="shared" si="143"/>
        <v>0</v>
      </c>
      <c r="I434" s="44"/>
      <c r="J434" s="44"/>
      <c r="K434" s="44"/>
      <c r="L434" s="44"/>
      <c r="M434" s="44"/>
      <c r="N434" s="44"/>
      <c r="O434" s="44"/>
      <c r="P434" s="47"/>
      <c r="Q434" s="44"/>
      <c r="R434" s="44"/>
      <c r="S434" s="44"/>
      <c r="T434" s="49"/>
    </row>
    <row r="435" spans="1:20" ht="15.95" customHeight="1" x14ac:dyDescent="0.2">
      <c r="A435" s="35"/>
      <c r="B435" s="25" t="s">
        <v>0</v>
      </c>
      <c r="C435" s="6">
        <f>D435+E435+F435+G435+H435</f>
        <v>375000</v>
      </c>
      <c r="D435" s="8">
        <v>0</v>
      </c>
      <c r="E435" s="8">
        <v>342291.6</v>
      </c>
      <c r="F435" s="8">
        <v>32708.400000000001</v>
      </c>
      <c r="G435" s="8"/>
      <c r="H435" s="8"/>
      <c r="I435" s="44"/>
      <c r="J435" s="44"/>
      <c r="K435" s="44"/>
      <c r="L435" s="44"/>
      <c r="M435" s="44"/>
      <c r="N435" s="44"/>
      <c r="O435" s="44"/>
      <c r="P435" s="47"/>
      <c r="Q435" s="44"/>
      <c r="R435" s="44"/>
      <c r="S435" s="44"/>
      <c r="T435" s="49"/>
    </row>
    <row r="436" spans="1:20" ht="15.95" customHeight="1" x14ac:dyDescent="0.2">
      <c r="A436" s="35"/>
      <c r="B436" s="25" t="s">
        <v>1</v>
      </c>
      <c r="C436" s="6">
        <f>D436+E436+F436+G436+H436</f>
        <v>3521.1111099999998</v>
      </c>
      <c r="D436" s="8">
        <v>0</v>
      </c>
      <c r="E436" s="8">
        <v>3521.1111099999998</v>
      </c>
      <c r="F436" s="8"/>
      <c r="G436" s="8"/>
      <c r="H436" s="8"/>
      <c r="I436" s="44"/>
      <c r="J436" s="44"/>
      <c r="K436" s="44"/>
      <c r="L436" s="44"/>
      <c r="M436" s="44"/>
      <c r="N436" s="44"/>
      <c r="O436" s="44"/>
      <c r="P436" s="47"/>
      <c r="Q436" s="44"/>
      <c r="R436" s="44"/>
      <c r="S436" s="44"/>
      <c r="T436" s="49"/>
    </row>
    <row r="437" spans="1:20" ht="15.95" customHeight="1" x14ac:dyDescent="0.2">
      <c r="A437" s="35"/>
      <c r="B437" s="25" t="s">
        <v>2</v>
      </c>
      <c r="C437" s="6">
        <f>D437+E437+F437+G437+H437</f>
        <v>19936.204140000002</v>
      </c>
      <c r="D437" s="8"/>
      <c r="E437" s="8">
        <v>18197.32057</v>
      </c>
      <c r="F437" s="8">
        <v>1738.88357</v>
      </c>
      <c r="G437" s="8"/>
      <c r="H437" s="8"/>
      <c r="I437" s="44"/>
      <c r="J437" s="44"/>
      <c r="K437" s="44"/>
      <c r="L437" s="44"/>
      <c r="M437" s="44"/>
      <c r="N437" s="44"/>
      <c r="O437" s="44"/>
      <c r="P437" s="47"/>
      <c r="Q437" s="44"/>
      <c r="R437" s="44"/>
      <c r="S437" s="44"/>
      <c r="T437" s="49"/>
    </row>
    <row r="438" spans="1:20" ht="15.95" customHeight="1" x14ac:dyDescent="0.2">
      <c r="A438" s="36"/>
      <c r="B438" s="25" t="s">
        <v>3</v>
      </c>
      <c r="C438" s="6">
        <f>D438+E438+F438+G438+H438</f>
        <v>0</v>
      </c>
      <c r="D438" s="8"/>
      <c r="E438" s="8"/>
      <c r="F438" s="8"/>
      <c r="G438" s="8"/>
      <c r="H438" s="8"/>
      <c r="I438" s="45"/>
      <c r="J438" s="45"/>
      <c r="K438" s="45"/>
      <c r="L438" s="45"/>
      <c r="M438" s="45"/>
      <c r="N438" s="45"/>
      <c r="O438" s="45"/>
      <c r="P438" s="48"/>
      <c r="Q438" s="45"/>
      <c r="R438" s="45"/>
      <c r="S438" s="45"/>
      <c r="T438" s="49"/>
    </row>
    <row r="439" spans="1:20" ht="15.95" customHeight="1" x14ac:dyDescent="0.2">
      <c r="A439" s="34" t="s">
        <v>289</v>
      </c>
      <c r="B439" s="37" t="s">
        <v>526</v>
      </c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8"/>
    </row>
    <row r="440" spans="1:20" ht="15.95" customHeight="1" x14ac:dyDescent="0.2">
      <c r="A440" s="35" t="s">
        <v>74</v>
      </c>
      <c r="B440" s="54" t="s">
        <v>111</v>
      </c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</row>
    <row r="441" spans="1:20" ht="50.1" customHeight="1" x14ac:dyDescent="0.2">
      <c r="A441" s="35"/>
      <c r="B441" s="51" t="s">
        <v>669</v>
      </c>
      <c r="C441" s="52"/>
      <c r="D441" s="52"/>
      <c r="E441" s="52"/>
      <c r="F441" s="52"/>
      <c r="G441" s="52"/>
      <c r="H441" s="53"/>
      <c r="I441" s="43" t="s">
        <v>24</v>
      </c>
      <c r="J441" s="43" t="s">
        <v>20</v>
      </c>
      <c r="K441" s="43" t="s">
        <v>47</v>
      </c>
      <c r="L441" s="43" t="s">
        <v>403</v>
      </c>
      <c r="M441" s="43" t="s">
        <v>94</v>
      </c>
      <c r="N441" s="43" t="s">
        <v>112</v>
      </c>
      <c r="O441" s="43" t="s">
        <v>670</v>
      </c>
      <c r="P441" s="46" t="s">
        <v>671</v>
      </c>
      <c r="Q441" s="43" t="s">
        <v>7</v>
      </c>
      <c r="R441" s="43" t="s">
        <v>672</v>
      </c>
      <c r="S441" s="43" t="s">
        <v>34</v>
      </c>
      <c r="T441" s="49"/>
    </row>
    <row r="442" spans="1:20" ht="15.95" customHeight="1" x14ac:dyDescent="0.2">
      <c r="A442" s="35"/>
      <c r="B442" s="25" t="s">
        <v>5</v>
      </c>
      <c r="C442" s="6">
        <f>D442+E442+F442+G442+H442</f>
        <v>146822.70765999999</v>
      </c>
      <c r="D442" s="6">
        <f t="shared" ref="D442:H442" si="144">SUM(D443:D446)</f>
        <v>0</v>
      </c>
      <c r="E442" s="6">
        <f>SUM(E443:E446)</f>
        <v>146822.70765999999</v>
      </c>
      <c r="F442" s="6">
        <f>SUM(F443:F446)</f>
        <v>0</v>
      </c>
      <c r="G442" s="6">
        <f t="shared" si="144"/>
        <v>0</v>
      </c>
      <c r="H442" s="8">
        <f t="shared" si="144"/>
        <v>0</v>
      </c>
      <c r="I442" s="44"/>
      <c r="J442" s="44"/>
      <c r="K442" s="44"/>
      <c r="L442" s="44"/>
      <c r="M442" s="44"/>
      <c r="N442" s="44"/>
      <c r="O442" s="44"/>
      <c r="P442" s="47"/>
      <c r="Q442" s="44"/>
      <c r="R442" s="44"/>
      <c r="S442" s="44"/>
      <c r="T442" s="49"/>
    </row>
    <row r="443" spans="1:20" ht="15.95" customHeight="1" x14ac:dyDescent="0.2">
      <c r="A443" s="35"/>
      <c r="B443" s="25" t="s">
        <v>0</v>
      </c>
      <c r="C443" s="6">
        <f>D443+E443+F443+G443+H443</f>
        <v>136956.4</v>
      </c>
      <c r="D443" s="8"/>
      <c r="E443" s="8">
        <v>136956.4</v>
      </c>
      <c r="F443" s="8"/>
      <c r="G443" s="8"/>
      <c r="H443" s="8"/>
      <c r="I443" s="44"/>
      <c r="J443" s="44"/>
      <c r="K443" s="44"/>
      <c r="L443" s="44"/>
      <c r="M443" s="44"/>
      <c r="N443" s="44"/>
      <c r="O443" s="44"/>
      <c r="P443" s="47"/>
      <c r="Q443" s="44"/>
      <c r="R443" s="44"/>
      <c r="S443" s="44"/>
      <c r="T443" s="49"/>
    </row>
    <row r="444" spans="1:20" ht="15.95" customHeight="1" x14ac:dyDescent="0.2">
      <c r="A444" s="35"/>
      <c r="B444" s="25" t="s">
        <v>1</v>
      </c>
      <c r="C444" s="6">
        <f>D444+E444+F444+G444+H444</f>
        <v>2584.4656599999998</v>
      </c>
      <c r="D444" s="8">
        <v>0</v>
      </c>
      <c r="E444" s="8">
        <v>2584.4656599999998</v>
      </c>
      <c r="F444" s="8"/>
      <c r="G444" s="8"/>
      <c r="H444" s="8"/>
      <c r="I444" s="44"/>
      <c r="J444" s="44"/>
      <c r="K444" s="44"/>
      <c r="L444" s="44"/>
      <c r="M444" s="44"/>
      <c r="N444" s="44"/>
      <c r="O444" s="44"/>
      <c r="P444" s="47"/>
      <c r="Q444" s="44"/>
      <c r="R444" s="44"/>
      <c r="S444" s="44"/>
      <c r="T444" s="49"/>
    </row>
    <row r="445" spans="1:20" ht="15.95" customHeight="1" x14ac:dyDescent="0.2">
      <c r="A445" s="35"/>
      <c r="B445" s="25" t="s">
        <v>2</v>
      </c>
      <c r="C445" s="6">
        <f>D445+E445+F445+G445+H445</f>
        <v>7281.8419999999996</v>
      </c>
      <c r="D445" s="8"/>
      <c r="E445" s="8">
        <v>7281.8419999999996</v>
      </c>
      <c r="F445" s="8"/>
      <c r="G445" s="8"/>
      <c r="H445" s="8"/>
      <c r="I445" s="44"/>
      <c r="J445" s="44"/>
      <c r="K445" s="44"/>
      <c r="L445" s="44"/>
      <c r="M445" s="44"/>
      <c r="N445" s="44"/>
      <c r="O445" s="44"/>
      <c r="P445" s="47"/>
      <c r="Q445" s="44"/>
      <c r="R445" s="44"/>
      <c r="S445" s="44"/>
      <c r="T445" s="49"/>
    </row>
    <row r="446" spans="1:20" ht="15.95" customHeight="1" x14ac:dyDescent="0.2">
      <c r="A446" s="36"/>
      <c r="B446" s="25" t="s">
        <v>3</v>
      </c>
      <c r="C446" s="6">
        <f>D446+E446+F446+G446+H446</f>
        <v>0</v>
      </c>
      <c r="D446" s="8"/>
      <c r="E446" s="8"/>
      <c r="F446" s="8"/>
      <c r="G446" s="8"/>
      <c r="H446" s="8"/>
      <c r="I446" s="45"/>
      <c r="J446" s="45"/>
      <c r="K446" s="45"/>
      <c r="L446" s="45"/>
      <c r="M446" s="45"/>
      <c r="N446" s="45"/>
      <c r="O446" s="45"/>
      <c r="P446" s="48"/>
      <c r="Q446" s="45"/>
      <c r="R446" s="45"/>
      <c r="S446" s="45"/>
      <c r="T446" s="49"/>
    </row>
    <row r="447" spans="1:20" ht="15.95" customHeight="1" x14ac:dyDescent="0.2">
      <c r="A447" s="34" t="s">
        <v>187</v>
      </c>
      <c r="B447" s="37" t="s">
        <v>112</v>
      </c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8"/>
    </row>
    <row r="448" spans="1:20" ht="15.95" customHeight="1" x14ac:dyDescent="0.2">
      <c r="A448" s="35" t="s">
        <v>74</v>
      </c>
      <c r="B448" s="54" t="s">
        <v>111</v>
      </c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</row>
    <row r="449" spans="1:20" ht="50.1" customHeight="1" x14ac:dyDescent="0.2">
      <c r="A449" s="35"/>
      <c r="B449" s="51" t="s">
        <v>404</v>
      </c>
      <c r="C449" s="52"/>
      <c r="D449" s="52"/>
      <c r="E449" s="52"/>
      <c r="F449" s="52"/>
      <c r="G449" s="52"/>
      <c r="H449" s="53"/>
      <c r="I449" s="43" t="s">
        <v>20</v>
      </c>
      <c r="J449" s="43"/>
      <c r="K449" s="43" t="s">
        <v>452</v>
      </c>
      <c r="L449" s="49" t="s">
        <v>138</v>
      </c>
      <c r="M449" s="49" t="s">
        <v>139</v>
      </c>
      <c r="N449" s="49" t="s">
        <v>112</v>
      </c>
      <c r="O449" s="49" t="s">
        <v>139</v>
      </c>
      <c r="P449" s="75" t="s">
        <v>140</v>
      </c>
      <c r="Q449" s="49" t="s">
        <v>33</v>
      </c>
      <c r="R449" s="49" t="s">
        <v>38</v>
      </c>
      <c r="S449" s="49" t="s">
        <v>35</v>
      </c>
      <c r="T449" s="49" t="s">
        <v>483</v>
      </c>
    </row>
    <row r="450" spans="1:20" ht="15.95" customHeight="1" x14ac:dyDescent="0.2">
      <c r="A450" s="35"/>
      <c r="B450" s="25" t="s">
        <v>5</v>
      </c>
      <c r="C450" s="6">
        <f t="shared" ref="C450:C451" si="145">D450+E450+F450+G450+H450</f>
        <v>25283.90208</v>
      </c>
      <c r="D450" s="6">
        <f t="shared" ref="D450:F450" si="146">SUM(D451:D454)</f>
        <v>25283.90208</v>
      </c>
      <c r="E450" s="6">
        <f t="shared" si="146"/>
        <v>0</v>
      </c>
      <c r="F450" s="6">
        <f t="shared" si="146"/>
        <v>0</v>
      </c>
      <c r="G450" s="8">
        <f t="shared" ref="G450" si="147">SUM(G451:G454)</f>
        <v>0</v>
      </c>
      <c r="H450" s="8">
        <f t="shared" ref="H450" si="148">SUM(H451:H454)</f>
        <v>0</v>
      </c>
      <c r="I450" s="44"/>
      <c r="J450" s="44"/>
      <c r="K450" s="44"/>
      <c r="L450" s="49"/>
      <c r="M450" s="49"/>
      <c r="N450" s="49"/>
      <c r="O450" s="49"/>
      <c r="P450" s="75"/>
      <c r="Q450" s="49"/>
      <c r="R450" s="49"/>
      <c r="S450" s="49"/>
      <c r="T450" s="49"/>
    </row>
    <row r="451" spans="1:20" ht="15.95" customHeight="1" x14ac:dyDescent="0.2">
      <c r="A451" s="35"/>
      <c r="B451" s="25" t="s">
        <v>0</v>
      </c>
      <c r="C451" s="6">
        <f t="shared" si="145"/>
        <v>0</v>
      </c>
      <c r="D451" s="8"/>
      <c r="E451" s="8"/>
      <c r="F451" s="8"/>
      <c r="G451" s="8"/>
      <c r="H451" s="3"/>
      <c r="I451" s="44"/>
      <c r="J451" s="44"/>
      <c r="K451" s="44"/>
      <c r="L451" s="49"/>
      <c r="M451" s="49"/>
      <c r="N451" s="49"/>
      <c r="O451" s="49"/>
      <c r="P451" s="75"/>
      <c r="Q451" s="49"/>
      <c r="R451" s="49"/>
      <c r="S451" s="49"/>
      <c r="T451" s="49"/>
    </row>
    <row r="452" spans="1:20" ht="15.95" customHeight="1" x14ac:dyDescent="0.2">
      <c r="A452" s="35"/>
      <c r="B452" s="25" t="s">
        <v>1</v>
      </c>
      <c r="C452" s="6">
        <f>D452+E452+F452+G452+H452</f>
        <v>25283.90208</v>
      </c>
      <c r="D452" s="8">
        <v>25283.90208</v>
      </c>
      <c r="E452" s="8"/>
      <c r="F452" s="8"/>
      <c r="G452" s="8"/>
      <c r="H452" s="3"/>
      <c r="I452" s="44"/>
      <c r="J452" s="44"/>
      <c r="K452" s="44"/>
      <c r="L452" s="49"/>
      <c r="M452" s="49"/>
      <c r="N452" s="49"/>
      <c r="O452" s="49"/>
      <c r="P452" s="75"/>
      <c r="Q452" s="49"/>
      <c r="R452" s="49"/>
      <c r="S452" s="49"/>
      <c r="T452" s="49"/>
    </row>
    <row r="453" spans="1:20" ht="15.95" customHeight="1" x14ac:dyDescent="0.2">
      <c r="A453" s="35"/>
      <c r="B453" s="25" t="s">
        <v>2</v>
      </c>
      <c r="C453" s="6">
        <f t="shared" ref="C453:C454" si="149">D453+E453+F453+G453+H453</f>
        <v>0</v>
      </c>
      <c r="D453" s="8"/>
      <c r="E453" s="8"/>
      <c r="F453" s="8"/>
      <c r="G453" s="8"/>
      <c r="H453" s="3"/>
      <c r="I453" s="44"/>
      <c r="J453" s="44"/>
      <c r="K453" s="44"/>
      <c r="L453" s="49"/>
      <c r="M453" s="49"/>
      <c r="N453" s="49"/>
      <c r="O453" s="49"/>
      <c r="P453" s="75"/>
      <c r="Q453" s="49"/>
      <c r="R453" s="49"/>
      <c r="S453" s="49"/>
      <c r="T453" s="49"/>
    </row>
    <row r="454" spans="1:20" ht="15.95" customHeight="1" x14ac:dyDescent="0.2">
      <c r="A454" s="36"/>
      <c r="B454" s="25" t="s">
        <v>3</v>
      </c>
      <c r="C454" s="6">
        <f t="shared" si="149"/>
        <v>0</v>
      </c>
      <c r="D454" s="8"/>
      <c r="E454" s="8"/>
      <c r="F454" s="8"/>
      <c r="G454" s="8"/>
      <c r="H454" s="3"/>
      <c r="I454" s="45"/>
      <c r="J454" s="45"/>
      <c r="K454" s="45"/>
      <c r="L454" s="49"/>
      <c r="M454" s="49"/>
      <c r="N454" s="49"/>
      <c r="O454" s="49"/>
      <c r="P454" s="75"/>
      <c r="Q454" s="49"/>
      <c r="R454" s="49"/>
      <c r="S454" s="49"/>
      <c r="T454" s="49"/>
    </row>
    <row r="455" spans="1:20" ht="15.75" customHeight="1" x14ac:dyDescent="0.2">
      <c r="A455" s="78" t="s">
        <v>86</v>
      </c>
      <c r="B455" s="54" t="s">
        <v>115</v>
      </c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</row>
    <row r="456" spans="1:20" ht="15.95" customHeight="1" x14ac:dyDescent="0.2">
      <c r="A456" s="79"/>
      <c r="B456" s="22" t="s">
        <v>5</v>
      </c>
      <c r="C456" s="3">
        <f>SUM(C457:C460)</f>
        <v>9431.73</v>
      </c>
      <c r="D456" s="3">
        <f t="shared" ref="D456:H456" si="150">SUM(D457:D460)</f>
        <v>5523.96</v>
      </c>
      <c r="E456" s="3">
        <f t="shared" ref="E456" si="151">SUM(E457:E460)</f>
        <v>3907.77</v>
      </c>
      <c r="F456" s="3">
        <f t="shared" ref="F456" si="152">SUM(F457:F460)</f>
        <v>0</v>
      </c>
      <c r="G456" s="3">
        <f t="shared" si="150"/>
        <v>0</v>
      </c>
      <c r="H456" s="3">
        <f t="shared" si="150"/>
        <v>0</v>
      </c>
      <c r="I456" s="60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2"/>
    </row>
    <row r="457" spans="1:20" ht="15.95" customHeight="1" x14ac:dyDescent="0.2">
      <c r="A457" s="79"/>
      <c r="B457" s="22" t="s">
        <v>0</v>
      </c>
      <c r="C457" s="3">
        <f>D457+E457+F457+G457+H457</f>
        <v>0</v>
      </c>
      <c r="D457" s="3">
        <f>D465+D473</f>
        <v>0</v>
      </c>
      <c r="E457" s="3">
        <f t="shared" ref="E457:H457" si="153">E465+E473</f>
        <v>0</v>
      </c>
      <c r="F457" s="3">
        <f t="shared" si="153"/>
        <v>0</v>
      </c>
      <c r="G457" s="3">
        <f t="shared" si="153"/>
        <v>0</v>
      </c>
      <c r="H457" s="3">
        <f t="shared" si="153"/>
        <v>0</v>
      </c>
      <c r="I457" s="63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5"/>
    </row>
    <row r="458" spans="1:20" ht="15.95" customHeight="1" x14ac:dyDescent="0.2">
      <c r="A458" s="79"/>
      <c r="B458" s="22" t="s">
        <v>1</v>
      </c>
      <c r="C458" s="3">
        <f t="shared" ref="C458:C460" si="154">D458+E458+F458+G458+H458</f>
        <v>9431.73</v>
      </c>
      <c r="D458" s="3">
        <f t="shared" ref="D458:H460" si="155">D466+D474</f>
        <v>5523.96</v>
      </c>
      <c r="E458" s="3">
        <f t="shared" si="155"/>
        <v>3907.77</v>
      </c>
      <c r="F458" s="3">
        <f t="shared" si="155"/>
        <v>0</v>
      </c>
      <c r="G458" s="3">
        <f t="shared" si="155"/>
        <v>0</v>
      </c>
      <c r="H458" s="3">
        <f t="shared" si="155"/>
        <v>0</v>
      </c>
      <c r="I458" s="63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5"/>
    </row>
    <row r="459" spans="1:20" ht="15.95" customHeight="1" x14ac:dyDescent="0.2">
      <c r="A459" s="79"/>
      <c r="B459" s="22" t="s">
        <v>2</v>
      </c>
      <c r="C459" s="3">
        <f t="shared" si="154"/>
        <v>0</v>
      </c>
      <c r="D459" s="3">
        <f t="shared" si="155"/>
        <v>0</v>
      </c>
      <c r="E459" s="3">
        <f t="shared" si="155"/>
        <v>0</v>
      </c>
      <c r="F459" s="3">
        <f t="shared" si="155"/>
        <v>0</v>
      </c>
      <c r="G459" s="3">
        <f t="shared" si="155"/>
        <v>0</v>
      </c>
      <c r="H459" s="3">
        <f t="shared" si="155"/>
        <v>0</v>
      </c>
      <c r="I459" s="63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5"/>
    </row>
    <row r="460" spans="1:20" ht="15.95" customHeight="1" x14ac:dyDescent="0.2">
      <c r="A460" s="80"/>
      <c r="B460" s="22" t="s">
        <v>3</v>
      </c>
      <c r="C460" s="3">
        <f t="shared" si="154"/>
        <v>0</v>
      </c>
      <c r="D460" s="3">
        <f t="shared" si="155"/>
        <v>0</v>
      </c>
      <c r="E460" s="3">
        <f t="shared" si="155"/>
        <v>0</v>
      </c>
      <c r="F460" s="3">
        <f t="shared" si="155"/>
        <v>0</v>
      </c>
      <c r="G460" s="3">
        <f t="shared" si="155"/>
        <v>0</v>
      </c>
      <c r="H460" s="3">
        <f t="shared" si="155"/>
        <v>0</v>
      </c>
      <c r="I460" s="66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8"/>
    </row>
    <row r="461" spans="1:20" ht="15.95" customHeight="1" x14ac:dyDescent="0.2">
      <c r="A461" s="34" t="s">
        <v>188</v>
      </c>
      <c r="B461" s="37" t="s">
        <v>36</v>
      </c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8"/>
    </row>
    <row r="462" spans="1:20" ht="15.95" customHeight="1" x14ac:dyDescent="0.2">
      <c r="A462" s="35" t="s">
        <v>74</v>
      </c>
      <c r="B462" s="54" t="s">
        <v>116</v>
      </c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</row>
    <row r="463" spans="1:20" ht="50.1" customHeight="1" x14ac:dyDescent="0.2">
      <c r="A463" s="35"/>
      <c r="B463" s="57" t="s">
        <v>261</v>
      </c>
      <c r="C463" s="58"/>
      <c r="D463" s="58"/>
      <c r="E463" s="58"/>
      <c r="F463" s="58"/>
      <c r="G463" s="58"/>
      <c r="H463" s="59"/>
      <c r="I463" s="49" t="s">
        <v>262</v>
      </c>
      <c r="J463" s="49"/>
      <c r="K463" s="49" t="s">
        <v>391</v>
      </c>
      <c r="L463" s="49"/>
      <c r="M463" s="49" t="s">
        <v>39</v>
      </c>
      <c r="N463" s="49" t="s">
        <v>39</v>
      </c>
      <c r="O463" s="49" t="s">
        <v>39</v>
      </c>
      <c r="P463" s="75" t="s">
        <v>263</v>
      </c>
      <c r="Q463" s="49" t="s">
        <v>33</v>
      </c>
      <c r="R463" s="49" t="s">
        <v>40</v>
      </c>
      <c r="S463" s="49" t="s">
        <v>34</v>
      </c>
      <c r="T463" s="49" t="s">
        <v>174</v>
      </c>
    </row>
    <row r="464" spans="1:20" ht="15.95" customHeight="1" x14ac:dyDescent="0.2">
      <c r="A464" s="35"/>
      <c r="B464" s="25" t="s">
        <v>5</v>
      </c>
      <c r="C464" s="6">
        <f t="shared" ref="C464:C465" si="156">D464+E464+F464+G464+H464</f>
        <v>5173.96</v>
      </c>
      <c r="D464" s="8">
        <f t="shared" ref="D464" si="157">SUM(D465:D468)</f>
        <v>5173.96</v>
      </c>
      <c r="E464" s="8"/>
      <c r="F464" s="8"/>
      <c r="G464" s="8">
        <f t="shared" ref="G464" si="158">SUM(G465:G468)</f>
        <v>0</v>
      </c>
      <c r="H464" s="8">
        <f t="shared" ref="H464" si="159">SUM(H465:H468)</f>
        <v>0</v>
      </c>
      <c r="I464" s="49"/>
      <c r="J464" s="49"/>
      <c r="K464" s="49"/>
      <c r="L464" s="49"/>
      <c r="M464" s="49"/>
      <c r="N464" s="49"/>
      <c r="O464" s="49"/>
      <c r="P464" s="75"/>
      <c r="Q464" s="49"/>
      <c r="R464" s="49"/>
      <c r="S464" s="49"/>
      <c r="T464" s="49"/>
    </row>
    <row r="465" spans="1:20" ht="15.95" customHeight="1" x14ac:dyDescent="0.2">
      <c r="A465" s="35"/>
      <c r="B465" s="25" t="s">
        <v>0</v>
      </c>
      <c r="C465" s="6">
        <f t="shared" si="156"/>
        <v>0</v>
      </c>
      <c r="D465" s="8"/>
      <c r="E465" s="8"/>
      <c r="F465" s="8"/>
      <c r="G465" s="8"/>
      <c r="H465" s="8"/>
      <c r="I465" s="49"/>
      <c r="J465" s="49"/>
      <c r="K465" s="49"/>
      <c r="L465" s="49"/>
      <c r="M465" s="49"/>
      <c r="N465" s="49"/>
      <c r="O465" s="49"/>
      <c r="P465" s="75"/>
      <c r="Q465" s="49"/>
      <c r="R465" s="49"/>
      <c r="S465" s="49"/>
      <c r="T465" s="49"/>
    </row>
    <row r="466" spans="1:20" ht="15.95" customHeight="1" x14ac:dyDescent="0.2">
      <c r="A466" s="35"/>
      <c r="B466" s="25" t="s">
        <v>1</v>
      </c>
      <c r="C466" s="6">
        <f>D466+E466+F466+G466+H466</f>
        <v>5173.96</v>
      </c>
      <c r="D466" s="8">
        <v>5173.96</v>
      </c>
      <c r="E466" s="8"/>
      <c r="F466" s="8"/>
      <c r="G466" s="8"/>
      <c r="H466" s="8"/>
      <c r="I466" s="49"/>
      <c r="J466" s="49"/>
      <c r="K466" s="49"/>
      <c r="L466" s="49"/>
      <c r="M466" s="49"/>
      <c r="N466" s="49"/>
      <c r="O466" s="49"/>
      <c r="P466" s="75"/>
      <c r="Q466" s="49"/>
      <c r="R466" s="49"/>
      <c r="S466" s="49"/>
      <c r="T466" s="49"/>
    </row>
    <row r="467" spans="1:20" ht="15.95" customHeight="1" x14ac:dyDescent="0.2">
      <c r="A467" s="35"/>
      <c r="B467" s="25" t="s">
        <v>2</v>
      </c>
      <c r="C467" s="6">
        <f t="shared" ref="C467:C468" si="160">D467+E467+F467+G467+H467</f>
        <v>0</v>
      </c>
      <c r="D467" s="8"/>
      <c r="E467" s="8"/>
      <c r="F467" s="8"/>
      <c r="G467" s="8"/>
      <c r="H467" s="8"/>
      <c r="I467" s="49"/>
      <c r="J467" s="49"/>
      <c r="K467" s="49"/>
      <c r="L467" s="49"/>
      <c r="M467" s="49"/>
      <c r="N467" s="49"/>
      <c r="O467" s="49"/>
      <c r="P467" s="75"/>
      <c r="Q467" s="49"/>
      <c r="R467" s="49"/>
      <c r="S467" s="49"/>
      <c r="T467" s="49"/>
    </row>
    <row r="468" spans="1:20" ht="15.95" customHeight="1" x14ac:dyDescent="0.2">
      <c r="A468" s="36"/>
      <c r="B468" s="25" t="s">
        <v>3</v>
      </c>
      <c r="C468" s="6">
        <f t="shared" si="160"/>
        <v>0</v>
      </c>
      <c r="D468" s="8"/>
      <c r="E468" s="8"/>
      <c r="F468" s="8"/>
      <c r="G468" s="8"/>
      <c r="H468" s="8"/>
      <c r="I468" s="49"/>
      <c r="J468" s="49"/>
      <c r="K468" s="49"/>
      <c r="L468" s="49"/>
      <c r="M468" s="49"/>
      <c r="N468" s="49"/>
      <c r="O468" s="49"/>
      <c r="P468" s="75"/>
      <c r="Q468" s="49"/>
      <c r="R468" s="49"/>
      <c r="S468" s="49"/>
      <c r="T468" s="49"/>
    </row>
    <row r="469" spans="1:20" ht="15.95" customHeight="1" x14ac:dyDescent="0.2">
      <c r="A469" s="34" t="s">
        <v>189</v>
      </c>
      <c r="B469" s="37" t="s">
        <v>36</v>
      </c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8"/>
    </row>
    <row r="470" spans="1:20" ht="15.95" customHeight="1" x14ac:dyDescent="0.2">
      <c r="A470" s="35" t="s">
        <v>74</v>
      </c>
      <c r="B470" s="54" t="s">
        <v>116</v>
      </c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</row>
    <row r="471" spans="1:20" ht="50.1" customHeight="1" x14ac:dyDescent="0.2">
      <c r="A471" s="35"/>
      <c r="B471" s="57" t="s">
        <v>267</v>
      </c>
      <c r="C471" s="58"/>
      <c r="D471" s="58"/>
      <c r="E471" s="58"/>
      <c r="F471" s="58"/>
      <c r="G471" s="58"/>
      <c r="H471" s="59"/>
      <c r="I471" s="49" t="s">
        <v>262</v>
      </c>
      <c r="J471" s="49" t="s">
        <v>392</v>
      </c>
      <c r="K471" s="49" t="s">
        <v>42</v>
      </c>
      <c r="L471" s="49"/>
      <c r="M471" s="49" t="s">
        <v>36</v>
      </c>
      <c r="N471" s="49" t="s">
        <v>36</v>
      </c>
      <c r="O471" s="49" t="s">
        <v>36</v>
      </c>
      <c r="P471" s="75" t="s">
        <v>264</v>
      </c>
      <c r="Q471" s="49" t="s">
        <v>33</v>
      </c>
      <c r="R471" s="49" t="s">
        <v>43</v>
      </c>
      <c r="S471" s="49" t="s">
        <v>34</v>
      </c>
      <c r="T471" s="49" t="s">
        <v>484</v>
      </c>
    </row>
    <row r="472" spans="1:20" ht="15.95" customHeight="1" x14ac:dyDescent="0.2">
      <c r="A472" s="35"/>
      <c r="B472" s="25" t="s">
        <v>5</v>
      </c>
      <c r="C472" s="6">
        <f t="shared" ref="C472:C473" si="161">D472+E472+F472+G472+H472</f>
        <v>4257.7700000000004</v>
      </c>
      <c r="D472" s="8">
        <f t="shared" ref="D472" si="162">SUM(D473:D476)</f>
        <v>350</v>
      </c>
      <c r="E472" s="8">
        <f t="shared" ref="E472:F472" si="163">SUM(E473:E476)</f>
        <v>3907.77</v>
      </c>
      <c r="F472" s="8">
        <f t="shared" si="163"/>
        <v>0</v>
      </c>
      <c r="G472" s="8">
        <f t="shared" ref="G472" si="164">SUM(G473:G476)</f>
        <v>0</v>
      </c>
      <c r="H472" s="8">
        <f t="shared" ref="H472" si="165">SUM(H473:H476)</f>
        <v>0</v>
      </c>
      <c r="I472" s="49"/>
      <c r="J472" s="49"/>
      <c r="K472" s="49"/>
      <c r="L472" s="49"/>
      <c r="M472" s="49"/>
      <c r="N472" s="49"/>
      <c r="O472" s="49"/>
      <c r="P472" s="75"/>
      <c r="Q472" s="49"/>
      <c r="R472" s="49"/>
      <c r="S472" s="49"/>
      <c r="T472" s="49"/>
    </row>
    <row r="473" spans="1:20" ht="15.95" customHeight="1" x14ac:dyDescent="0.2">
      <c r="A473" s="35"/>
      <c r="B473" s="25" t="s">
        <v>0</v>
      </c>
      <c r="C473" s="6">
        <f t="shared" si="161"/>
        <v>0</v>
      </c>
      <c r="D473" s="8"/>
      <c r="E473" s="8"/>
      <c r="F473" s="8"/>
      <c r="G473" s="8"/>
      <c r="H473" s="8"/>
      <c r="I473" s="49"/>
      <c r="J473" s="49"/>
      <c r="K473" s="49"/>
      <c r="L473" s="49"/>
      <c r="M473" s="49"/>
      <c r="N473" s="49"/>
      <c r="O473" s="49"/>
      <c r="P473" s="75"/>
      <c r="Q473" s="49"/>
      <c r="R473" s="49"/>
      <c r="S473" s="49"/>
      <c r="T473" s="49"/>
    </row>
    <row r="474" spans="1:20" ht="15.95" customHeight="1" x14ac:dyDescent="0.2">
      <c r="A474" s="35"/>
      <c r="B474" s="25" t="s">
        <v>1</v>
      </c>
      <c r="C474" s="6">
        <f>D474+E474+F474+G474+H474</f>
        <v>4257.7700000000004</v>
      </c>
      <c r="D474" s="8">
        <v>350</v>
      </c>
      <c r="E474" s="8">
        <f>3906.77+1</f>
        <v>3907.77</v>
      </c>
      <c r="F474" s="8"/>
      <c r="G474" s="8"/>
      <c r="H474" s="8"/>
      <c r="I474" s="49"/>
      <c r="J474" s="49"/>
      <c r="K474" s="49"/>
      <c r="L474" s="49"/>
      <c r="M474" s="49"/>
      <c r="N474" s="49"/>
      <c r="O474" s="49"/>
      <c r="P474" s="75"/>
      <c r="Q474" s="49"/>
      <c r="R474" s="49"/>
      <c r="S474" s="49"/>
      <c r="T474" s="49"/>
    </row>
    <row r="475" spans="1:20" ht="15.95" customHeight="1" x14ac:dyDescent="0.2">
      <c r="A475" s="35"/>
      <c r="B475" s="25" t="s">
        <v>2</v>
      </c>
      <c r="C475" s="6">
        <f>D475+E475+F475+G475+H475</f>
        <v>0</v>
      </c>
      <c r="D475" s="8"/>
      <c r="E475" s="8"/>
      <c r="F475" s="8"/>
      <c r="G475" s="8"/>
      <c r="H475" s="8"/>
      <c r="I475" s="49"/>
      <c r="J475" s="49"/>
      <c r="K475" s="49"/>
      <c r="L475" s="49"/>
      <c r="M475" s="49"/>
      <c r="N475" s="49"/>
      <c r="O475" s="49"/>
      <c r="P475" s="75"/>
      <c r="Q475" s="49"/>
      <c r="R475" s="49"/>
      <c r="S475" s="49"/>
      <c r="T475" s="49"/>
    </row>
    <row r="476" spans="1:20" ht="15.95" customHeight="1" x14ac:dyDescent="0.2">
      <c r="A476" s="36"/>
      <c r="B476" s="25" t="s">
        <v>3</v>
      </c>
      <c r="C476" s="6">
        <f t="shared" ref="C476" si="166">D476+E476+F476+G476+H476</f>
        <v>0</v>
      </c>
      <c r="D476" s="8"/>
      <c r="E476" s="8"/>
      <c r="F476" s="8"/>
      <c r="G476" s="8"/>
      <c r="H476" s="8"/>
      <c r="I476" s="49"/>
      <c r="J476" s="49"/>
      <c r="K476" s="49"/>
      <c r="L476" s="49"/>
      <c r="M476" s="49"/>
      <c r="N476" s="49"/>
      <c r="O476" s="49"/>
      <c r="P476" s="75"/>
      <c r="Q476" s="49"/>
      <c r="R476" s="49"/>
      <c r="S476" s="49"/>
      <c r="T476" s="49"/>
    </row>
    <row r="477" spans="1:20" ht="15.95" customHeight="1" x14ac:dyDescent="0.2">
      <c r="A477" s="78" t="s">
        <v>87</v>
      </c>
      <c r="B477" s="54" t="s">
        <v>117</v>
      </c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</row>
    <row r="478" spans="1:20" ht="15.95" customHeight="1" x14ac:dyDescent="0.2">
      <c r="A478" s="79"/>
      <c r="B478" s="22" t="s">
        <v>5</v>
      </c>
      <c r="C478" s="3">
        <f>SUM(C479:C483)</f>
        <v>2621317.0248360601</v>
      </c>
      <c r="D478" s="3">
        <f t="shared" ref="D478:H478" si="167">SUM(D479:D483)</f>
        <v>1450480.4510360605</v>
      </c>
      <c r="E478" s="3">
        <f t="shared" si="167"/>
        <v>594117.3672199999</v>
      </c>
      <c r="F478" s="3">
        <f t="shared" si="167"/>
        <v>291510.93757999974</v>
      </c>
      <c r="G478" s="3">
        <f t="shared" si="167"/>
        <v>200778.69699999999</v>
      </c>
      <c r="H478" s="3">
        <f t="shared" si="167"/>
        <v>84429.572</v>
      </c>
      <c r="I478" s="60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2"/>
    </row>
    <row r="479" spans="1:20" ht="15.95" customHeight="1" x14ac:dyDescent="0.2">
      <c r="A479" s="79"/>
      <c r="B479" s="22" t="s">
        <v>0</v>
      </c>
      <c r="C479" s="3">
        <f>D479+E479+F479+G479+H479</f>
        <v>405756.2</v>
      </c>
      <c r="D479" s="3">
        <f>D488+D496+D544+D661+D669+D677+D685+D693+D701+D709+D717+D725+D733+D741+D504+D512+D520+D528+D536+D553+D562+D571+D580+D589+D598+D607+D616+D625+D634+D643+D652+D749+D757+D765+D773</f>
        <v>76767.7</v>
      </c>
      <c r="E479" s="3">
        <f t="shared" ref="E479:H479" si="168">E488+E496+E544+E661+E669+E677+E685+E693+E701+E709+E717+E725+E733+E741+E504+E512+E520+E528+E536+E553+E562+E571+E580+E589+E598+E607+E616+E625+E634+E643+E652+E749+E757+E765+E773</f>
        <v>178083.7</v>
      </c>
      <c r="F479" s="3">
        <f t="shared" si="168"/>
        <v>150904.79999999999</v>
      </c>
      <c r="G479" s="3">
        <f t="shared" si="168"/>
        <v>0</v>
      </c>
      <c r="H479" s="3">
        <f t="shared" si="168"/>
        <v>0</v>
      </c>
      <c r="I479" s="63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5"/>
    </row>
    <row r="480" spans="1:20" ht="15.95" customHeight="1" x14ac:dyDescent="0.2">
      <c r="A480" s="79"/>
      <c r="B480" s="22" t="s">
        <v>1</v>
      </c>
      <c r="C480" s="3">
        <f>D480+E480+F480+G480+H480</f>
        <v>1501271.5376899997</v>
      </c>
      <c r="D480" s="3">
        <f>D489+D497+D545+D662+D670+D678+D686+D694+D702+D710+D718+D726+D734+D742+D505+D513+D521+D529+D537+D554+D563+D572+D581+D590+D599+D608+D617+D626+D635+D644+D653+D750+D758+D766+D774</f>
        <v>785237.80611999996</v>
      </c>
      <c r="E480" s="3">
        <f t="shared" ref="E480:H480" si="169">E489+E497+E545+E662+E670+E678+E686+E694+E702+E710+E718+E726+E734+E742+E505+E513+E521+E529+E537+E554+E563+E572+E581+E590+E599+E608+E617+E626+E635+E644+E653+E750+E758+E766+E774</f>
        <v>412373.33054</v>
      </c>
      <c r="F480" s="3">
        <f t="shared" si="169"/>
        <v>139256.21322999976</v>
      </c>
      <c r="G480" s="3">
        <f t="shared" si="169"/>
        <v>79974.6158</v>
      </c>
      <c r="H480" s="3">
        <f t="shared" si="169"/>
        <v>84429.572</v>
      </c>
      <c r="I480" s="63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5"/>
    </row>
    <row r="481" spans="1:20" ht="15.95" customHeight="1" x14ac:dyDescent="0.2">
      <c r="A481" s="79"/>
      <c r="B481" s="22" t="s">
        <v>2</v>
      </c>
      <c r="C481" s="3">
        <f t="shared" ref="C481:C483" si="170">D481+E481+F481+G481+H481</f>
        <v>8877.7112460606058</v>
      </c>
      <c r="D481" s="3">
        <f>D490+D498+D546+D663+D671+D679+D687+D695+D703+D711+D719+D727+D735+D743+D506+D514+D522+D530+D538+D555+D564+D573+D582+D591+D600+D609+D618+D627+D636+D645+D654+D751+D759+D767+D775</f>
        <v>3855.2490160606062</v>
      </c>
      <c r="E481" s="3">
        <f t="shared" ref="E481:H481" si="171">E490+E498+E546+E663+E671+E679+E687+E695+E703+E711+E719+E727+E735+E743+E506+E514+E522+E530+E538+E555+E564+E573+E582+E591+E600+E609+E618+E627+E636+E645+E654+E751+E759+E767+E775</f>
        <v>3660.3366799999999</v>
      </c>
      <c r="F481" s="3">
        <f t="shared" si="171"/>
        <v>1349.92435</v>
      </c>
      <c r="G481" s="3">
        <f t="shared" si="171"/>
        <v>12.2012</v>
      </c>
      <c r="H481" s="3">
        <f t="shared" si="171"/>
        <v>0</v>
      </c>
      <c r="I481" s="63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5"/>
    </row>
    <row r="482" spans="1:20" ht="15.95" customHeight="1" x14ac:dyDescent="0.2">
      <c r="A482" s="79"/>
      <c r="B482" s="22" t="s">
        <v>3</v>
      </c>
      <c r="C482" s="3">
        <f t="shared" si="170"/>
        <v>0</v>
      </c>
      <c r="D482" s="3">
        <f>D491+D499+D547+D664+D672+D680+D688+D696+D704+D712+D720+D728+D736+D744+D507+D515+D523+D531+D539+D556+D565+D574+D583+D592+D601+D610+D619+D628+D637+D646+D655+D752+D760+D768+D776</f>
        <v>0</v>
      </c>
      <c r="E482" s="3">
        <f t="shared" ref="E482:H482" si="172">E491+E499+E547+E664+E672+E680+E688+E696+E704+E712+E720+E728+E736+E744+E507+E515+E523+E531+E539+E556+E565+E574+E583+E592+E601+E610+E619+E628+E637+E646+E655+E752+E760+E768+E776</f>
        <v>0</v>
      </c>
      <c r="F482" s="3">
        <f t="shared" si="172"/>
        <v>0</v>
      </c>
      <c r="G482" s="3">
        <f t="shared" si="172"/>
        <v>0</v>
      </c>
      <c r="H482" s="3">
        <f t="shared" si="172"/>
        <v>0</v>
      </c>
      <c r="I482" s="63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5"/>
    </row>
    <row r="483" spans="1:20" ht="39.950000000000003" customHeight="1" x14ac:dyDescent="0.2">
      <c r="A483" s="80"/>
      <c r="B483" s="17" t="s">
        <v>230</v>
      </c>
      <c r="C483" s="3">
        <f t="shared" si="170"/>
        <v>705411.57589999994</v>
      </c>
      <c r="D483" s="3">
        <f>D548+D557+D566+D575+D584+D593+D602+D611+D620+D629+D638+D647+D656</f>
        <v>584619.69589999993</v>
      </c>
      <c r="E483" s="3">
        <f t="shared" ref="E483:H483" si="173">E548+E557+E566+E575+E584+E593+E602+E611+E620+E629+E638+E647+E656</f>
        <v>0</v>
      </c>
      <c r="F483" s="3">
        <f t="shared" si="173"/>
        <v>0</v>
      </c>
      <c r="G483" s="3">
        <f t="shared" si="173"/>
        <v>120791.88</v>
      </c>
      <c r="H483" s="3">
        <f t="shared" si="173"/>
        <v>0</v>
      </c>
      <c r="I483" s="66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8"/>
    </row>
    <row r="484" spans="1:20" ht="15.95" customHeight="1" x14ac:dyDescent="0.2">
      <c r="A484" s="34" t="s">
        <v>190</v>
      </c>
      <c r="B484" s="37" t="s">
        <v>526</v>
      </c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8"/>
    </row>
    <row r="485" spans="1:20" ht="15.95" customHeight="1" x14ac:dyDescent="0.2">
      <c r="A485" s="35" t="s">
        <v>74</v>
      </c>
      <c r="B485" s="54" t="s">
        <v>231</v>
      </c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</row>
    <row r="486" spans="1:20" ht="50.1" customHeight="1" x14ac:dyDescent="0.2">
      <c r="A486" s="35"/>
      <c r="B486" s="57" t="s">
        <v>232</v>
      </c>
      <c r="C486" s="58"/>
      <c r="D486" s="58"/>
      <c r="E486" s="58"/>
      <c r="F486" s="58"/>
      <c r="G486" s="58"/>
      <c r="H486" s="59"/>
      <c r="I486" s="43" t="s">
        <v>20</v>
      </c>
      <c r="J486" s="43"/>
      <c r="K486" s="43" t="s">
        <v>42</v>
      </c>
      <c r="L486" s="43" t="s">
        <v>233</v>
      </c>
      <c r="M486" s="43" t="s">
        <v>737</v>
      </c>
      <c r="N486" s="43" t="s">
        <v>526</v>
      </c>
      <c r="O486" s="43" t="s">
        <v>737</v>
      </c>
      <c r="P486" s="46" t="s">
        <v>234</v>
      </c>
      <c r="Q486" s="43" t="s">
        <v>33</v>
      </c>
      <c r="R486" s="43" t="s">
        <v>8</v>
      </c>
      <c r="S486" s="43" t="s">
        <v>35</v>
      </c>
      <c r="T486" s="43" t="s">
        <v>486</v>
      </c>
    </row>
    <row r="487" spans="1:20" ht="15.95" customHeight="1" x14ac:dyDescent="0.2">
      <c r="A487" s="35"/>
      <c r="B487" s="25" t="s">
        <v>5</v>
      </c>
      <c r="C487" s="6">
        <f>D487+E487+F487+G487+H487</f>
        <v>160300</v>
      </c>
      <c r="D487" s="8">
        <f t="shared" ref="D487:F487" si="174">SUM(D488:D491)</f>
        <v>160300</v>
      </c>
      <c r="E487" s="8">
        <f t="shared" si="174"/>
        <v>0</v>
      </c>
      <c r="F487" s="8">
        <f t="shared" si="174"/>
        <v>0</v>
      </c>
      <c r="G487" s="8">
        <f t="shared" ref="G487:H487" si="175">SUM(G488:G491)</f>
        <v>0</v>
      </c>
      <c r="H487" s="8">
        <f t="shared" si="175"/>
        <v>0</v>
      </c>
      <c r="I487" s="44"/>
      <c r="J487" s="44"/>
      <c r="K487" s="44"/>
      <c r="L487" s="44"/>
      <c r="M487" s="44"/>
      <c r="N487" s="44"/>
      <c r="O487" s="44"/>
      <c r="P487" s="47"/>
      <c r="Q487" s="44"/>
      <c r="R487" s="44"/>
      <c r="S487" s="44"/>
      <c r="T487" s="44"/>
    </row>
    <row r="488" spans="1:20" ht="15.95" customHeight="1" x14ac:dyDescent="0.2">
      <c r="A488" s="35"/>
      <c r="B488" s="25" t="s">
        <v>0</v>
      </c>
      <c r="C488" s="6">
        <f>D488+E488+F488+G488+H488</f>
        <v>0</v>
      </c>
      <c r="D488" s="8"/>
      <c r="E488" s="8"/>
      <c r="F488" s="8"/>
      <c r="G488" s="8"/>
      <c r="H488" s="8"/>
      <c r="I488" s="44"/>
      <c r="J488" s="44"/>
      <c r="K488" s="44"/>
      <c r="L488" s="44"/>
      <c r="M488" s="44"/>
      <c r="N488" s="44"/>
      <c r="O488" s="44"/>
      <c r="P488" s="47"/>
      <c r="Q488" s="44"/>
      <c r="R488" s="44"/>
      <c r="S488" s="44"/>
      <c r="T488" s="44"/>
    </row>
    <row r="489" spans="1:20" ht="15.95" customHeight="1" x14ac:dyDescent="0.2">
      <c r="A489" s="35"/>
      <c r="B489" s="25" t="s">
        <v>1</v>
      </c>
      <c r="C489" s="6">
        <f>D489+E489+F489+G489+H489</f>
        <v>160300</v>
      </c>
      <c r="D489" s="8">
        <f>80000+80300</f>
        <v>160300</v>
      </c>
      <c r="E489" s="8"/>
      <c r="F489" s="8"/>
      <c r="G489" s="8"/>
      <c r="H489" s="8"/>
      <c r="I489" s="44"/>
      <c r="J489" s="44"/>
      <c r="K489" s="44"/>
      <c r="L489" s="44"/>
      <c r="M489" s="44"/>
      <c r="N489" s="44"/>
      <c r="O489" s="44"/>
      <c r="P489" s="47"/>
      <c r="Q489" s="44"/>
      <c r="R489" s="44"/>
      <c r="S489" s="44"/>
      <c r="T489" s="44"/>
    </row>
    <row r="490" spans="1:20" ht="15.95" customHeight="1" x14ac:dyDescent="0.2">
      <c r="A490" s="35"/>
      <c r="B490" s="25" t="s">
        <v>2</v>
      </c>
      <c r="C490" s="6">
        <f>SUM(D490:H490)</f>
        <v>0</v>
      </c>
      <c r="E490" s="8"/>
      <c r="F490" s="8"/>
      <c r="G490" s="8"/>
      <c r="H490" s="8"/>
      <c r="I490" s="44"/>
      <c r="J490" s="44"/>
      <c r="K490" s="44"/>
      <c r="L490" s="44"/>
      <c r="M490" s="44"/>
      <c r="N490" s="44"/>
      <c r="O490" s="44"/>
      <c r="P490" s="47"/>
      <c r="Q490" s="44"/>
      <c r="R490" s="44"/>
      <c r="S490" s="44"/>
      <c r="T490" s="44"/>
    </row>
    <row r="491" spans="1:20" ht="15.95" customHeight="1" x14ac:dyDescent="0.2">
      <c r="A491" s="36"/>
      <c r="B491" s="25" t="s">
        <v>3</v>
      </c>
      <c r="C491" s="6">
        <f>SUM(D491:H491)</f>
        <v>0</v>
      </c>
      <c r="D491" s="8"/>
      <c r="E491" s="8"/>
      <c r="F491" s="8"/>
      <c r="G491" s="8"/>
      <c r="H491" s="8"/>
      <c r="I491" s="45"/>
      <c r="J491" s="45"/>
      <c r="K491" s="45"/>
      <c r="L491" s="45"/>
      <c r="M491" s="45"/>
      <c r="N491" s="45"/>
      <c r="O491" s="45"/>
      <c r="P491" s="48"/>
      <c r="Q491" s="45"/>
      <c r="R491" s="45"/>
      <c r="S491" s="45"/>
      <c r="T491" s="45"/>
    </row>
    <row r="492" spans="1:20" ht="15.95" customHeight="1" x14ac:dyDescent="0.2">
      <c r="A492" s="34" t="s">
        <v>293</v>
      </c>
      <c r="B492" s="37" t="s">
        <v>526</v>
      </c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8"/>
    </row>
    <row r="493" spans="1:20" ht="33" customHeight="1" x14ac:dyDescent="0.2">
      <c r="A493" s="35" t="s">
        <v>74</v>
      </c>
      <c r="B493" s="54" t="s">
        <v>119</v>
      </c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</row>
    <row r="494" spans="1:20" ht="39.950000000000003" customHeight="1" x14ac:dyDescent="0.2">
      <c r="A494" s="35"/>
      <c r="B494" s="42" t="s">
        <v>142</v>
      </c>
      <c r="C494" s="37"/>
      <c r="D494" s="37"/>
      <c r="E494" s="37"/>
      <c r="F494" s="37"/>
      <c r="G494" s="37"/>
      <c r="H494" s="38"/>
      <c r="I494" s="43" t="s">
        <v>24</v>
      </c>
      <c r="J494" s="43"/>
      <c r="K494" s="43" t="s">
        <v>42</v>
      </c>
      <c r="L494" s="43" t="s">
        <v>235</v>
      </c>
      <c r="M494" s="43" t="s">
        <v>737</v>
      </c>
      <c r="N494" s="43" t="s">
        <v>526</v>
      </c>
      <c r="O494" s="43" t="s">
        <v>737</v>
      </c>
      <c r="P494" s="46" t="s">
        <v>405</v>
      </c>
      <c r="Q494" s="43" t="s">
        <v>33</v>
      </c>
      <c r="R494" s="43" t="s">
        <v>41</v>
      </c>
      <c r="S494" s="43" t="s">
        <v>35</v>
      </c>
      <c r="T494" s="49" t="s">
        <v>487</v>
      </c>
    </row>
    <row r="495" spans="1:20" ht="15.95" customHeight="1" x14ac:dyDescent="0.2">
      <c r="A495" s="35"/>
      <c r="B495" s="25" t="s">
        <v>5</v>
      </c>
      <c r="C495" s="6">
        <f>D495+E495+F495+G495+H495</f>
        <v>379242.7</v>
      </c>
      <c r="D495" s="8">
        <f t="shared" ref="D495" si="176">SUM(D496:D499)</f>
        <v>126767.7</v>
      </c>
      <c r="E495" s="8">
        <f t="shared" ref="E495:F495" si="177">SUM(E496:E499)</f>
        <v>228083.7</v>
      </c>
      <c r="F495" s="8">
        <f t="shared" si="177"/>
        <v>24391.3</v>
      </c>
      <c r="G495" s="8">
        <f t="shared" ref="G495:H495" si="178">SUM(G496:G499)</f>
        <v>0</v>
      </c>
      <c r="H495" s="8">
        <f t="shared" si="178"/>
        <v>0</v>
      </c>
      <c r="I495" s="44"/>
      <c r="J495" s="44"/>
      <c r="K495" s="44"/>
      <c r="L495" s="44"/>
      <c r="M495" s="44"/>
      <c r="N495" s="44"/>
      <c r="O495" s="44"/>
      <c r="P495" s="47"/>
      <c r="Q495" s="44"/>
      <c r="R495" s="44"/>
      <c r="S495" s="44"/>
      <c r="T495" s="49"/>
    </row>
    <row r="496" spans="1:20" ht="15.95" customHeight="1" x14ac:dyDescent="0.2">
      <c r="A496" s="35"/>
      <c r="B496" s="25" t="s">
        <v>0</v>
      </c>
      <c r="C496" s="6">
        <f>D496+E496+F496+G496+H496</f>
        <v>279242.7</v>
      </c>
      <c r="D496" s="8">
        <f>85297.4-8529.7</f>
        <v>76767.7</v>
      </c>
      <c r="E496" s="8">
        <f>45650.518+132433.182</f>
        <v>178083.7</v>
      </c>
      <c r="F496" s="8">
        <f>0+24391.3</f>
        <v>24391.3</v>
      </c>
      <c r="G496" s="8"/>
      <c r="H496" s="8"/>
      <c r="I496" s="44"/>
      <c r="J496" s="44"/>
      <c r="K496" s="44"/>
      <c r="L496" s="44"/>
      <c r="M496" s="44"/>
      <c r="N496" s="44"/>
      <c r="O496" s="44"/>
      <c r="P496" s="47"/>
      <c r="Q496" s="44"/>
      <c r="R496" s="44"/>
      <c r="S496" s="44"/>
      <c r="T496" s="49"/>
    </row>
    <row r="497" spans="1:20" ht="15.95" customHeight="1" x14ac:dyDescent="0.2">
      <c r="A497" s="35"/>
      <c r="B497" s="25" t="s">
        <v>1</v>
      </c>
      <c r="C497" s="6">
        <f>D497+E497+F497+G497+H497</f>
        <v>100000</v>
      </c>
      <c r="D497" s="8">
        <v>50000</v>
      </c>
      <c r="E497" s="8">
        <v>50000</v>
      </c>
      <c r="F497" s="8"/>
      <c r="G497" s="8"/>
      <c r="H497" s="8"/>
      <c r="I497" s="44"/>
      <c r="J497" s="44"/>
      <c r="K497" s="44"/>
      <c r="L497" s="44"/>
      <c r="M497" s="44"/>
      <c r="N497" s="44"/>
      <c r="O497" s="44"/>
      <c r="P497" s="47"/>
      <c r="Q497" s="44"/>
      <c r="R497" s="44"/>
      <c r="S497" s="44"/>
      <c r="T497" s="49"/>
    </row>
    <row r="498" spans="1:20" ht="15.95" customHeight="1" x14ac:dyDescent="0.2">
      <c r="A498" s="35"/>
      <c r="B498" s="25" t="s">
        <v>2</v>
      </c>
      <c r="C498" s="6">
        <f>SUM(D498:H498)</f>
        <v>0</v>
      </c>
      <c r="D498" s="8"/>
      <c r="E498" s="8"/>
      <c r="F498" s="8"/>
      <c r="G498" s="8"/>
      <c r="H498" s="8"/>
      <c r="I498" s="44"/>
      <c r="J498" s="44"/>
      <c r="K498" s="44"/>
      <c r="L498" s="44"/>
      <c r="M498" s="44"/>
      <c r="N498" s="44"/>
      <c r="O498" s="44"/>
      <c r="P498" s="47"/>
      <c r="Q498" s="44"/>
      <c r="R498" s="44"/>
      <c r="S498" s="44"/>
      <c r="T498" s="49"/>
    </row>
    <row r="499" spans="1:20" ht="15.95" customHeight="1" x14ac:dyDescent="0.2">
      <c r="A499" s="36"/>
      <c r="B499" s="25" t="s">
        <v>3</v>
      </c>
      <c r="C499" s="6">
        <f>SUM(D499:H499)</f>
        <v>0</v>
      </c>
      <c r="D499" s="8"/>
      <c r="E499" s="8"/>
      <c r="F499" s="8"/>
      <c r="G499" s="8"/>
      <c r="H499" s="8"/>
      <c r="I499" s="45"/>
      <c r="J499" s="45"/>
      <c r="K499" s="45"/>
      <c r="L499" s="45"/>
      <c r="M499" s="45"/>
      <c r="N499" s="45"/>
      <c r="O499" s="45"/>
      <c r="P499" s="48"/>
      <c r="Q499" s="45"/>
      <c r="R499" s="45"/>
      <c r="S499" s="45"/>
      <c r="T499" s="49"/>
    </row>
    <row r="500" spans="1:20" ht="15.95" customHeight="1" x14ac:dyDescent="0.2">
      <c r="A500" s="34" t="s">
        <v>300</v>
      </c>
      <c r="B500" s="37" t="s">
        <v>526</v>
      </c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8"/>
    </row>
    <row r="501" spans="1:20" ht="15.95" customHeight="1" x14ac:dyDescent="0.2">
      <c r="A501" s="35" t="s">
        <v>74</v>
      </c>
      <c r="B501" s="54" t="s">
        <v>118</v>
      </c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</row>
    <row r="502" spans="1:20" ht="39.950000000000003" customHeight="1" x14ac:dyDescent="0.2">
      <c r="A502" s="35"/>
      <c r="B502" s="57" t="s">
        <v>734</v>
      </c>
      <c r="C502" s="58"/>
      <c r="D502" s="58"/>
      <c r="E502" s="58"/>
      <c r="F502" s="58"/>
      <c r="G502" s="58"/>
      <c r="H502" s="59"/>
      <c r="I502" s="43" t="s">
        <v>20</v>
      </c>
      <c r="J502" s="43"/>
      <c r="K502" s="43" t="s">
        <v>11</v>
      </c>
      <c r="L502" s="43"/>
      <c r="M502" s="43" t="s">
        <v>8</v>
      </c>
      <c r="N502" s="43" t="s">
        <v>526</v>
      </c>
      <c r="O502" s="43" t="s">
        <v>573</v>
      </c>
      <c r="P502" s="46"/>
      <c r="Q502" s="43" t="s">
        <v>7</v>
      </c>
      <c r="R502" s="43" t="s">
        <v>8</v>
      </c>
      <c r="S502" s="43" t="s">
        <v>35</v>
      </c>
      <c r="T502" s="49"/>
    </row>
    <row r="503" spans="1:20" ht="15.95" customHeight="1" x14ac:dyDescent="0.2">
      <c r="A503" s="35"/>
      <c r="B503" s="25" t="s">
        <v>5</v>
      </c>
      <c r="C503" s="6">
        <f>D503+E503+F503+G503+H503</f>
        <v>14032.952585858586</v>
      </c>
      <c r="D503" s="8">
        <f t="shared" ref="D503:F503" si="179">SUM(D504:D507)</f>
        <v>14032.952585858586</v>
      </c>
      <c r="E503" s="8">
        <f t="shared" si="179"/>
        <v>0</v>
      </c>
      <c r="F503" s="8">
        <f t="shared" si="179"/>
        <v>0</v>
      </c>
      <c r="G503" s="8">
        <f t="shared" ref="G503:H503" si="180">SUM(G504:G507)</f>
        <v>0</v>
      </c>
      <c r="H503" s="8">
        <f t="shared" si="180"/>
        <v>0</v>
      </c>
      <c r="I503" s="44"/>
      <c r="J503" s="44"/>
      <c r="K503" s="44"/>
      <c r="L503" s="44"/>
      <c r="M503" s="44"/>
      <c r="N503" s="44"/>
      <c r="O503" s="44"/>
      <c r="P503" s="47"/>
      <c r="Q503" s="44"/>
      <c r="R503" s="44"/>
      <c r="S503" s="44"/>
      <c r="T503" s="49"/>
    </row>
    <row r="504" spans="1:20" ht="15.95" customHeight="1" x14ac:dyDescent="0.2">
      <c r="A504" s="35"/>
      <c r="B504" s="25" t="s">
        <v>0</v>
      </c>
      <c r="C504" s="6">
        <f>D504+E504+F504+G504+H504</f>
        <v>0</v>
      </c>
      <c r="D504" s="8"/>
      <c r="E504" s="8"/>
      <c r="F504" s="8"/>
      <c r="G504" s="8"/>
      <c r="H504" s="8"/>
      <c r="I504" s="44"/>
      <c r="J504" s="44"/>
      <c r="K504" s="44"/>
      <c r="L504" s="44"/>
      <c r="M504" s="44"/>
      <c r="N504" s="44"/>
      <c r="O504" s="44"/>
      <c r="P504" s="47"/>
      <c r="Q504" s="44"/>
      <c r="R504" s="44"/>
      <c r="S504" s="44"/>
      <c r="T504" s="49"/>
    </row>
    <row r="505" spans="1:20" ht="15.95" customHeight="1" x14ac:dyDescent="0.2">
      <c r="A505" s="35"/>
      <c r="B505" s="25" t="s">
        <v>1</v>
      </c>
      <c r="C505" s="6">
        <f>D505+E505+F505+G505+H505</f>
        <v>13892.62306</v>
      </c>
      <c r="D505" s="8">
        <v>13892.62306</v>
      </c>
      <c r="E505" s="8"/>
      <c r="F505" s="8"/>
      <c r="G505" s="8"/>
      <c r="H505" s="8"/>
      <c r="I505" s="44"/>
      <c r="J505" s="44"/>
      <c r="K505" s="44"/>
      <c r="L505" s="44"/>
      <c r="M505" s="44"/>
      <c r="N505" s="44"/>
      <c r="O505" s="44"/>
      <c r="P505" s="47"/>
      <c r="Q505" s="44"/>
      <c r="R505" s="44"/>
      <c r="S505" s="44"/>
      <c r="T505" s="49"/>
    </row>
    <row r="506" spans="1:20" ht="15.95" customHeight="1" x14ac:dyDescent="0.2">
      <c r="A506" s="35"/>
      <c r="B506" s="25" t="s">
        <v>2</v>
      </c>
      <c r="C506" s="6">
        <f>D506+E506+F506+G506+H506</f>
        <v>140.32952585858587</v>
      </c>
      <c r="D506" s="8">
        <v>140.32952585858587</v>
      </c>
      <c r="E506" s="8"/>
      <c r="F506" s="8"/>
      <c r="G506" s="8"/>
      <c r="H506" s="8"/>
      <c r="I506" s="44"/>
      <c r="J506" s="44"/>
      <c r="K506" s="44"/>
      <c r="L506" s="44"/>
      <c r="M506" s="44"/>
      <c r="N506" s="44"/>
      <c r="O506" s="44"/>
      <c r="P506" s="47"/>
      <c r="Q506" s="44"/>
      <c r="R506" s="44"/>
      <c r="S506" s="44"/>
      <c r="T506" s="49"/>
    </row>
    <row r="507" spans="1:20" ht="15.95" customHeight="1" x14ac:dyDescent="0.2">
      <c r="A507" s="36"/>
      <c r="B507" s="25" t="s">
        <v>3</v>
      </c>
      <c r="C507" s="6">
        <f>SUM(D507:H507)</f>
        <v>0</v>
      </c>
      <c r="D507" s="8"/>
      <c r="E507" s="8"/>
      <c r="F507" s="8"/>
      <c r="G507" s="8"/>
      <c r="H507" s="8"/>
      <c r="I507" s="45"/>
      <c r="J507" s="45"/>
      <c r="K507" s="45"/>
      <c r="L507" s="45"/>
      <c r="M507" s="45"/>
      <c r="N507" s="45"/>
      <c r="O507" s="45"/>
      <c r="P507" s="48"/>
      <c r="Q507" s="45"/>
      <c r="R507" s="45"/>
      <c r="S507" s="45"/>
      <c r="T507" s="49"/>
    </row>
    <row r="508" spans="1:20" ht="15.95" customHeight="1" x14ac:dyDescent="0.2">
      <c r="A508" s="34" t="s">
        <v>301</v>
      </c>
      <c r="B508" s="37" t="s">
        <v>526</v>
      </c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8"/>
    </row>
    <row r="509" spans="1:20" ht="15.95" customHeight="1" x14ac:dyDescent="0.2">
      <c r="A509" s="35" t="s">
        <v>74</v>
      </c>
      <c r="B509" s="54" t="s">
        <v>118</v>
      </c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</row>
    <row r="510" spans="1:20" ht="39.950000000000003" customHeight="1" x14ac:dyDescent="0.2">
      <c r="A510" s="35"/>
      <c r="B510" s="57" t="s">
        <v>734</v>
      </c>
      <c r="C510" s="58"/>
      <c r="D510" s="58"/>
      <c r="E510" s="58"/>
      <c r="F510" s="58"/>
      <c r="G510" s="58"/>
      <c r="H510" s="59"/>
      <c r="I510" s="43" t="s">
        <v>20</v>
      </c>
      <c r="J510" s="43"/>
      <c r="K510" s="43" t="s">
        <v>11</v>
      </c>
      <c r="L510" s="43"/>
      <c r="M510" s="43" t="s">
        <v>69</v>
      </c>
      <c r="N510" s="43" t="s">
        <v>526</v>
      </c>
      <c r="O510" s="43" t="s">
        <v>594</v>
      </c>
      <c r="P510" s="46"/>
      <c r="Q510" s="43" t="s">
        <v>7</v>
      </c>
      <c r="R510" s="43" t="s">
        <v>69</v>
      </c>
      <c r="S510" s="43" t="s">
        <v>35</v>
      </c>
      <c r="T510" s="49"/>
    </row>
    <row r="511" spans="1:20" ht="15.95" customHeight="1" x14ac:dyDescent="0.2">
      <c r="A511" s="35"/>
      <c r="B511" s="25" t="s">
        <v>5</v>
      </c>
      <c r="C511" s="6">
        <f>D511+E511+F511+G511+H511</f>
        <v>23598.245454545453</v>
      </c>
      <c r="D511" s="8">
        <f t="shared" ref="D511:F511" si="181">SUM(D512:D515)</f>
        <v>23598.245454545453</v>
      </c>
      <c r="E511" s="8">
        <f t="shared" si="181"/>
        <v>0</v>
      </c>
      <c r="F511" s="8">
        <f t="shared" si="181"/>
        <v>0</v>
      </c>
      <c r="G511" s="8">
        <f t="shared" ref="G511:H511" si="182">SUM(G512:G515)</f>
        <v>0</v>
      </c>
      <c r="H511" s="8">
        <f t="shared" si="182"/>
        <v>0</v>
      </c>
      <c r="I511" s="44"/>
      <c r="J511" s="44"/>
      <c r="K511" s="44"/>
      <c r="L511" s="44"/>
      <c r="M511" s="44"/>
      <c r="N511" s="44"/>
      <c r="O511" s="44"/>
      <c r="P511" s="47"/>
      <c r="Q511" s="44"/>
      <c r="R511" s="44"/>
      <c r="S511" s="44"/>
      <c r="T511" s="49"/>
    </row>
    <row r="512" spans="1:20" ht="15.95" customHeight="1" x14ac:dyDescent="0.2">
      <c r="A512" s="35"/>
      <c r="B512" s="25" t="s">
        <v>0</v>
      </c>
      <c r="C512" s="6">
        <f>D512+E512+F512+G512+H512</f>
        <v>0</v>
      </c>
      <c r="D512" s="8"/>
      <c r="E512" s="8"/>
      <c r="F512" s="8"/>
      <c r="G512" s="8"/>
      <c r="H512" s="8"/>
      <c r="I512" s="44"/>
      <c r="J512" s="44"/>
      <c r="K512" s="44"/>
      <c r="L512" s="44"/>
      <c r="M512" s="44"/>
      <c r="N512" s="44"/>
      <c r="O512" s="44"/>
      <c r="P512" s="47"/>
      <c r="Q512" s="44"/>
      <c r="R512" s="44"/>
      <c r="S512" s="44"/>
      <c r="T512" s="49"/>
    </row>
    <row r="513" spans="1:20" ht="15.95" customHeight="1" x14ac:dyDescent="0.2">
      <c r="A513" s="35"/>
      <c r="B513" s="25" t="s">
        <v>1</v>
      </c>
      <c r="C513" s="6">
        <f>D513+E513+F513+G513+H513</f>
        <v>23362.262999999999</v>
      </c>
      <c r="D513" s="8">
        <v>23362.262999999999</v>
      </c>
      <c r="E513" s="8"/>
      <c r="F513" s="8"/>
      <c r="G513" s="8"/>
      <c r="H513" s="8"/>
      <c r="I513" s="44"/>
      <c r="J513" s="44"/>
      <c r="K513" s="44"/>
      <c r="L513" s="44"/>
      <c r="M513" s="44"/>
      <c r="N513" s="44"/>
      <c r="O513" s="44"/>
      <c r="P513" s="47"/>
      <c r="Q513" s="44"/>
      <c r="R513" s="44"/>
      <c r="S513" s="44"/>
      <c r="T513" s="49"/>
    </row>
    <row r="514" spans="1:20" ht="15.95" customHeight="1" x14ac:dyDescent="0.2">
      <c r="A514" s="35"/>
      <c r="B514" s="25" t="s">
        <v>2</v>
      </c>
      <c r="C514" s="6">
        <f>D514+E514+F514+G514+H514</f>
        <v>235.98245454545454</v>
      </c>
      <c r="D514" s="8">
        <v>235.98245454545454</v>
      </c>
      <c r="E514" s="8"/>
      <c r="F514" s="8"/>
      <c r="G514" s="8"/>
      <c r="H514" s="8"/>
      <c r="I514" s="44"/>
      <c r="J514" s="44"/>
      <c r="K514" s="44"/>
      <c r="L514" s="44"/>
      <c r="M514" s="44"/>
      <c r="N514" s="44"/>
      <c r="O514" s="44"/>
      <c r="P514" s="47"/>
      <c r="Q514" s="44"/>
      <c r="R514" s="44"/>
      <c r="S514" s="44"/>
      <c r="T514" s="49"/>
    </row>
    <row r="515" spans="1:20" ht="15.95" customHeight="1" x14ac:dyDescent="0.2">
      <c r="A515" s="36"/>
      <c r="B515" s="25" t="s">
        <v>3</v>
      </c>
      <c r="C515" s="6">
        <f>SUM(D515:H515)</f>
        <v>0</v>
      </c>
      <c r="D515" s="8"/>
      <c r="E515" s="8"/>
      <c r="F515" s="8"/>
      <c r="G515" s="8"/>
      <c r="H515" s="8"/>
      <c r="I515" s="45"/>
      <c r="J515" s="45"/>
      <c r="K515" s="45"/>
      <c r="L515" s="45"/>
      <c r="M515" s="45"/>
      <c r="N515" s="45"/>
      <c r="O515" s="45"/>
      <c r="P515" s="48"/>
      <c r="Q515" s="45"/>
      <c r="R515" s="45"/>
      <c r="S515" s="45"/>
      <c r="T515" s="49"/>
    </row>
    <row r="516" spans="1:20" ht="15.95" customHeight="1" x14ac:dyDescent="0.2">
      <c r="A516" s="34" t="s">
        <v>302</v>
      </c>
      <c r="B516" s="37" t="s">
        <v>526</v>
      </c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8"/>
    </row>
    <row r="517" spans="1:20" ht="15.95" customHeight="1" x14ac:dyDescent="0.2">
      <c r="A517" s="35" t="s">
        <v>74</v>
      </c>
      <c r="B517" s="54" t="s">
        <v>118</v>
      </c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</row>
    <row r="518" spans="1:20" ht="39.950000000000003" customHeight="1" x14ac:dyDescent="0.2">
      <c r="A518" s="35"/>
      <c r="B518" s="57" t="s">
        <v>734</v>
      </c>
      <c r="C518" s="58"/>
      <c r="D518" s="58"/>
      <c r="E518" s="58"/>
      <c r="F518" s="58"/>
      <c r="G518" s="58"/>
      <c r="H518" s="59"/>
      <c r="I518" s="43" t="s">
        <v>20</v>
      </c>
      <c r="J518" s="43"/>
      <c r="K518" s="43" t="s">
        <v>11</v>
      </c>
      <c r="L518" s="43"/>
      <c r="M518" s="43" t="s">
        <v>67</v>
      </c>
      <c r="N518" s="43" t="s">
        <v>526</v>
      </c>
      <c r="O518" s="43" t="s">
        <v>576</v>
      </c>
      <c r="P518" s="46"/>
      <c r="Q518" s="43" t="s">
        <v>7</v>
      </c>
      <c r="R518" s="43" t="s">
        <v>67</v>
      </c>
      <c r="S518" s="43" t="s">
        <v>35</v>
      </c>
      <c r="T518" s="49"/>
    </row>
    <row r="519" spans="1:20" ht="15.95" customHeight="1" x14ac:dyDescent="0.2">
      <c r="A519" s="35"/>
      <c r="B519" s="25" t="s">
        <v>5</v>
      </c>
      <c r="C519" s="6">
        <f>D519+E519+F519+G519+H519</f>
        <v>3580.9232323232322</v>
      </c>
      <c r="D519" s="8">
        <f t="shared" ref="D519:F519" si="183">SUM(D520:D523)</f>
        <v>3580.9232323232322</v>
      </c>
      <c r="E519" s="8">
        <f t="shared" si="183"/>
        <v>0</v>
      </c>
      <c r="F519" s="8">
        <f t="shared" si="183"/>
        <v>0</v>
      </c>
      <c r="G519" s="8">
        <f t="shared" ref="G519:H519" si="184">SUM(G520:G523)</f>
        <v>0</v>
      </c>
      <c r="H519" s="8">
        <f t="shared" si="184"/>
        <v>0</v>
      </c>
      <c r="I519" s="44"/>
      <c r="J519" s="44"/>
      <c r="K519" s="44"/>
      <c r="L519" s="44"/>
      <c r="M519" s="44"/>
      <c r="N519" s="44"/>
      <c r="O519" s="44"/>
      <c r="P519" s="47"/>
      <c r="Q519" s="44"/>
      <c r="R519" s="44"/>
      <c r="S519" s="44"/>
      <c r="T519" s="49"/>
    </row>
    <row r="520" spans="1:20" ht="15.95" customHeight="1" x14ac:dyDescent="0.2">
      <c r="A520" s="35"/>
      <c r="B520" s="25" t="s">
        <v>0</v>
      </c>
      <c r="C520" s="6">
        <f>D520+E520+F520+G520+H520</f>
        <v>0</v>
      </c>
      <c r="D520" s="8"/>
      <c r="E520" s="8"/>
      <c r="F520" s="8"/>
      <c r="G520" s="8"/>
      <c r="H520" s="8"/>
      <c r="I520" s="44"/>
      <c r="J520" s="44"/>
      <c r="K520" s="44"/>
      <c r="L520" s="44"/>
      <c r="M520" s="44"/>
      <c r="N520" s="44"/>
      <c r="O520" s="44"/>
      <c r="P520" s="47"/>
      <c r="Q520" s="44"/>
      <c r="R520" s="44"/>
      <c r="S520" s="44"/>
      <c r="T520" s="49"/>
    </row>
    <row r="521" spans="1:20" ht="15.95" customHeight="1" x14ac:dyDescent="0.2">
      <c r="A521" s="35"/>
      <c r="B521" s="25" t="s">
        <v>1</v>
      </c>
      <c r="C521" s="6">
        <f>D521+E521+F521+G521+H521</f>
        <v>3545.114</v>
      </c>
      <c r="D521" s="8">
        <v>3545.114</v>
      </c>
      <c r="E521" s="8"/>
      <c r="F521" s="8"/>
      <c r="G521" s="8"/>
      <c r="H521" s="8"/>
      <c r="I521" s="44"/>
      <c r="J521" s="44"/>
      <c r="K521" s="44"/>
      <c r="L521" s="44"/>
      <c r="M521" s="44"/>
      <c r="N521" s="44"/>
      <c r="O521" s="44"/>
      <c r="P521" s="47"/>
      <c r="Q521" s="44"/>
      <c r="R521" s="44"/>
      <c r="S521" s="44"/>
      <c r="T521" s="49"/>
    </row>
    <row r="522" spans="1:20" ht="15.95" customHeight="1" x14ac:dyDescent="0.2">
      <c r="A522" s="35"/>
      <c r="B522" s="25" t="s">
        <v>2</v>
      </c>
      <c r="C522" s="6">
        <f>D522+E522+F522+G522+H522</f>
        <v>35.809232323232322</v>
      </c>
      <c r="D522" s="8">
        <v>35.809232323232322</v>
      </c>
      <c r="E522" s="8"/>
      <c r="F522" s="8"/>
      <c r="G522" s="8"/>
      <c r="H522" s="8"/>
      <c r="I522" s="44"/>
      <c r="J522" s="44"/>
      <c r="K522" s="44"/>
      <c r="L522" s="44"/>
      <c r="M522" s="44"/>
      <c r="N522" s="44"/>
      <c r="O522" s="44"/>
      <c r="P522" s="47"/>
      <c r="Q522" s="44"/>
      <c r="R522" s="44"/>
      <c r="S522" s="44"/>
      <c r="T522" s="49"/>
    </row>
    <row r="523" spans="1:20" ht="15.95" customHeight="1" x14ac:dyDescent="0.2">
      <c r="A523" s="36"/>
      <c r="B523" s="25" t="s">
        <v>3</v>
      </c>
      <c r="C523" s="6">
        <f>SUM(D523:H523)</f>
        <v>0</v>
      </c>
      <c r="D523" s="8"/>
      <c r="E523" s="8"/>
      <c r="F523" s="8"/>
      <c r="G523" s="8"/>
      <c r="H523" s="8"/>
      <c r="I523" s="45"/>
      <c r="J523" s="45"/>
      <c r="K523" s="45"/>
      <c r="L523" s="45"/>
      <c r="M523" s="45"/>
      <c r="N523" s="45"/>
      <c r="O523" s="45"/>
      <c r="P523" s="48"/>
      <c r="Q523" s="45"/>
      <c r="R523" s="45"/>
      <c r="S523" s="45"/>
      <c r="T523" s="49"/>
    </row>
    <row r="524" spans="1:20" ht="15.95" customHeight="1" x14ac:dyDescent="0.2">
      <c r="A524" s="34" t="s">
        <v>303</v>
      </c>
      <c r="B524" s="37" t="s">
        <v>526</v>
      </c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8"/>
    </row>
    <row r="525" spans="1:20" ht="15.95" customHeight="1" x14ac:dyDescent="0.2">
      <c r="A525" s="35" t="s">
        <v>74</v>
      </c>
      <c r="B525" s="54" t="s">
        <v>118</v>
      </c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</row>
    <row r="526" spans="1:20" ht="39.950000000000003" customHeight="1" x14ac:dyDescent="0.2">
      <c r="A526" s="35"/>
      <c r="B526" s="57" t="s">
        <v>734</v>
      </c>
      <c r="C526" s="58"/>
      <c r="D526" s="58"/>
      <c r="E526" s="58"/>
      <c r="F526" s="58"/>
      <c r="G526" s="58"/>
      <c r="H526" s="59"/>
      <c r="I526" s="43" t="s">
        <v>20</v>
      </c>
      <c r="J526" s="43"/>
      <c r="K526" s="43" t="s">
        <v>11</v>
      </c>
      <c r="L526" s="43"/>
      <c r="M526" s="43" t="s">
        <v>580</v>
      </c>
      <c r="N526" s="43" t="s">
        <v>526</v>
      </c>
      <c r="O526" s="43" t="s">
        <v>581</v>
      </c>
      <c r="P526" s="46"/>
      <c r="Q526" s="43" t="s">
        <v>7</v>
      </c>
      <c r="R526" s="43" t="s">
        <v>580</v>
      </c>
      <c r="S526" s="43" t="s">
        <v>35</v>
      </c>
      <c r="T526" s="49"/>
    </row>
    <row r="527" spans="1:20" ht="15.95" customHeight="1" x14ac:dyDescent="0.2">
      <c r="A527" s="35"/>
      <c r="B527" s="25" t="s">
        <v>5</v>
      </c>
      <c r="C527" s="6">
        <f>D527+E527+F527+G527+H527</f>
        <v>5050.5050505050503</v>
      </c>
      <c r="D527" s="8">
        <f t="shared" ref="D527:F527" si="185">SUM(D528:D531)</f>
        <v>5050.5050505050503</v>
      </c>
      <c r="E527" s="8">
        <f t="shared" si="185"/>
        <v>0</v>
      </c>
      <c r="F527" s="8">
        <f t="shared" si="185"/>
        <v>0</v>
      </c>
      <c r="G527" s="8">
        <f t="shared" ref="G527:H527" si="186">SUM(G528:G531)</f>
        <v>0</v>
      </c>
      <c r="H527" s="8">
        <f t="shared" si="186"/>
        <v>0</v>
      </c>
      <c r="I527" s="44"/>
      <c r="J527" s="44"/>
      <c r="K527" s="44"/>
      <c r="L527" s="44"/>
      <c r="M527" s="44"/>
      <c r="N527" s="44"/>
      <c r="O527" s="44"/>
      <c r="P527" s="47"/>
      <c r="Q527" s="44"/>
      <c r="R527" s="44"/>
      <c r="S527" s="44"/>
      <c r="T527" s="49"/>
    </row>
    <row r="528" spans="1:20" ht="15.95" customHeight="1" x14ac:dyDescent="0.2">
      <c r="A528" s="35"/>
      <c r="B528" s="25" t="s">
        <v>0</v>
      </c>
      <c r="C528" s="6">
        <f>D528+E528+F528+G528+H528</f>
        <v>0</v>
      </c>
      <c r="D528" s="8"/>
      <c r="E528" s="8"/>
      <c r="F528" s="8"/>
      <c r="G528" s="8"/>
      <c r="H528" s="8"/>
      <c r="I528" s="44"/>
      <c r="J528" s="44"/>
      <c r="K528" s="44"/>
      <c r="L528" s="44"/>
      <c r="M528" s="44"/>
      <c r="N528" s="44"/>
      <c r="O528" s="44"/>
      <c r="P528" s="47"/>
      <c r="Q528" s="44"/>
      <c r="R528" s="44"/>
      <c r="S528" s="44"/>
      <c r="T528" s="49"/>
    </row>
    <row r="529" spans="1:20" ht="15.95" customHeight="1" x14ac:dyDescent="0.2">
      <c r="A529" s="35"/>
      <c r="B529" s="25" t="s">
        <v>1</v>
      </c>
      <c r="C529" s="6">
        <f>D529+E529+F529+G529+H529</f>
        <v>5000</v>
      </c>
      <c r="D529" s="8">
        <v>5000</v>
      </c>
      <c r="E529" s="8"/>
      <c r="F529" s="8"/>
      <c r="G529" s="8"/>
      <c r="H529" s="8"/>
      <c r="I529" s="44"/>
      <c r="J529" s="44"/>
      <c r="K529" s="44"/>
      <c r="L529" s="44"/>
      <c r="M529" s="44"/>
      <c r="N529" s="44"/>
      <c r="O529" s="44"/>
      <c r="P529" s="47"/>
      <c r="Q529" s="44"/>
      <c r="R529" s="44"/>
      <c r="S529" s="44"/>
      <c r="T529" s="49"/>
    </row>
    <row r="530" spans="1:20" ht="15.95" customHeight="1" x14ac:dyDescent="0.2">
      <c r="A530" s="35"/>
      <c r="B530" s="25" t="s">
        <v>2</v>
      </c>
      <c r="C530" s="6">
        <f>D530+E530+F530+G530+H530</f>
        <v>50.505050505050505</v>
      </c>
      <c r="D530" s="8">
        <v>50.505050505050505</v>
      </c>
      <c r="E530" s="8"/>
      <c r="F530" s="8"/>
      <c r="G530" s="8"/>
      <c r="H530" s="8"/>
      <c r="I530" s="44"/>
      <c r="J530" s="44"/>
      <c r="K530" s="44"/>
      <c r="L530" s="44"/>
      <c r="M530" s="44"/>
      <c r="N530" s="44"/>
      <c r="O530" s="44"/>
      <c r="P530" s="47"/>
      <c r="Q530" s="44"/>
      <c r="R530" s="44"/>
      <c r="S530" s="44"/>
      <c r="T530" s="49"/>
    </row>
    <row r="531" spans="1:20" ht="15.95" customHeight="1" x14ac:dyDescent="0.2">
      <c r="A531" s="36"/>
      <c r="B531" s="25" t="s">
        <v>3</v>
      </c>
      <c r="C531" s="6">
        <f>SUM(D531:H531)</f>
        <v>0</v>
      </c>
      <c r="D531" s="8"/>
      <c r="E531" s="8"/>
      <c r="F531" s="8"/>
      <c r="G531" s="8"/>
      <c r="H531" s="8"/>
      <c r="I531" s="45"/>
      <c r="J531" s="45"/>
      <c r="K531" s="45"/>
      <c r="L531" s="45"/>
      <c r="M531" s="45"/>
      <c r="N531" s="45"/>
      <c r="O531" s="45"/>
      <c r="P531" s="48"/>
      <c r="Q531" s="45"/>
      <c r="R531" s="45"/>
      <c r="S531" s="45"/>
      <c r="T531" s="49"/>
    </row>
    <row r="532" spans="1:20" ht="15.95" customHeight="1" x14ac:dyDescent="0.2">
      <c r="A532" s="34" t="s">
        <v>304</v>
      </c>
      <c r="B532" s="37" t="s">
        <v>526</v>
      </c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8"/>
    </row>
    <row r="533" spans="1:20" ht="15.95" customHeight="1" x14ac:dyDescent="0.2">
      <c r="A533" s="35" t="s">
        <v>74</v>
      </c>
      <c r="B533" s="54" t="s">
        <v>118</v>
      </c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</row>
    <row r="534" spans="1:20" ht="39.950000000000003" customHeight="1" x14ac:dyDescent="0.2">
      <c r="A534" s="35"/>
      <c r="B534" s="57" t="s">
        <v>734</v>
      </c>
      <c r="C534" s="58"/>
      <c r="D534" s="58"/>
      <c r="E534" s="58"/>
      <c r="F534" s="58"/>
      <c r="G534" s="58"/>
      <c r="H534" s="59"/>
      <c r="I534" s="43" t="s">
        <v>20</v>
      </c>
      <c r="J534" s="43"/>
      <c r="K534" s="43" t="s">
        <v>11</v>
      </c>
      <c r="L534" s="43"/>
      <c r="M534" s="43" t="s">
        <v>595</v>
      </c>
      <c r="N534" s="43" t="s">
        <v>526</v>
      </c>
      <c r="O534" s="43" t="s">
        <v>596</v>
      </c>
      <c r="P534" s="46"/>
      <c r="Q534" s="43" t="s">
        <v>7</v>
      </c>
      <c r="R534" s="43" t="s">
        <v>595</v>
      </c>
      <c r="S534" s="43" t="s">
        <v>35</v>
      </c>
      <c r="T534" s="49"/>
    </row>
    <row r="535" spans="1:20" ht="15.95" customHeight="1" x14ac:dyDescent="0.2">
      <c r="A535" s="35"/>
      <c r="B535" s="25" t="s">
        <v>5</v>
      </c>
      <c r="C535" s="6">
        <f>D535+E535+F535+G535+H535</f>
        <v>14343.434282828282</v>
      </c>
      <c r="D535" s="8">
        <f t="shared" ref="D535:F535" si="187">SUM(D536:D539)</f>
        <v>14343.434282828282</v>
      </c>
      <c r="E535" s="8">
        <f t="shared" si="187"/>
        <v>0</v>
      </c>
      <c r="F535" s="8">
        <f t="shared" si="187"/>
        <v>0</v>
      </c>
      <c r="G535" s="8">
        <f t="shared" ref="G535:H535" si="188">SUM(G536:G539)</f>
        <v>0</v>
      </c>
      <c r="H535" s="8">
        <f t="shared" si="188"/>
        <v>0</v>
      </c>
      <c r="I535" s="44"/>
      <c r="J535" s="44"/>
      <c r="K535" s="44"/>
      <c r="L535" s="44"/>
      <c r="M535" s="44"/>
      <c r="N535" s="44"/>
      <c r="O535" s="44"/>
      <c r="P535" s="47"/>
      <c r="Q535" s="44"/>
      <c r="R535" s="44"/>
      <c r="S535" s="44"/>
      <c r="T535" s="49"/>
    </row>
    <row r="536" spans="1:20" ht="15.95" customHeight="1" x14ac:dyDescent="0.2">
      <c r="A536" s="35"/>
      <c r="B536" s="25" t="s">
        <v>0</v>
      </c>
      <c r="C536" s="6">
        <f>D536+E536+F536+G536+H536</f>
        <v>0</v>
      </c>
      <c r="D536" s="8"/>
      <c r="E536" s="8"/>
      <c r="F536" s="8"/>
      <c r="G536" s="8"/>
      <c r="H536" s="8"/>
      <c r="I536" s="44"/>
      <c r="J536" s="44"/>
      <c r="K536" s="44"/>
      <c r="L536" s="44"/>
      <c r="M536" s="44"/>
      <c r="N536" s="44"/>
      <c r="O536" s="44"/>
      <c r="P536" s="47"/>
      <c r="Q536" s="44"/>
      <c r="R536" s="44"/>
      <c r="S536" s="44"/>
      <c r="T536" s="49"/>
    </row>
    <row r="537" spans="1:20" ht="15.95" customHeight="1" x14ac:dyDescent="0.2">
      <c r="A537" s="35"/>
      <c r="B537" s="25" t="s">
        <v>1</v>
      </c>
      <c r="C537" s="6">
        <f>D537+E537+F537+G537+H537</f>
        <v>14199.99994</v>
      </c>
      <c r="D537" s="8">
        <v>14199.99994</v>
      </c>
      <c r="E537" s="8"/>
      <c r="F537" s="8"/>
      <c r="G537" s="8"/>
      <c r="H537" s="8"/>
      <c r="I537" s="44"/>
      <c r="J537" s="44"/>
      <c r="K537" s="44"/>
      <c r="L537" s="44"/>
      <c r="M537" s="44"/>
      <c r="N537" s="44"/>
      <c r="O537" s="44"/>
      <c r="P537" s="47"/>
      <c r="Q537" s="44"/>
      <c r="R537" s="44"/>
      <c r="S537" s="44"/>
      <c r="T537" s="49"/>
    </row>
    <row r="538" spans="1:20" ht="15.95" customHeight="1" x14ac:dyDescent="0.2">
      <c r="A538" s="35"/>
      <c r="B538" s="25" t="s">
        <v>2</v>
      </c>
      <c r="C538" s="6">
        <f>D538+E538+F538+G538+H538</f>
        <v>143.43434282828284</v>
      </c>
      <c r="D538" s="8">
        <v>143.43434282828284</v>
      </c>
      <c r="E538" s="8"/>
      <c r="F538" s="8"/>
      <c r="G538" s="8"/>
      <c r="H538" s="8"/>
      <c r="I538" s="44"/>
      <c r="J538" s="44"/>
      <c r="K538" s="44"/>
      <c r="L538" s="44"/>
      <c r="M538" s="44"/>
      <c r="N538" s="44"/>
      <c r="O538" s="44"/>
      <c r="P538" s="47"/>
      <c r="Q538" s="44"/>
      <c r="R538" s="44"/>
      <c r="S538" s="44"/>
      <c r="T538" s="49"/>
    </row>
    <row r="539" spans="1:20" ht="15.95" customHeight="1" x14ac:dyDescent="0.2">
      <c r="A539" s="36"/>
      <c r="B539" s="25" t="s">
        <v>3</v>
      </c>
      <c r="C539" s="6">
        <f>SUM(D539:H539)</f>
        <v>0</v>
      </c>
      <c r="D539" s="8"/>
      <c r="E539" s="8"/>
      <c r="F539" s="8"/>
      <c r="G539" s="8"/>
      <c r="H539" s="8"/>
      <c r="I539" s="45"/>
      <c r="J539" s="45"/>
      <c r="K539" s="45"/>
      <c r="L539" s="45"/>
      <c r="M539" s="45"/>
      <c r="N539" s="45"/>
      <c r="O539" s="45"/>
      <c r="P539" s="48"/>
      <c r="Q539" s="45"/>
      <c r="R539" s="45"/>
      <c r="S539" s="45"/>
      <c r="T539" s="49"/>
    </row>
    <row r="540" spans="1:20" ht="15.95" customHeight="1" x14ac:dyDescent="0.2">
      <c r="A540" s="34" t="s">
        <v>305</v>
      </c>
      <c r="B540" s="37" t="s">
        <v>526</v>
      </c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8"/>
    </row>
    <row r="541" spans="1:20" ht="15.95" customHeight="1" x14ac:dyDescent="0.2">
      <c r="A541" s="35" t="s">
        <v>74</v>
      </c>
      <c r="B541" s="54" t="s">
        <v>144</v>
      </c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</row>
    <row r="542" spans="1:20" ht="39.950000000000003" customHeight="1" x14ac:dyDescent="0.2">
      <c r="A542" s="35"/>
      <c r="B542" s="57" t="s">
        <v>145</v>
      </c>
      <c r="C542" s="58"/>
      <c r="D542" s="58"/>
      <c r="E542" s="58"/>
      <c r="F542" s="58"/>
      <c r="G542" s="58"/>
      <c r="H542" s="59"/>
      <c r="I542" s="43" t="s">
        <v>29</v>
      </c>
      <c r="J542" s="43"/>
      <c r="K542" s="43" t="s">
        <v>47</v>
      </c>
      <c r="L542" s="43"/>
      <c r="M542" s="43" t="s">
        <v>72</v>
      </c>
      <c r="N542" s="43" t="s">
        <v>526</v>
      </c>
      <c r="O542" s="43" t="s">
        <v>84</v>
      </c>
      <c r="P542" s="46"/>
      <c r="Q542" s="43" t="s">
        <v>7</v>
      </c>
      <c r="R542" s="43" t="s">
        <v>72</v>
      </c>
      <c r="S542" s="43" t="s">
        <v>34</v>
      </c>
      <c r="T542" s="49"/>
    </row>
    <row r="543" spans="1:20" ht="15.95" customHeight="1" x14ac:dyDescent="0.2">
      <c r="A543" s="35"/>
      <c r="B543" s="25" t="s">
        <v>5</v>
      </c>
      <c r="C543" s="6">
        <f t="shared" ref="C543:C547" si="189">D543+E543+F543+G543+H543</f>
        <v>122012</v>
      </c>
      <c r="D543" s="6">
        <f t="shared" ref="D543" si="190">SUM(D544:D548)</f>
        <v>0</v>
      </c>
      <c r="E543" s="6">
        <f>SUM(E544:E548)</f>
        <v>0</v>
      </c>
      <c r="F543" s="6">
        <f>SUM(F544:F548)</f>
        <v>0</v>
      </c>
      <c r="G543" s="6">
        <f>SUM(G544:G548)</f>
        <v>122012</v>
      </c>
      <c r="H543" s="8">
        <f>SUM(H544:H548)</f>
        <v>0</v>
      </c>
      <c r="I543" s="44"/>
      <c r="J543" s="44"/>
      <c r="K543" s="44"/>
      <c r="L543" s="44"/>
      <c r="M543" s="44"/>
      <c r="N543" s="44"/>
      <c r="O543" s="44"/>
      <c r="P543" s="47"/>
      <c r="Q543" s="44"/>
      <c r="R543" s="44"/>
      <c r="S543" s="44"/>
      <c r="T543" s="49"/>
    </row>
    <row r="544" spans="1:20" ht="15.95" customHeight="1" x14ac:dyDescent="0.2">
      <c r="A544" s="35"/>
      <c r="B544" s="25" t="s">
        <v>0</v>
      </c>
      <c r="C544" s="6">
        <f t="shared" si="189"/>
        <v>0</v>
      </c>
      <c r="D544" s="8"/>
      <c r="E544" s="8"/>
      <c r="F544" s="8"/>
      <c r="G544" s="8"/>
      <c r="H544" s="8"/>
      <c r="I544" s="44"/>
      <c r="J544" s="44"/>
      <c r="K544" s="44"/>
      <c r="L544" s="44"/>
      <c r="M544" s="44"/>
      <c r="N544" s="44"/>
      <c r="O544" s="44"/>
      <c r="P544" s="47"/>
      <c r="Q544" s="44"/>
      <c r="R544" s="44"/>
      <c r="S544" s="44"/>
      <c r="T544" s="49"/>
    </row>
    <row r="545" spans="1:20" ht="15.95" customHeight="1" x14ac:dyDescent="0.2">
      <c r="A545" s="35"/>
      <c r="B545" s="25" t="s">
        <v>1</v>
      </c>
      <c r="C545" s="6">
        <f t="shared" si="189"/>
        <v>1207.9187999999999</v>
      </c>
      <c r="D545" s="8">
        <f>319410.71612-319410.71612</f>
        <v>0</v>
      </c>
      <c r="E545" s="8">
        <f>283756.68054-283756.68054</f>
        <v>0</v>
      </c>
      <c r="F545" s="8">
        <f>2527.72839-2527.72839</f>
        <v>0</v>
      </c>
      <c r="G545" s="8">
        <v>1207.9187999999999</v>
      </c>
      <c r="H545" s="8">
        <v>0</v>
      </c>
      <c r="I545" s="44"/>
      <c r="J545" s="44"/>
      <c r="K545" s="44"/>
      <c r="L545" s="44"/>
      <c r="M545" s="44"/>
      <c r="N545" s="44"/>
      <c r="O545" s="44"/>
      <c r="P545" s="47"/>
      <c r="Q545" s="44"/>
      <c r="R545" s="44"/>
      <c r="S545" s="44"/>
      <c r="T545" s="49"/>
    </row>
    <row r="546" spans="1:20" ht="15.95" customHeight="1" x14ac:dyDescent="0.2">
      <c r="A546" s="35"/>
      <c r="B546" s="25" t="s">
        <v>2</v>
      </c>
      <c r="C546" s="6">
        <f t="shared" si="189"/>
        <v>12.2012</v>
      </c>
      <c r="D546" s="8">
        <f>3226.37087-3226.37087</f>
        <v>0</v>
      </c>
      <c r="E546" s="8">
        <f>2866.2291-2866.2291</f>
        <v>0</v>
      </c>
      <c r="F546" s="8">
        <f>25.53261-25.53261</f>
        <v>0</v>
      </c>
      <c r="G546" s="8">
        <v>12.2012</v>
      </c>
      <c r="H546" s="8">
        <v>0</v>
      </c>
      <c r="I546" s="44"/>
      <c r="J546" s="44"/>
      <c r="K546" s="44"/>
      <c r="L546" s="44"/>
      <c r="M546" s="44"/>
      <c r="N546" s="44"/>
      <c r="O546" s="44"/>
      <c r="P546" s="47"/>
      <c r="Q546" s="44"/>
      <c r="R546" s="44"/>
      <c r="S546" s="44"/>
      <c r="T546" s="49"/>
    </row>
    <row r="547" spans="1:20" ht="15.95" customHeight="1" x14ac:dyDescent="0.2">
      <c r="A547" s="35"/>
      <c r="B547" s="25" t="s">
        <v>3</v>
      </c>
      <c r="C547" s="6">
        <f t="shared" si="189"/>
        <v>0</v>
      </c>
      <c r="D547" s="8"/>
      <c r="E547" s="8"/>
      <c r="F547" s="8"/>
      <c r="G547" s="8"/>
      <c r="H547" s="8"/>
      <c r="I547" s="44"/>
      <c r="J547" s="44"/>
      <c r="K547" s="44"/>
      <c r="L547" s="44"/>
      <c r="M547" s="44"/>
      <c r="N547" s="44"/>
      <c r="O547" s="44"/>
      <c r="P547" s="47"/>
      <c r="Q547" s="44"/>
      <c r="R547" s="44"/>
      <c r="S547" s="44"/>
      <c r="T547" s="49"/>
    </row>
    <row r="548" spans="1:20" ht="39.950000000000003" customHeight="1" x14ac:dyDescent="0.2">
      <c r="A548" s="36"/>
      <c r="B548" s="25" t="s">
        <v>230</v>
      </c>
      <c r="C548" s="6">
        <f>D548+E548+F548+G548+H548</f>
        <v>120791.88</v>
      </c>
      <c r="D548" s="8">
        <f>262009.24184-262009.24184</f>
        <v>0</v>
      </c>
      <c r="E548" s="8">
        <f>229638.12236-229638.12236</f>
        <v>0</v>
      </c>
      <c r="F548" s="8">
        <f>252772.839-252772.839</f>
        <v>0</v>
      </c>
      <c r="G548" s="8">
        <v>120791.88</v>
      </c>
      <c r="H548" s="8">
        <v>0</v>
      </c>
      <c r="I548" s="45"/>
      <c r="J548" s="45"/>
      <c r="K548" s="45"/>
      <c r="L548" s="45"/>
      <c r="M548" s="45"/>
      <c r="N548" s="45"/>
      <c r="O548" s="45"/>
      <c r="P548" s="48"/>
      <c r="Q548" s="45"/>
      <c r="R548" s="45"/>
      <c r="S548" s="45"/>
      <c r="T548" s="49"/>
    </row>
    <row r="549" spans="1:20" ht="17.25" customHeight="1" x14ac:dyDescent="0.2">
      <c r="A549" s="34" t="s">
        <v>306</v>
      </c>
      <c r="B549" s="37" t="s">
        <v>526</v>
      </c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8"/>
    </row>
    <row r="550" spans="1:20" ht="17.25" customHeight="1" x14ac:dyDescent="0.2">
      <c r="A550" s="35" t="s">
        <v>74</v>
      </c>
      <c r="B550" s="54" t="s">
        <v>144</v>
      </c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</row>
    <row r="551" spans="1:20" ht="50.1" customHeight="1" x14ac:dyDescent="0.2">
      <c r="A551" s="35"/>
      <c r="B551" s="57" t="s">
        <v>145</v>
      </c>
      <c r="C551" s="58"/>
      <c r="D551" s="58"/>
      <c r="E551" s="58"/>
      <c r="F551" s="58"/>
      <c r="G551" s="58"/>
      <c r="H551" s="59"/>
      <c r="I551" s="43" t="s">
        <v>20</v>
      </c>
      <c r="J551" s="43"/>
      <c r="K551" s="43" t="s">
        <v>47</v>
      </c>
      <c r="L551" s="43"/>
      <c r="M551" s="43" t="s">
        <v>62</v>
      </c>
      <c r="N551" s="43" t="s">
        <v>526</v>
      </c>
      <c r="O551" s="43" t="s">
        <v>572</v>
      </c>
      <c r="P551" s="46"/>
      <c r="Q551" s="43" t="s">
        <v>7</v>
      </c>
      <c r="R551" s="43" t="s">
        <v>62</v>
      </c>
      <c r="S551" s="43" t="s">
        <v>35</v>
      </c>
      <c r="T551" s="49"/>
    </row>
    <row r="552" spans="1:20" ht="16.5" customHeight="1" x14ac:dyDescent="0.2">
      <c r="A552" s="35"/>
      <c r="B552" s="25" t="s">
        <v>5</v>
      </c>
      <c r="C552" s="6">
        <f t="shared" ref="C552:C556" si="191">D552+E552+F552+G552+H552</f>
        <v>300245.90460999997</v>
      </c>
      <c r="D552" s="6">
        <f t="shared" ref="D552" si="192">SUM(D553:D557)</f>
        <v>300245.90460999997</v>
      </c>
      <c r="E552" s="6">
        <f>SUM(E553:E557)</f>
        <v>0</v>
      </c>
      <c r="F552" s="6">
        <f>SUM(F553:F557)</f>
        <v>0</v>
      </c>
      <c r="G552" s="6">
        <f>SUM(G553:G557)</f>
        <v>0</v>
      </c>
      <c r="H552" s="8">
        <f>SUM(H553:H557)</f>
        <v>0</v>
      </c>
      <c r="I552" s="44"/>
      <c r="J552" s="44"/>
      <c r="K552" s="44"/>
      <c r="L552" s="44"/>
      <c r="M552" s="44"/>
      <c r="N552" s="44"/>
      <c r="O552" s="44"/>
      <c r="P552" s="47"/>
      <c r="Q552" s="44"/>
      <c r="R552" s="44"/>
      <c r="S552" s="44"/>
      <c r="T552" s="49"/>
    </row>
    <row r="553" spans="1:20" ht="18" customHeight="1" x14ac:dyDescent="0.2">
      <c r="A553" s="35"/>
      <c r="B553" s="25" t="s">
        <v>0</v>
      </c>
      <c r="C553" s="6">
        <f t="shared" si="191"/>
        <v>0</v>
      </c>
      <c r="D553" s="8"/>
      <c r="E553" s="8"/>
      <c r="F553" s="8"/>
      <c r="G553" s="8"/>
      <c r="H553" s="8"/>
      <c r="I553" s="44"/>
      <c r="J553" s="44"/>
      <c r="K553" s="44"/>
      <c r="L553" s="44"/>
      <c r="M553" s="44"/>
      <c r="N553" s="44"/>
      <c r="O553" s="44"/>
      <c r="P553" s="47"/>
      <c r="Q553" s="44"/>
      <c r="R553" s="44"/>
      <c r="S553" s="44"/>
      <c r="T553" s="49"/>
    </row>
    <row r="554" spans="1:20" ht="19.5" customHeight="1" x14ac:dyDescent="0.2">
      <c r="A554" s="35"/>
      <c r="B554" s="25" t="s">
        <v>1</v>
      </c>
      <c r="C554" s="6">
        <f t="shared" si="191"/>
        <v>93767.815499999997</v>
      </c>
      <c r="D554" s="8">
        <v>93767.815499999997</v>
      </c>
      <c r="E554" s="8"/>
      <c r="F554" s="8"/>
      <c r="G554" s="8"/>
      <c r="H554" s="8"/>
      <c r="I554" s="44"/>
      <c r="J554" s="44"/>
      <c r="K554" s="44"/>
      <c r="L554" s="44"/>
      <c r="M554" s="44"/>
      <c r="N554" s="44"/>
      <c r="O554" s="44"/>
      <c r="P554" s="47"/>
      <c r="Q554" s="44"/>
      <c r="R554" s="44"/>
      <c r="S554" s="44"/>
      <c r="T554" s="49"/>
    </row>
    <row r="555" spans="1:20" ht="15" customHeight="1" x14ac:dyDescent="0.2">
      <c r="A555" s="35"/>
      <c r="B555" s="25" t="s">
        <v>2</v>
      </c>
      <c r="C555" s="6">
        <f t="shared" si="191"/>
        <v>321.51650000000001</v>
      </c>
      <c r="D555" s="8">
        <v>321.51650000000001</v>
      </c>
      <c r="E555" s="8"/>
      <c r="F555" s="8"/>
      <c r="G555" s="8"/>
      <c r="H555" s="8"/>
      <c r="I555" s="44"/>
      <c r="J555" s="44"/>
      <c r="K555" s="44"/>
      <c r="L555" s="44"/>
      <c r="M555" s="44"/>
      <c r="N555" s="44"/>
      <c r="O555" s="44"/>
      <c r="P555" s="47"/>
      <c r="Q555" s="44"/>
      <c r="R555" s="44"/>
      <c r="S555" s="44"/>
      <c r="T555" s="49"/>
    </row>
    <row r="556" spans="1:20" ht="18" customHeight="1" x14ac:dyDescent="0.2">
      <c r="A556" s="35"/>
      <c r="B556" s="25" t="s">
        <v>3</v>
      </c>
      <c r="C556" s="6">
        <f t="shared" si="191"/>
        <v>0</v>
      </c>
      <c r="D556" s="8"/>
      <c r="E556" s="8"/>
      <c r="F556" s="8"/>
      <c r="G556" s="8"/>
      <c r="H556" s="8"/>
      <c r="I556" s="44"/>
      <c r="J556" s="44"/>
      <c r="K556" s="44"/>
      <c r="L556" s="44"/>
      <c r="M556" s="44"/>
      <c r="N556" s="44"/>
      <c r="O556" s="44"/>
      <c r="P556" s="47"/>
      <c r="Q556" s="44"/>
      <c r="R556" s="44"/>
      <c r="S556" s="44"/>
      <c r="T556" s="49"/>
    </row>
    <row r="557" spans="1:20" ht="39.950000000000003" customHeight="1" x14ac:dyDescent="0.2">
      <c r="A557" s="36"/>
      <c r="B557" s="25" t="s">
        <v>230</v>
      </c>
      <c r="C557" s="6">
        <f>D557+E557+F557+G557+H557</f>
        <v>206156.57261</v>
      </c>
      <c r="D557" s="8">
        <v>206156.57261</v>
      </c>
      <c r="E557" s="8"/>
      <c r="F557" s="8"/>
      <c r="G557" s="8"/>
      <c r="H557" s="8"/>
      <c r="I557" s="45"/>
      <c r="J557" s="45"/>
      <c r="K557" s="45"/>
      <c r="L557" s="45"/>
      <c r="M557" s="45"/>
      <c r="N557" s="45"/>
      <c r="O557" s="45"/>
      <c r="P557" s="48"/>
      <c r="Q557" s="45"/>
      <c r="R557" s="45"/>
      <c r="S557" s="45"/>
      <c r="T557" s="49"/>
    </row>
    <row r="558" spans="1:20" ht="16.5" customHeight="1" x14ac:dyDescent="0.2">
      <c r="A558" s="34" t="s">
        <v>307</v>
      </c>
      <c r="B558" s="37" t="s">
        <v>526</v>
      </c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8"/>
    </row>
    <row r="559" spans="1:20" ht="16.5" customHeight="1" x14ac:dyDescent="0.2">
      <c r="A559" s="35" t="s">
        <v>74</v>
      </c>
      <c r="B559" s="54" t="s">
        <v>144</v>
      </c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</row>
    <row r="560" spans="1:20" ht="50.1" customHeight="1" x14ac:dyDescent="0.2">
      <c r="A560" s="35"/>
      <c r="B560" s="57" t="s">
        <v>145</v>
      </c>
      <c r="C560" s="58"/>
      <c r="D560" s="58"/>
      <c r="E560" s="58"/>
      <c r="F560" s="58"/>
      <c r="G560" s="58"/>
      <c r="H560" s="59"/>
      <c r="I560" s="43" t="s">
        <v>24</v>
      </c>
      <c r="J560" s="43"/>
      <c r="K560" s="43" t="s">
        <v>47</v>
      </c>
      <c r="L560" s="43"/>
      <c r="M560" s="43" t="s">
        <v>8</v>
      </c>
      <c r="N560" s="43" t="s">
        <v>526</v>
      </c>
      <c r="O560" s="43" t="s">
        <v>573</v>
      </c>
      <c r="P560" s="46"/>
      <c r="Q560" s="43" t="s">
        <v>7</v>
      </c>
      <c r="R560" s="43" t="s">
        <v>8</v>
      </c>
      <c r="S560" s="43" t="s">
        <v>35</v>
      </c>
      <c r="T560" s="49"/>
    </row>
    <row r="561" spans="1:20" ht="16.5" customHeight="1" x14ac:dyDescent="0.2">
      <c r="A561" s="35"/>
      <c r="B561" s="25" t="s">
        <v>5</v>
      </c>
      <c r="C561" s="6">
        <f t="shared" ref="C561:C565" si="193">D561+E561+F561+G561+H561</f>
        <v>124136.55005999999</v>
      </c>
      <c r="D561" s="6">
        <f t="shared" ref="D561" si="194">SUM(D562:D566)</f>
        <v>2933.3333300000004</v>
      </c>
      <c r="E561" s="6">
        <f>SUM(E562:E566)</f>
        <v>120206.40084</v>
      </c>
      <c r="F561" s="6">
        <f>SUM(F562:F566)</f>
        <v>996.81589000000008</v>
      </c>
      <c r="G561" s="6">
        <f>SUM(G562:G566)</f>
        <v>0</v>
      </c>
      <c r="H561" s="8">
        <f>SUM(H562:H566)</f>
        <v>0</v>
      </c>
      <c r="I561" s="44"/>
      <c r="J561" s="44"/>
      <c r="K561" s="44"/>
      <c r="L561" s="44"/>
      <c r="M561" s="44"/>
      <c r="N561" s="44"/>
      <c r="O561" s="44"/>
      <c r="P561" s="47"/>
      <c r="Q561" s="44"/>
      <c r="R561" s="44"/>
      <c r="S561" s="44"/>
      <c r="T561" s="49"/>
    </row>
    <row r="562" spans="1:20" ht="16.5" customHeight="1" x14ac:dyDescent="0.2">
      <c r="A562" s="35"/>
      <c r="B562" s="25" t="s">
        <v>0</v>
      </c>
      <c r="C562" s="6">
        <f t="shared" si="193"/>
        <v>0</v>
      </c>
      <c r="D562" s="8"/>
      <c r="E562" s="8"/>
      <c r="F562" s="8"/>
      <c r="G562" s="8"/>
      <c r="H562" s="8"/>
      <c r="I562" s="44"/>
      <c r="J562" s="44"/>
      <c r="K562" s="44"/>
      <c r="L562" s="44"/>
      <c r="M562" s="44"/>
      <c r="N562" s="44"/>
      <c r="O562" s="44"/>
      <c r="P562" s="47"/>
      <c r="Q562" s="44"/>
      <c r="R562" s="44"/>
      <c r="S562" s="44"/>
      <c r="T562" s="49"/>
    </row>
    <row r="563" spans="1:20" ht="16.5" customHeight="1" x14ac:dyDescent="0.2">
      <c r="A563" s="35"/>
      <c r="B563" s="25" t="s">
        <v>1</v>
      </c>
      <c r="C563" s="6">
        <f t="shared" si="193"/>
        <v>121924.15899</v>
      </c>
      <c r="D563" s="8">
        <f>0+1274.99728</f>
        <v>1274.99728</v>
      </c>
      <c r="E563" s="8">
        <v>119677.393</v>
      </c>
      <c r="F563" s="8">
        <f>0+971.76871</f>
        <v>971.76871000000006</v>
      </c>
      <c r="G563" s="8"/>
      <c r="H563" s="8"/>
      <c r="I563" s="44"/>
      <c r="J563" s="44"/>
      <c r="K563" s="44"/>
      <c r="L563" s="44"/>
      <c r="M563" s="44"/>
      <c r="N563" s="44"/>
      <c r="O563" s="44"/>
      <c r="P563" s="47"/>
      <c r="Q563" s="44"/>
      <c r="R563" s="44"/>
      <c r="S563" s="44"/>
      <c r="T563" s="49"/>
    </row>
    <row r="564" spans="1:20" ht="16.5" customHeight="1" x14ac:dyDescent="0.2">
      <c r="A564" s="35"/>
      <c r="B564" s="25" t="s">
        <v>2</v>
      </c>
      <c r="C564" s="6">
        <f t="shared" si="193"/>
        <v>725.93378000000007</v>
      </c>
      <c r="D564" s="8">
        <f>0+171.87876</f>
        <v>171.87876</v>
      </c>
      <c r="E564" s="8">
        <v>529.00783999999999</v>
      </c>
      <c r="F564" s="8">
        <v>25.047180000000001</v>
      </c>
      <c r="G564" s="8"/>
      <c r="H564" s="8"/>
      <c r="I564" s="44"/>
      <c r="J564" s="44"/>
      <c r="K564" s="44"/>
      <c r="L564" s="44"/>
      <c r="M564" s="44"/>
      <c r="N564" s="44"/>
      <c r="O564" s="44"/>
      <c r="P564" s="47"/>
      <c r="Q564" s="44"/>
      <c r="R564" s="44"/>
      <c r="S564" s="44"/>
      <c r="T564" s="49"/>
    </row>
    <row r="565" spans="1:20" ht="16.5" customHeight="1" x14ac:dyDescent="0.2">
      <c r="A565" s="35"/>
      <c r="B565" s="25" t="s">
        <v>3</v>
      </c>
      <c r="C565" s="6">
        <f t="shared" si="193"/>
        <v>0</v>
      </c>
      <c r="D565" s="8"/>
      <c r="E565" s="8"/>
      <c r="F565" s="8"/>
      <c r="G565" s="8"/>
      <c r="H565" s="8"/>
      <c r="I565" s="44"/>
      <c r="J565" s="44"/>
      <c r="K565" s="44"/>
      <c r="L565" s="44"/>
      <c r="M565" s="44"/>
      <c r="N565" s="44"/>
      <c r="O565" s="44"/>
      <c r="P565" s="47"/>
      <c r="Q565" s="44"/>
      <c r="R565" s="44"/>
      <c r="S565" s="44"/>
      <c r="T565" s="49"/>
    </row>
    <row r="566" spans="1:20" ht="39.950000000000003" customHeight="1" x14ac:dyDescent="0.2">
      <c r="A566" s="36"/>
      <c r="B566" s="25" t="s">
        <v>230</v>
      </c>
      <c r="C566" s="6">
        <f>D566+E566+F566+G566+H566</f>
        <v>1486.4572900000001</v>
      </c>
      <c r="D566" s="8">
        <f>0+1486.45729</f>
        <v>1486.4572900000001</v>
      </c>
      <c r="E566" s="8"/>
      <c r="F566" s="8"/>
      <c r="G566" s="8"/>
      <c r="H566" s="8"/>
      <c r="I566" s="45"/>
      <c r="J566" s="45"/>
      <c r="K566" s="45"/>
      <c r="L566" s="45"/>
      <c r="M566" s="45"/>
      <c r="N566" s="45"/>
      <c r="O566" s="45"/>
      <c r="P566" s="48"/>
      <c r="Q566" s="45"/>
      <c r="R566" s="45"/>
      <c r="S566" s="45"/>
      <c r="T566" s="49"/>
    </row>
    <row r="567" spans="1:20" ht="16.5" customHeight="1" x14ac:dyDescent="0.2">
      <c r="A567" s="34" t="s">
        <v>308</v>
      </c>
      <c r="B567" s="37" t="s">
        <v>526</v>
      </c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8"/>
    </row>
    <row r="568" spans="1:20" ht="16.5" customHeight="1" x14ac:dyDescent="0.2">
      <c r="A568" s="35" t="s">
        <v>74</v>
      </c>
      <c r="B568" s="54" t="s">
        <v>144</v>
      </c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</row>
    <row r="569" spans="1:20" ht="50.1" customHeight="1" x14ac:dyDescent="0.2">
      <c r="A569" s="35"/>
      <c r="B569" s="57" t="s">
        <v>145</v>
      </c>
      <c r="C569" s="58"/>
      <c r="D569" s="58"/>
      <c r="E569" s="58"/>
      <c r="F569" s="58"/>
      <c r="G569" s="58"/>
      <c r="H569" s="59"/>
      <c r="I569" s="43" t="s">
        <v>20</v>
      </c>
      <c r="J569" s="43"/>
      <c r="K569" s="43" t="s">
        <v>47</v>
      </c>
      <c r="L569" s="43"/>
      <c r="M569" s="43" t="s">
        <v>574</v>
      </c>
      <c r="N569" s="43" t="s">
        <v>526</v>
      </c>
      <c r="O569" s="43" t="s">
        <v>575</v>
      </c>
      <c r="P569" s="46"/>
      <c r="Q569" s="43" t="s">
        <v>7</v>
      </c>
      <c r="R569" s="43" t="s">
        <v>574</v>
      </c>
      <c r="S569" s="43" t="s">
        <v>35</v>
      </c>
      <c r="T569" s="49"/>
    </row>
    <row r="570" spans="1:20" ht="16.5" customHeight="1" x14ac:dyDescent="0.2">
      <c r="A570" s="35"/>
      <c r="B570" s="25" t="s">
        <v>5</v>
      </c>
      <c r="C570" s="6">
        <f t="shared" ref="C570:C574" si="195">D570+E570+F570+G570+H570</f>
        <v>84260.159570000003</v>
      </c>
      <c r="D570" s="6">
        <f t="shared" ref="D570" si="196">SUM(D571:D575)</f>
        <v>84260.159570000003</v>
      </c>
      <c r="E570" s="6">
        <f>SUM(E571:E575)</f>
        <v>0</v>
      </c>
      <c r="F570" s="6">
        <f>SUM(F571:F575)</f>
        <v>0</v>
      </c>
      <c r="G570" s="6">
        <f>SUM(G571:G575)</f>
        <v>0</v>
      </c>
      <c r="H570" s="8">
        <f>SUM(H571:H575)</f>
        <v>0</v>
      </c>
      <c r="I570" s="44"/>
      <c r="J570" s="44"/>
      <c r="K570" s="44"/>
      <c r="L570" s="44"/>
      <c r="M570" s="44"/>
      <c r="N570" s="44"/>
      <c r="O570" s="44"/>
      <c r="P570" s="47"/>
      <c r="Q570" s="44"/>
      <c r="R570" s="44"/>
      <c r="S570" s="44"/>
      <c r="T570" s="49"/>
    </row>
    <row r="571" spans="1:20" ht="16.5" customHeight="1" x14ac:dyDescent="0.2">
      <c r="A571" s="35"/>
      <c r="B571" s="25" t="s">
        <v>0</v>
      </c>
      <c r="C571" s="6">
        <f t="shared" si="195"/>
        <v>0</v>
      </c>
      <c r="D571" s="8"/>
      <c r="E571" s="8"/>
      <c r="F571" s="8"/>
      <c r="G571" s="8"/>
      <c r="H571" s="8"/>
      <c r="I571" s="44"/>
      <c r="J571" s="44"/>
      <c r="K571" s="44"/>
      <c r="L571" s="44"/>
      <c r="M571" s="44"/>
      <c r="N571" s="44"/>
      <c r="O571" s="44"/>
      <c r="P571" s="47"/>
      <c r="Q571" s="44"/>
      <c r="R571" s="44"/>
      <c r="S571" s="44"/>
      <c r="T571" s="49"/>
    </row>
    <row r="572" spans="1:20" ht="16.5" customHeight="1" x14ac:dyDescent="0.2">
      <c r="A572" s="35"/>
      <c r="B572" s="25" t="s">
        <v>1</v>
      </c>
      <c r="C572" s="6">
        <f t="shared" si="195"/>
        <v>0</v>
      </c>
      <c r="D572" s="8"/>
      <c r="E572" s="8"/>
      <c r="F572" s="8"/>
      <c r="G572" s="8"/>
      <c r="H572" s="8"/>
      <c r="I572" s="44"/>
      <c r="J572" s="44"/>
      <c r="K572" s="44"/>
      <c r="L572" s="44"/>
      <c r="M572" s="44"/>
      <c r="N572" s="44"/>
      <c r="O572" s="44"/>
      <c r="P572" s="47"/>
      <c r="Q572" s="44"/>
      <c r="R572" s="44"/>
      <c r="S572" s="44"/>
      <c r="T572" s="49"/>
    </row>
    <row r="573" spans="1:20" ht="16.5" customHeight="1" x14ac:dyDescent="0.2">
      <c r="A573" s="35"/>
      <c r="B573" s="25" t="s">
        <v>2</v>
      </c>
      <c r="C573" s="6">
        <f t="shared" si="195"/>
        <v>0</v>
      </c>
      <c r="D573" s="8"/>
      <c r="E573" s="8"/>
      <c r="F573" s="8"/>
      <c r="G573" s="8"/>
      <c r="H573" s="8"/>
      <c r="I573" s="44"/>
      <c r="J573" s="44"/>
      <c r="K573" s="44"/>
      <c r="L573" s="44"/>
      <c r="M573" s="44"/>
      <c r="N573" s="44"/>
      <c r="O573" s="44"/>
      <c r="P573" s="47"/>
      <c r="Q573" s="44"/>
      <c r="R573" s="44"/>
      <c r="S573" s="44"/>
      <c r="T573" s="49"/>
    </row>
    <row r="574" spans="1:20" ht="16.5" customHeight="1" x14ac:dyDescent="0.2">
      <c r="A574" s="35"/>
      <c r="B574" s="25" t="s">
        <v>3</v>
      </c>
      <c r="C574" s="6">
        <f t="shared" si="195"/>
        <v>0</v>
      </c>
      <c r="D574" s="8"/>
      <c r="E574" s="8"/>
      <c r="F574" s="8"/>
      <c r="G574" s="8"/>
      <c r="H574" s="8"/>
      <c r="I574" s="44"/>
      <c r="J574" s="44"/>
      <c r="K574" s="44"/>
      <c r="L574" s="44"/>
      <c r="M574" s="44"/>
      <c r="N574" s="44"/>
      <c r="O574" s="44"/>
      <c r="P574" s="47"/>
      <c r="Q574" s="44"/>
      <c r="R574" s="44"/>
      <c r="S574" s="44"/>
      <c r="T574" s="49"/>
    </row>
    <row r="575" spans="1:20" ht="39.950000000000003" customHeight="1" x14ac:dyDescent="0.2">
      <c r="A575" s="36"/>
      <c r="B575" s="25" t="s">
        <v>230</v>
      </c>
      <c r="C575" s="6">
        <f>D575+E575+F575+G575+H575</f>
        <v>84260.159570000003</v>
      </c>
      <c r="D575" s="8">
        <f>0+84260.15957</f>
        <v>84260.159570000003</v>
      </c>
      <c r="E575" s="8"/>
      <c r="F575" s="8"/>
      <c r="G575" s="8"/>
      <c r="H575" s="8"/>
      <c r="I575" s="45"/>
      <c r="J575" s="45"/>
      <c r="K575" s="45"/>
      <c r="L575" s="45"/>
      <c r="M575" s="45"/>
      <c r="N575" s="45"/>
      <c r="O575" s="45"/>
      <c r="P575" s="48"/>
      <c r="Q575" s="45"/>
      <c r="R575" s="45"/>
      <c r="S575" s="45"/>
      <c r="T575" s="49"/>
    </row>
    <row r="576" spans="1:20" ht="16.5" customHeight="1" x14ac:dyDescent="0.2">
      <c r="A576" s="34" t="s">
        <v>309</v>
      </c>
      <c r="B576" s="37" t="s">
        <v>526</v>
      </c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8"/>
    </row>
    <row r="577" spans="1:20" ht="16.5" customHeight="1" x14ac:dyDescent="0.2">
      <c r="A577" s="35" t="s">
        <v>74</v>
      </c>
      <c r="B577" s="54" t="s">
        <v>144</v>
      </c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</row>
    <row r="578" spans="1:20" ht="50.1" customHeight="1" x14ac:dyDescent="0.2">
      <c r="A578" s="35"/>
      <c r="B578" s="57" t="s">
        <v>145</v>
      </c>
      <c r="C578" s="58"/>
      <c r="D578" s="58"/>
      <c r="E578" s="58"/>
      <c r="F578" s="58"/>
      <c r="G578" s="58"/>
      <c r="H578" s="59"/>
      <c r="I578" s="43" t="s">
        <v>23</v>
      </c>
      <c r="J578" s="43"/>
      <c r="K578" s="43" t="s">
        <v>47</v>
      </c>
      <c r="L578" s="43"/>
      <c r="M578" s="43" t="s">
        <v>67</v>
      </c>
      <c r="N578" s="43" t="s">
        <v>526</v>
      </c>
      <c r="O578" s="43" t="s">
        <v>576</v>
      </c>
      <c r="P578" s="46"/>
      <c r="Q578" s="43" t="s">
        <v>7</v>
      </c>
      <c r="R578" s="43" t="s">
        <v>67</v>
      </c>
      <c r="S578" s="43" t="s">
        <v>35</v>
      </c>
      <c r="T578" s="49"/>
    </row>
    <row r="579" spans="1:20" ht="16.5" customHeight="1" x14ac:dyDescent="0.2">
      <c r="A579" s="35"/>
      <c r="B579" s="25" t="s">
        <v>5</v>
      </c>
      <c r="C579" s="6">
        <f t="shared" ref="C579:C583" si="197">D579+E579+F579+G579+H579</f>
        <v>106376.28946</v>
      </c>
      <c r="D579" s="6">
        <f t="shared" ref="D579" si="198">SUM(D580:D584)</f>
        <v>76221.903529999996</v>
      </c>
      <c r="E579" s="6">
        <f>SUM(E580:E584)</f>
        <v>30154.38593</v>
      </c>
      <c r="F579" s="6">
        <f>SUM(F580:F584)</f>
        <v>0</v>
      </c>
      <c r="G579" s="6">
        <f>SUM(G580:G584)</f>
        <v>0</v>
      </c>
      <c r="H579" s="8">
        <f>SUM(H580:H584)</f>
        <v>0</v>
      </c>
      <c r="I579" s="44"/>
      <c r="J579" s="44"/>
      <c r="K579" s="44"/>
      <c r="L579" s="44"/>
      <c r="M579" s="44"/>
      <c r="N579" s="44"/>
      <c r="O579" s="44"/>
      <c r="P579" s="47"/>
      <c r="Q579" s="44"/>
      <c r="R579" s="44"/>
      <c r="S579" s="44"/>
      <c r="T579" s="49"/>
    </row>
    <row r="580" spans="1:20" ht="16.5" customHeight="1" x14ac:dyDescent="0.2">
      <c r="A580" s="35"/>
      <c r="B580" s="25" t="s">
        <v>0</v>
      </c>
      <c r="C580" s="6">
        <f t="shared" si="197"/>
        <v>0</v>
      </c>
      <c r="D580" s="8"/>
      <c r="E580" s="8"/>
      <c r="F580" s="8"/>
      <c r="G580" s="8"/>
      <c r="H580" s="8"/>
      <c r="I580" s="44"/>
      <c r="J580" s="44"/>
      <c r="K580" s="44"/>
      <c r="L580" s="44"/>
      <c r="M580" s="44"/>
      <c r="N580" s="44"/>
      <c r="O580" s="44"/>
      <c r="P580" s="47"/>
      <c r="Q580" s="44"/>
      <c r="R580" s="44"/>
      <c r="S580" s="44"/>
      <c r="T580" s="49"/>
    </row>
    <row r="581" spans="1:20" ht="16.5" customHeight="1" x14ac:dyDescent="0.2">
      <c r="A581" s="35"/>
      <c r="B581" s="25" t="s">
        <v>1</v>
      </c>
      <c r="C581" s="6">
        <f t="shared" si="197"/>
        <v>84844.103310000006</v>
      </c>
      <c r="D581" s="8">
        <f>0+56699.88958</f>
        <v>56699.889580000003</v>
      </c>
      <c r="E581" s="6">
        <v>28144.213729999999</v>
      </c>
      <c r="F581" s="8"/>
      <c r="G581" s="8"/>
      <c r="H581" s="8"/>
      <c r="I581" s="44"/>
      <c r="J581" s="44"/>
      <c r="K581" s="44"/>
      <c r="L581" s="44"/>
      <c r="M581" s="44"/>
      <c r="N581" s="44"/>
      <c r="O581" s="44"/>
      <c r="P581" s="47"/>
      <c r="Q581" s="44"/>
      <c r="R581" s="44"/>
      <c r="S581" s="44"/>
      <c r="T581" s="49"/>
    </row>
    <row r="582" spans="1:20" ht="16.5" customHeight="1" x14ac:dyDescent="0.2">
      <c r="A582" s="35"/>
      <c r="B582" s="25" t="s">
        <v>2</v>
      </c>
      <c r="C582" s="6">
        <f t="shared" si="197"/>
        <v>2582.8983600000001</v>
      </c>
      <c r="D582" s="8">
        <f>0+572.72616</f>
        <v>572.72616000000005</v>
      </c>
      <c r="E582" s="6">
        <v>2010.1722</v>
      </c>
      <c r="F582" s="8"/>
      <c r="G582" s="8"/>
      <c r="H582" s="8"/>
      <c r="I582" s="44"/>
      <c r="J582" s="44"/>
      <c r="K582" s="44"/>
      <c r="L582" s="44"/>
      <c r="M582" s="44"/>
      <c r="N582" s="44"/>
      <c r="O582" s="44"/>
      <c r="P582" s="47"/>
      <c r="Q582" s="44"/>
      <c r="R582" s="44"/>
      <c r="S582" s="44"/>
      <c r="T582" s="49"/>
    </row>
    <row r="583" spans="1:20" ht="16.5" customHeight="1" x14ac:dyDescent="0.2">
      <c r="A583" s="35"/>
      <c r="B583" s="25" t="s">
        <v>3</v>
      </c>
      <c r="C583" s="6">
        <f t="shared" si="197"/>
        <v>0</v>
      </c>
      <c r="D583" s="8"/>
      <c r="E583" s="6"/>
      <c r="F583" s="8"/>
      <c r="G583" s="8"/>
      <c r="H583" s="8"/>
      <c r="I583" s="44"/>
      <c r="J583" s="44"/>
      <c r="K583" s="44"/>
      <c r="L583" s="44"/>
      <c r="M583" s="44"/>
      <c r="N583" s="44"/>
      <c r="O583" s="44"/>
      <c r="P583" s="47"/>
      <c r="Q583" s="44"/>
      <c r="R583" s="44"/>
      <c r="S583" s="44"/>
      <c r="T583" s="49"/>
    </row>
    <row r="584" spans="1:20" ht="39.950000000000003" customHeight="1" x14ac:dyDescent="0.2">
      <c r="A584" s="36"/>
      <c r="B584" s="25" t="s">
        <v>230</v>
      </c>
      <c r="C584" s="6">
        <f>D584+E584+F584+G584+H584</f>
        <v>18949.287789999998</v>
      </c>
      <c r="D584" s="8">
        <f>0+18949.28779</f>
        <v>18949.287789999998</v>
      </c>
      <c r="E584" s="6"/>
      <c r="F584" s="8"/>
      <c r="G584" s="8"/>
      <c r="H584" s="8"/>
      <c r="I584" s="45"/>
      <c r="J584" s="45"/>
      <c r="K584" s="45"/>
      <c r="L584" s="45"/>
      <c r="M584" s="45"/>
      <c r="N584" s="45"/>
      <c r="O584" s="45"/>
      <c r="P584" s="48"/>
      <c r="Q584" s="45"/>
      <c r="R584" s="45"/>
      <c r="S584" s="45"/>
      <c r="T584" s="49"/>
    </row>
    <row r="585" spans="1:20" ht="16.5" customHeight="1" x14ac:dyDescent="0.2">
      <c r="A585" s="34" t="s">
        <v>529</v>
      </c>
      <c r="B585" s="37" t="s">
        <v>526</v>
      </c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8"/>
    </row>
    <row r="586" spans="1:20" ht="16.5" customHeight="1" x14ac:dyDescent="0.2">
      <c r="A586" s="35" t="s">
        <v>74</v>
      </c>
      <c r="B586" s="54" t="s">
        <v>144</v>
      </c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</row>
    <row r="587" spans="1:20" ht="50.1" customHeight="1" x14ac:dyDescent="0.2">
      <c r="A587" s="35"/>
      <c r="B587" s="57" t="s">
        <v>145</v>
      </c>
      <c r="C587" s="58"/>
      <c r="D587" s="58"/>
      <c r="E587" s="58"/>
      <c r="F587" s="58"/>
      <c r="G587" s="58"/>
      <c r="H587" s="59"/>
      <c r="I587" s="43" t="s">
        <v>23</v>
      </c>
      <c r="J587" s="43"/>
      <c r="K587" s="43" t="s">
        <v>47</v>
      </c>
      <c r="L587" s="43"/>
      <c r="M587" s="43" t="s">
        <v>577</v>
      </c>
      <c r="N587" s="43" t="s">
        <v>526</v>
      </c>
      <c r="O587" s="43" t="s">
        <v>578</v>
      </c>
      <c r="P587" s="46"/>
      <c r="Q587" s="43" t="s">
        <v>7</v>
      </c>
      <c r="R587" s="43" t="s">
        <v>577</v>
      </c>
      <c r="S587" s="43" t="s">
        <v>35</v>
      </c>
      <c r="T587" s="49"/>
    </row>
    <row r="588" spans="1:20" ht="16.5" customHeight="1" x14ac:dyDescent="0.2">
      <c r="A588" s="35"/>
      <c r="B588" s="25" t="s">
        <v>5</v>
      </c>
      <c r="C588" s="6">
        <f t="shared" ref="C588:C592" si="199">D588+E588+F588+G588+H588</f>
        <v>462205.50127999997</v>
      </c>
      <c r="D588" s="6">
        <f t="shared" ref="D588" si="200">SUM(D589:D593)</f>
        <v>395447.84402999998</v>
      </c>
      <c r="E588" s="6">
        <f>SUM(E589:E593)</f>
        <v>66757.657250000004</v>
      </c>
      <c r="F588" s="6">
        <f>SUM(F589:F593)</f>
        <v>0</v>
      </c>
      <c r="G588" s="6">
        <f>SUM(G589:G593)</f>
        <v>0</v>
      </c>
      <c r="H588" s="8">
        <f>SUM(H589:H593)</f>
        <v>0</v>
      </c>
      <c r="I588" s="44"/>
      <c r="J588" s="44"/>
      <c r="K588" s="44"/>
      <c r="L588" s="44"/>
      <c r="M588" s="44"/>
      <c r="N588" s="44"/>
      <c r="O588" s="44"/>
      <c r="P588" s="47"/>
      <c r="Q588" s="44"/>
      <c r="R588" s="44"/>
      <c r="S588" s="44"/>
      <c r="T588" s="49"/>
    </row>
    <row r="589" spans="1:20" ht="16.5" customHeight="1" x14ac:dyDescent="0.2">
      <c r="A589" s="35"/>
      <c r="B589" s="25" t="s">
        <v>0</v>
      </c>
      <c r="C589" s="6">
        <f t="shared" si="199"/>
        <v>0</v>
      </c>
      <c r="D589" s="8"/>
      <c r="E589" s="8"/>
      <c r="F589" s="8"/>
      <c r="G589" s="8"/>
      <c r="H589" s="8"/>
      <c r="I589" s="44"/>
      <c r="J589" s="44"/>
      <c r="K589" s="44"/>
      <c r="L589" s="44"/>
      <c r="M589" s="44"/>
      <c r="N589" s="44"/>
      <c r="O589" s="44"/>
      <c r="P589" s="47"/>
      <c r="Q589" s="44"/>
      <c r="R589" s="44"/>
      <c r="S589" s="44"/>
      <c r="T589" s="49"/>
    </row>
    <row r="590" spans="1:20" ht="16.5" customHeight="1" x14ac:dyDescent="0.2">
      <c r="A590" s="35"/>
      <c r="B590" s="25" t="s">
        <v>1</v>
      </c>
      <c r="C590" s="6">
        <f t="shared" si="199"/>
        <v>205416.59642999998</v>
      </c>
      <c r="D590" s="6">
        <v>138658.93917999999</v>
      </c>
      <c r="E590" s="6">
        <v>66757.657250000004</v>
      </c>
      <c r="F590" s="8"/>
      <c r="G590" s="8"/>
      <c r="H590" s="8"/>
      <c r="I590" s="44"/>
      <c r="J590" s="44"/>
      <c r="K590" s="44"/>
      <c r="L590" s="44"/>
      <c r="M590" s="44"/>
      <c r="N590" s="44"/>
      <c r="O590" s="44"/>
      <c r="P590" s="47"/>
      <c r="Q590" s="44"/>
      <c r="R590" s="44"/>
      <c r="S590" s="44"/>
      <c r="T590" s="49"/>
    </row>
    <row r="591" spans="1:20" ht="16.5" customHeight="1" x14ac:dyDescent="0.2">
      <c r="A591" s="35"/>
      <c r="B591" s="25" t="s">
        <v>2</v>
      </c>
      <c r="C591" s="6">
        <f t="shared" si="199"/>
        <v>1194.5025000000001</v>
      </c>
      <c r="D591" s="6">
        <v>1194.5025000000001</v>
      </c>
      <c r="E591" s="8"/>
      <c r="F591" s="8"/>
      <c r="G591" s="8"/>
      <c r="H591" s="8"/>
      <c r="I591" s="44"/>
      <c r="J591" s="44"/>
      <c r="K591" s="44"/>
      <c r="L591" s="44"/>
      <c r="M591" s="44"/>
      <c r="N591" s="44"/>
      <c r="O591" s="44"/>
      <c r="P591" s="47"/>
      <c r="Q591" s="44"/>
      <c r="R591" s="44"/>
      <c r="S591" s="44"/>
      <c r="T591" s="49"/>
    </row>
    <row r="592" spans="1:20" ht="16.5" customHeight="1" x14ac:dyDescent="0.2">
      <c r="A592" s="35"/>
      <c r="B592" s="25" t="s">
        <v>3</v>
      </c>
      <c r="C592" s="6">
        <f t="shared" si="199"/>
        <v>0</v>
      </c>
      <c r="D592" s="6"/>
      <c r="E592" s="8"/>
      <c r="F592" s="8"/>
      <c r="G592" s="8"/>
      <c r="H592" s="8"/>
      <c r="I592" s="44"/>
      <c r="J592" s="44"/>
      <c r="K592" s="44"/>
      <c r="L592" s="44"/>
      <c r="M592" s="44"/>
      <c r="N592" s="44"/>
      <c r="O592" s="44"/>
      <c r="P592" s="47"/>
      <c r="Q592" s="44"/>
      <c r="R592" s="44"/>
      <c r="S592" s="44"/>
      <c r="T592" s="49"/>
    </row>
    <row r="593" spans="1:20" ht="39" customHeight="1" x14ac:dyDescent="0.2">
      <c r="A593" s="36"/>
      <c r="B593" s="25" t="s">
        <v>230</v>
      </c>
      <c r="C593" s="6">
        <f>D593+E593+F593+G593+H593</f>
        <v>255594.40234999999</v>
      </c>
      <c r="D593" s="6">
        <v>255594.40234999999</v>
      </c>
      <c r="E593" s="8"/>
      <c r="F593" s="8"/>
      <c r="G593" s="8"/>
      <c r="H593" s="8"/>
      <c r="I593" s="45"/>
      <c r="J593" s="45"/>
      <c r="K593" s="45"/>
      <c r="L593" s="45"/>
      <c r="M593" s="45"/>
      <c r="N593" s="45"/>
      <c r="O593" s="45"/>
      <c r="P593" s="48"/>
      <c r="Q593" s="45"/>
      <c r="R593" s="45"/>
      <c r="S593" s="45"/>
      <c r="T593" s="49"/>
    </row>
    <row r="594" spans="1:20" ht="16.5" customHeight="1" x14ac:dyDescent="0.2">
      <c r="A594" s="34" t="s">
        <v>532</v>
      </c>
      <c r="B594" s="37" t="s">
        <v>526</v>
      </c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8"/>
    </row>
    <row r="595" spans="1:20" ht="16.5" customHeight="1" x14ac:dyDescent="0.2">
      <c r="A595" s="35" t="s">
        <v>74</v>
      </c>
      <c r="B595" s="54" t="s">
        <v>144</v>
      </c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</row>
    <row r="596" spans="1:20" ht="50.1" customHeight="1" x14ac:dyDescent="0.2">
      <c r="A596" s="35"/>
      <c r="B596" s="57" t="s">
        <v>145</v>
      </c>
      <c r="C596" s="58"/>
      <c r="D596" s="58"/>
      <c r="E596" s="58"/>
      <c r="F596" s="58"/>
      <c r="G596" s="58"/>
      <c r="H596" s="59"/>
      <c r="I596" s="43" t="s">
        <v>20</v>
      </c>
      <c r="J596" s="43"/>
      <c r="K596" s="43" t="s">
        <v>47</v>
      </c>
      <c r="L596" s="43"/>
      <c r="M596" s="43" t="s">
        <v>167</v>
      </c>
      <c r="N596" s="43" t="s">
        <v>526</v>
      </c>
      <c r="O596" s="43" t="s">
        <v>579</v>
      </c>
      <c r="P596" s="46"/>
      <c r="Q596" s="43" t="s">
        <v>7</v>
      </c>
      <c r="R596" s="43" t="s">
        <v>167</v>
      </c>
      <c r="S596" s="43" t="s">
        <v>35</v>
      </c>
      <c r="T596" s="49"/>
    </row>
    <row r="597" spans="1:20" ht="16.5" customHeight="1" x14ac:dyDescent="0.2">
      <c r="A597" s="35"/>
      <c r="B597" s="25" t="s">
        <v>5</v>
      </c>
      <c r="C597" s="6">
        <f t="shared" ref="C597:C601" si="201">D597+E597+F597+G597+H597</f>
        <v>37349.97971</v>
      </c>
      <c r="D597" s="6">
        <f t="shared" ref="D597" si="202">SUM(D598:D602)</f>
        <v>37349.97971</v>
      </c>
      <c r="E597" s="6">
        <f>SUM(E598:E602)</f>
        <v>0</v>
      </c>
      <c r="F597" s="6">
        <f>SUM(F598:F602)</f>
        <v>0</v>
      </c>
      <c r="G597" s="6">
        <f>SUM(G598:G602)</f>
        <v>0</v>
      </c>
      <c r="H597" s="8">
        <f>SUM(H598:H602)</f>
        <v>0</v>
      </c>
      <c r="I597" s="44"/>
      <c r="J597" s="44"/>
      <c r="K597" s="44"/>
      <c r="L597" s="44"/>
      <c r="M597" s="44"/>
      <c r="N597" s="44"/>
      <c r="O597" s="44"/>
      <c r="P597" s="47"/>
      <c r="Q597" s="44"/>
      <c r="R597" s="44"/>
      <c r="S597" s="44"/>
      <c r="T597" s="49"/>
    </row>
    <row r="598" spans="1:20" ht="16.5" customHeight="1" x14ac:dyDescent="0.2">
      <c r="A598" s="35"/>
      <c r="B598" s="25" t="s">
        <v>0</v>
      </c>
      <c r="C598" s="6">
        <f t="shared" si="201"/>
        <v>0</v>
      </c>
      <c r="D598" s="8"/>
      <c r="E598" s="8"/>
      <c r="F598" s="8"/>
      <c r="G598" s="8"/>
      <c r="H598" s="8"/>
      <c r="I598" s="44"/>
      <c r="J598" s="44"/>
      <c r="K598" s="44"/>
      <c r="L598" s="44"/>
      <c r="M598" s="44"/>
      <c r="N598" s="44"/>
      <c r="O598" s="44"/>
      <c r="P598" s="47"/>
      <c r="Q598" s="44"/>
      <c r="R598" s="44"/>
      <c r="S598" s="44"/>
      <c r="T598" s="49"/>
    </row>
    <row r="599" spans="1:20" ht="16.5" customHeight="1" x14ac:dyDescent="0.2">
      <c r="A599" s="35"/>
      <c r="B599" s="25" t="s">
        <v>1</v>
      </c>
      <c r="C599" s="6">
        <f t="shared" si="201"/>
        <v>19009.07458</v>
      </c>
      <c r="D599" s="6">
        <v>19009.07458</v>
      </c>
      <c r="E599" s="8"/>
      <c r="F599" s="8"/>
      <c r="G599" s="8"/>
      <c r="H599" s="8"/>
      <c r="I599" s="44"/>
      <c r="J599" s="44"/>
      <c r="K599" s="44"/>
      <c r="L599" s="44"/>
      <c r="M599" s="44"/>
      <c r="N599" s="44"/>
      <c r="O599" s="44"/>
      <c r="P599" s="47"/>
      <c r="Q599" s="44"/>
      <c r="R599" s="44"/>
      <c r="S599" s="44"/>
      <c r="T599" s="49"/>
    </row>
    <row r="600" spans="1:20" ht="16.5" customHeight="1" x14ac:dyDescent="0.2">
      <c r="A600" s="35"/>
      <c r="B600" s="25" t="s">
        <v>2</v>
      </c>
      <c r="C600" s="6">
        <f t="shared" si="201"/>
        <v>168.08884</v>
      </c>
      <c r="D600" s="6">
        <v>168.08884</v>
      </c>
      <c r="E600" s="8"/>
      <c r="F600" s="8"/>
      <c r="G600" s="8"/>
      <c r="H600" s="8"/>
      <c r="I600" s="44"/>
      <c r="J600" s="44"/>
      <c r="K600" s="44"/>
      <c r="L600" s="44"/>
      <c r="M600" s="44"/>
      <c r="N600" s="44"/>
      <c r="O600" s="44"/>
      <c r="P600" s="47"/>
      <c r="Q600" s="44"/>
      <c r="R600" s="44"/>
      <c r="S600" s="44"/>
      <c r="T600" s="49"/>
    </row>
    <row r="601" spans="1:20" ht="16.5" customHeight="1" x14ac:dyDescent="0.2">
      <c r="A601" s="35"/>
      <c r="B601" s="25" t="s">
        <v>3</v>
      </c>
      <c r="C601" s="6">
        <f t="shared" si="201"/>
        <v>0</v>
      </c>
      <c r="D601" s="6"/>
      <c r="E601" s="8"/>
      <c r="F601" s="8"/>
      <c r="G601" s="8"/>
      <c r="H601" s="8"/>
      <c r="I601" s="44"/>
      <c r="J601" s="44"/>
      <c r="K601" s="44"/>
      <c r="L601" s="44"/>
      <c r="M601" s="44"/>
      <c r="N601" s="44"/>
      <c r="O601" s="44"/>
      <c r="P601" s="47"/>
      <c r="Q601" s="44"/>
      <c r="R601" s="44"/>
      <c r="S601" s="44"/>
      <c r="T601" s="49"/>
    </row>
    <row r="602" spans="1:20" ht="39.950000000000003" customHeight="1" x14ac:dyDescent="0.2">
      <c r="A602" s="36"/>
      <c r="B602" s="25" t="s">
        <v>230</v>
      </c>
      <c r="C602" s="6">
        <f>D602+E602+F602+G602+H602</f>
        <v>18172.816289999999</v>
      </c>
      <c r="D602" s="6">
        <v>18172.816289999999</v>
      </c>
      <c r="E602" s="8"/>
      <c r="F602" s="8"/>
      <c r="G602" s="8"/>
      <c r="H602" s="8"/>
      <c r="I602" s="45"/>
      <c r="J602" s="45"/>
      <c r="K602" s="45"/>
      <c r="L602" s="45"/>
      <c r="M602" s="45"/>
      <c r="N602" s="45"/>
      <c r="O602" s="45"/>
      <c r="P602" s="48"/>
      <c r="Q602" s="45"/>
      <c r="R602" s="45"/>
      <c r="S602" s="45"/>
      <c r="T602" s="49"/>
    </row>
    <row r="603" spans="1:20" ht="16.5" customHeight="1" x14ac:dyDescent="0.2">
      <c r="A603" s="34" t="s">
        <v>535</v>
      </c>
      <c r="B603" s="37" t="s">
        <v>526</v>
      </c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8"/>
    </row>
    <row r="604" spans="1:20" ht="16.5" customHeight="1" x14ac:dyDescent="0.2">
      <c r="A604" s="35" t="s">
        <v>74</v>
      </c>
      <c r="B604" s="54" t="s">
        <v>144</v>
      </c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</row>
    <row r="605" spans="1:20" ht="50.1" customHeight="1" x14ac:dyDescent="0.2">
      <c r="A605" s="35"/>
      <c r="B605" s="57" t="s">
        <v>145</v>
      </c>
      <c r="C605" s="58"/>
      <c r="D605" s="58"/>
      <c r="E605" s="58"/>
      <c r="F605" s="58"/>
      <c r="G605" s="58"/>
      <c r="H605" s="59"/>
      <c r="I605" s="43" t="s">
        <v>24</v>
      </c>
      <c r="J605" s="43"/>
      <c r="K605" s="43" t="s">
        <v>47</v>
      </c>
      <c r="L605" s="43"/>
      <c r="M605" s="43" t="s">
        <v>580</v>
      </c>
      <c r="N605" s="43" t="s">
        <v>526</v>
      </c>
      <c r="O605" s="43" t="s">
        <v>581</v>
      </c>
      <c r="P605" s="46"/>
      <c r="Q605" s="43" t="s">
        <v>7</v>
      </c>
      <c r="R605" s="43" t="s">
        <v>580</v>
      </c>
      <c r="S605" s="43" t="s">
        <v>35</v>
      </c>
      <c r="T605" s="49"/>
    </row>
    <row r="606" spans="1:20" ht="16.5" customHeight="1" x14ac:dyDescent="0.2">
      <c r="A606" s="35"/>
      <c r="B606" s="25" t="s">
        <v>5</v>
      </c>
      <c r="C606" s="6">
        <f t="shared" ref="C606:C610" si="203">D606+E606+F606+G606+H606</f>
        <v>70179.820619999999</v>
      </c>
      <c r="D606" s="6">
        <f t="shared" ref="D606" si="204">SUM(D607:D611)</f>
        <v>0</v>
      </c>
      <c r="E606" s="6">
        <f>SUM(E607:E611)</f>
        <v>69504.465620000003</v>
      </c>
      <c r="F606" s="6">
        <f>SUM(F607:F611)</f>
        <v>675.35500000000002</v>
      </c>
      <c r="G606" s="6">
        <f>SUM(G607:G611)</f>
        <v>0</v>
      </c>
      <c r="H606" s="8">
        <f>SUM(H607:H611)</f>
        <v>0</v>
      </c>
      <c r="I606" s="44"/>
      <c r="J606" s="44"/>
      <c r="K606" s="44"/>
      <c r="L606" s="44"/>
      <c r="M606" s="44"/>
      <c r="N606" s="44"/>
      <c r="O606" s="44"/>
      <c r="P606" s="47"/>
      <c r="Q606" s="44"/>
      <c r="R606" s="44"/>
      <c r="S606" s="44"/>
      <c r="T606" s="49"/>
    </row>
    <row r="607" spans="1:20" ht="16.5" customHeight="1" x14ac:dyDescent="0.2">
      <c r="A607" s="35"/>
      <c r="B607" s="25" t="s">
        <v>0</v>
      </c>
      <c r="C607" s="6">
        <f t="shared" si="203"/>
        <v>0</v>
      </c>
      <c r="D607" s="8"/>
      <c r="E607" s="8"/>
      <c r="F607" s="8"/>
      <c r="G607" s="8"/>
      <c r="H607" s="8"/>
      <c r="I607" s="44"/>
      <c r="J607" s="44"/>
      <c r="K607" s="44"/>
      <c r="L607" s="44"/>
      <c r="M607" s="44"/>
      <c r="N607" s="44"/>
      <c r="O607" s="44"/>
      <c r="P607" s="47"/>
      <c r="Q607" s="44"/>
      <c r="R607" s="44"/>
      <c r="S607" s="44"/>
      <c r="T607" s="49"/>
    </row>
    <row r="608" spans="1:20" ht="16.5" customHeight="1" x14ac:dyDescent="0.2">
      <c r="A608" s="35"/>
      <c r="B608" s="25" t="s">
        <v>1</v>
      </c>
      <c r="C608" s="6">
        <f t="shared" si="203"/>
        <v>69836.01801</v>
      </c>
      <c r="D608" s="8"/>
      <c r="E608" s="6">
        <v>69177.416559999998</v>
      </c>
      <c r="F608" s="6">
        <v>658.60145</v>
      </c>
      <c r="G608" s="8"/>
      <c r="H608" s="8"/>
      <c r="I608" s="44"/>
      <c r="J608" s="44"/>
      <c r="K608" s="44"/>
      <c r="L608" s="44"/>
      <c r="M608" s="44"/>
      <c r="N608" s="44"/>
      <c r="O608" s="44"/>
      <c r="P608" s="47"/>
      <c r="Q608" s="44"/>
      <c r="R608" s="44"/>
      <c r="S608" s="44"/>
      <c r="T608" s="49"/>
    </row>
    <row r="609" spans="1:20" ht="16.5" customHeight="1" x14ac:dyDescent="0.2">
      <c r="A609" s="35"/>
      <c r="B609" s="25" t="s">
        <v>2</v>
      </c>
      <c r="C609" s="6">
        <f t="shared" si="203"/>
        <v>343.80261000000002</v>
      </c>
      <c r="D609" s="8"/>
      <c r="E609" s="6">
        <v>327.04906</v>
      </c>
      <c r="F609" s="6">
        <v>16.753550000000001</v>
      </c>
      <c r="G609" s="8"/>
      <c r="H609" s="8"/>
      <c r="I609" s="44"/>
      <c r="J609" s="44"/>
      <c r="K609" s="44"/>
      <c r="L609" s="44"/>
      <c r="M609" s="44"/>
      <c r="N609" s="44"/>
      <c r="O609" s="44"/>
      <c r="P609" s="47"/>
      <c r="Q609" s="44"/>
      <c r="R609" s="44"/>
      <c r="S609" s="44"/>
      <c r="T609" s="49"/>
    </row>
    <row r="610" spans="1:20" ht="16.5" customHeight="1" x14ac:dyDescent="0.2">
      <c r="A610" s="35"/>
      <c r="B610" s="25" t="s">
        <v>3</v>
      </c>
      <c r="C610" s="6">
        <f t="shared" si="203"/>
        <v>0</v>
      </c>
      <c r="D610" s="8"/>
      <c r="E610" s="6"/>
      <c r="F610" s="6"/>
      <c r="G610" s="8"/>
      <c r="H610" s="8"/>
      <c r="I610" s="44"/>
      <c r="J610" s="44"/>
      <c r="K610" s="44"/>
      <c r="L610" s="44"/>
      <c r="M610" s="44"/>
      <c r="N610" s="44"/>
      <c r="O610" s="44"/>
      <c r="P610" s="47"/>
      <c r="Q610" s="44"/>
      <c r="R610" s="44"/>
      <c r="S610" s="44"/>
      <c r="T610" s="49"/>
    </row>
    <row r="611" spans="1:20" ht="39.950000000000003" customHeight="1" x14ac:dyDescent="0.2">
      <c r="A611" s="36"/>
      <c r="B611" s="25" t="s">
        <v>230</v>
      </c>
      <c r="C611" s="6">
        <f>D611+E611+F611+G611+H611</f>
        <v>0</v>
      </c>
      <c r="D611" s="8"/>
      <c r="E611" s="6"/>
      <c r="F611" s="6"/>
      <c r="G611" s="8"/>
      <c r="H611" s="8"/>
      <c r="I611" s="45"/>
      <c r="J611" s="45"/>
      <c r="K611" s="45"/>
      <c r="L611" s="45"/>
      <c r="M611" s="45"/>
      <c r="N611" s="45"/>
      <c r="O611" s="45"/>
      <c r="P611" s="48"/>
      <c r="Q611" s="45"/>
      <c r="R611" s="45"/>
      <c r="S611" s="45"/>
      <c r="T611" s="49"/>
    </row>
    <row r="612" spans="1:20" ht="16.5" customHeight="1" x14ac:dyDescent="0.2">
      <c r="A612" s="34" t="s">
        <v>555</v>
      </c>
      <c r="B612" s="37" t="s">
        <v>526</v>
      </c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8"/>
    </row>
    <row r="613" spans="1:20" ht="16.5" customHeight="1" x14ac:dyDescent="0.2">
      <c r="A613" s="35" t="s">
        <v>74</v>
      </c>
      <c r="B613" s="54" t="s">
        <v>144</v>
      </c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</row>
    <row r="614" spans="1:20" ht="50.1" customHeight="1" x14ac:dyDescent="0.2">
      <c r="A614" s="35"/>
      <c r="B614" s="57" t="s">
        <v>145</v>
      </c>
      <c r="C614" s="58"/>
      <c r="D614" s="58"/>
      <c r="E614" s="58"/>
      <c r="F614" s="58"/>
      <c r="G614" s="58"/>
      <c r="H614" s="59"/>
      <c r="I614" s="43" t="s">
        <v>24</v>
      </c>
      <c r="J614" s="43"/>
      <c r="K614" s="43" t="s">
        <v>47</v>
      </c>
      <c r="L614" s="43"/>
      <c r="M614" s="43" t="s">
        <v>66</v>
      </c>
      <c r="N614" s="43" t="s">
        <v>526</v>
      </c>
      <c r="O614" s="43" t="s">
        <v>582</v>
      </c>
      <c r="P614" s="46"/>
      <c r="Q614" s="43" t="s">
        <v>7</v>
      </c>
      <c r="R614" s="43" t="s">
        <v>66</v>
      </c>
      <c r="S614" s="43" t="s">
        <v>35</v>
      </c>
      <c r="T614" s="49"/>
    </row>
    <row r="615" spans="1:20" ht="16.5" customHeight="1" x14ac:dyDescent="0.2">
      <c r="A615" s="35"/>
      <c r="B615" s="25" t="s">
        <v>5</v>
      </c>
      <c r="C615" s="6">
        <f t="shared" ref="C615:C619" si="205">D615+E615+F615+G615+H615</f>
        <v>225.96799999999999</v>
      </c>
      <c r="D615" s="6">
        <f t="shared" ref="D615" si="206">SUM(D616:D620)</f>
        <v>0</v>
      </c>
      <c r="E615" s="6">
        <f>SUM(E616:E620)</f>
        <v>0</v>
      </c>
      <c r="F615" s="6">
        <f>SUM(F616:F620)</f>
        <v>225.96799999999999</v>
      </c>
      <c r="G615" s="6">
        <f>SUM(G616:G620)</f>
        <v>0</v>
      </c>
      <c r="H615" s="8">
        <f>SUM(H616:H620)</f>
        <v>0</v>
      </c>
      <c r="I615" s="44"/>
      <c r="J615" s="44"/>
      <c r="K615" s="44"/>
      <c r="L615" s="44"/>
      <c r="M615" s="44"/>
      <c r="N615" s="44"/>
      <c r="O615" s="44"/>
      <c r="P615" s="47"/>
      <c r="Q615" s="44"/>
      <c r="R615" s="44"/>
      <c r="S615" s="44"/>
      <c r="T615" s="49"/>
    </row>
    <row r="616" spans="1:20" ht="16.5" customHeight="1" x14ac:dyDescent="0.2">
      <c r="A616" s="35"/>
      <c r="B616" s="25" t="s">
        <v>0</v>
      </c>
      <c r="C616" s="6">
        <f t="shared" si="205"/>
        <v>0</v>
      </c>
      <c r="D616" s="8"/>
      <c r="E616" s="8"/>
      <c r="F616" s="8"/>
      <c r="G616" s="8"/>
      <c r="H616" s="8"/>
      <c r="I616" s="44"/>
      <c r="J616" s="44"/>
      <c r="K616" s="44"/>
      <c r="L616" s="44"/>
      <c r="M616" s="44"/>
      <c r="N616" s="44"/>
      <c r="O616" s="44"/>
      <c r="P616" s="47"/>
      <c r="Q616" s="44"/>
      <c r="R616" s="44"/>
      <c r="S616" s="44"/>
      <c r="T616" s="49"/>
    </row>
    <row r="617" spans="1:20" ht="16.5" customHeight="1" x14ac:dyDescent="0.2">
      <c r="A617" s="35"/>
      <c r="B617" s="25" t="s">
        <v>1</v>
      </c>
      <c r="C617" s="6">
        <f t="shared" si="205"/>
        <v>223.70831999999999</v>
      </c>
      <c r="D617" s="8"/>
      <c r="E617" s="8"/>
      <c r="F617" s="8">
        <v>223.70831999999999</v>
      </c>
      <c r="G617" s="8"/>
      <c r="H617" s="8"/>
      <c r="I617" s="44"/>
      <c r="J617" s="44"/>
      <c r="K617" s="44"/>
      <c r="L617" s="44"/>
      <c r="M617" s="44"/>
      <c r="N617" s="44"/>
      <c r="O617" s="44"/>
      <c r="P617" s="47"/>
      <c r="Q617" s="44"/>
      <c r="R617" s="44"/>
      <c r="S617" s="44"/>
      <c r="T617" s="49"/>
    </row>
    <row r="618" spans="1:20" ht="16.5" customHeight="1" x14ac:dyDescent="0.2">
      <c r="A618" s="35"/>
      <c r="B618" s="25" t="s">
        <v>2</v>
      </c>
      <c r="C618" s="6">
        <f t="shared" si="205"/>
        <v>2.2596799999999999</v>
      </c>
      <c r="D618" s="8"/>
      <c r="E618" s="8"/>
      <c r="F618" s="8">
        <v>2.2596799999999999</v>
      </c>
      <c r="G618" s="8"/>
      <c r="H618" s="8"/>
      <c r="I618" s="44"/>
      <c r="J618" s="44"/>
      <c r="K618" s="44"/>
      <c r="L618" s="44"/>
      <c r="M618" s="44"/>
      <c r="N618" s="44"/>
      <c r="O618" s="44"/>
      <c r="P618" s="47"/>
      <c r="Q618" s="44"/>
      <c r="R618" s="44"/>
      <c r="S618" s="44"/>
      <c r="T618" s="49"/>
    </row>
    <row r="619" spans="1:20" ht="16.5" customHeight="1" x14ac:dyDescent="0.2">
      <c r="A619" s="35"/>
      <c r="B619" s="25" t="s">
        <v>3</v>
      </c>
      <c r="C619" s="6">
        <f t="shared" si="205"/>
        <v>0</v>
      </c>
      <c r="D619" s="8"/>
      <c r="E619" s="8"/>
      <c r="F619" s="8"/>
      <c r="G619" s="8"/>
      <c r="H619" s="8"/>
      <c r="I619" s="44"/>
      <c r="J619" s="44"/>
      <c r="K619" s="44"/>
      <c r="L619" s="44"/>
      <c r="M619" s="44"/>
      <c r="N619" s="44"/>
      <c r="O619" s="44"/>
      <c r="P619" s="47"/>
      <c r="Q619" s="44"/>
      <c r="R619" s="44"/>
      <c r="S619" s="44"/>
      <c r="T619" s="49"/>
    </row>
    <row r="620" spans="1:20" ht="39.950000000000003" customHeight="1" x14ac:dyDescent="0.2">
      <c r="A620" s="36"/>
      <c r="B620" s="25" t="s">
        <v>230</v>
      </c>
      <c r="C620" s="6">
        <f>D620+E620+F620+G620+H620</f>
        <v>0</v>
      </c>
      <c r="D620" s="8"/>
      <c r="E620" s="8"/>
      <c r="F620" s="8"/>
      <c r="G620" s="8"/>
      <c r="H620" s="8"/>
      <c r="I620" s="45"/>
      <c r="J620" s="45"/>
      <c r="K620" s="45"/>
      <c r="L620" s="45"/>
      <c r="M620" s="45"/>
      <c r="N620" s="45"/>
      <c r="O620" s="45"/>
      <c r="P620" s="48"/>
      <c r="Q620" s="45"/>
      <c r="R620" s="45"/>
      <c r="S620" s="45"/>
      <c r="T620" s="49"/>
    </row>
    <row r="621" spans="1:20" ht="16.5" customHeight="1" x14ac:dyDescent="0.2">
      <c r="A621" s="34" t="s">
        <v>561</v>
      </c>
      <c r="B621" s="37" t="s">
        <v>526</v>
      </c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8"/>
    </row>
    <row r="622" spans="1:20" ht="16.5" customHeight="1" x14ac:dyDescent="0.2">
      <c r="A622" s="35" t="s">
        <v>74</v>
      </c>
      <c r="B622" s="54" t="s">
        <v>144</v>
      </c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</row>
    <row r="623" spans="1:20" ht="50.1" customHeight="1" x14ac:dyDescent="0.2">
      <c r="A623" s="35"/>
      <c r="B623" s="57" t="s">
        <v>145</v>
      </c>
      <c r="C623" s="58"/>
      <c r="D623" s="58"/>
      <c r="E623" s="58"/>
      <c r="F623" s="58"/>
      <c r="G623" s="58"/>
      <c r="H623" s="59"/>
      <c r="I623" s="43" t="s">
        <v>24</v>
      </c>
      <c r="J623" s="43"/>
      <c r="K623" s="43" t="s">
        <v>47</v>
      </c>
      <c r="L623" s="43"/>
      <c r="M623" s="43" t="s">
        <v>583</v>
      </c>
      <c r="N623" s="43" t="s">
        <v>526</v>
      </c>
      <c r="O623" s="43" t="s">
        <v>584</v>
      </c>
      <c r="P623" s="46"/>
      <c r="Q623" s="43" t="s">
        <v>7</v>
      </c>
      <c r="R623" s="43" t="s">
        <v>583</v>
      </c>
      <c r="S623" s="43" t="s">
        <v>35</v>
      </c>
      <c r="T623" s="49"/>
    </row>
    <row r="624" spans="1:20" ht="16.5" customHeight="1" x14ac:dyDescent="0.2">
      <c r="A624" s="35"/>
      <c r="B624" s="25" t="s">
        <v>5</v>
      </c>
      <c r="C624" s="6">
        <f t="shared" ref="C624:C628" si="207">D624+E624+F624+G624+H624</f>
        <v>332.96000000000004</v>
      </c>
      <c r="D624" s="6">
        <f t="shared" ref="D624" si="208">SUM(D625:D629)</f>
        <v>0</v>
      </c>
      <c r="E624" s="6">
        <f>SUM(E625:E629)</f>
        <v>0</v>
      </c>
      <c r="F624" s="6">
        <f>SUM(F625:F629)</f>
        <v>332.96000000000004</v>
      </c>
      <c r="G624" s="6">
        <f>SUM(G625:G629)</f>
        <v>0</v>
      </c>
      <c r="H624" s="8">
        <f>SUM(H625:H629)</f>
        <v>0</v>
      </c>
      <c r="I624" s="44"/>
      <c r="J624" s="44"/>
      <c r="K624" s="44"/>
      <c r="L624" s="44"/>
      <c r="M624" s="44"/>
      <c r="N624" s="44"/>
      <c r="O624" s="44"/>
      <c r="P624" s="47"/>
      <c r="Q624" s="44"/>
      <c r="R624" s="44"/>
      <c r="S624" s="44"/>
      <c r="T624" s="49"/>
    </row>
    <row r="625" spans="1:20" ht="16.5" customHeight="1" x14ac:dyDescent="0.2">
      <c r="A625" s="35"/>
      <c r="B625" s="25" t="s">
        <v>0</v>
      </c>
      <c r="C625" s="6">
        <f t="shared" si="207"/>
        <v>0</v>
      </c>
      <c r="D625" s="8"/>
      <c r="E625" s="8"/>
      <c r="F625" s="8"/>
      <c r="G625" s="8"/>
      <c r="H625" s="8"/>
      <c r="I625" s="44"/>
      <c r="J625" s="44"/>
      <c r="K625" s="44"/>
      <c r="L625" s="44"/>
      <c r="M625" s="44"/>
      <c r="N625" s="44"/>
      <c r="O625" s="44"/>
      <c r="P625" s="47"/>
      <c r="Q625" s="44"/>
      <c r="R625" s="44"/>
      <c r="S625" s="44"/>
      <c r="T625" s="49"/>
    </row>
    <row r="626" spans="1:20" ht="16.5" customHeight="1" x14ac:dyDescent="0.2">
      <c r="A626" s="35"/>
      <c r="B626" s="25" t="s">
        <v>1</v>
      </c>
      <c r="C626" s="6">
        <f t="shared" si="207"/>
        <v>329.63040000000001</v>
      </c>
      <c r="D626" s="8"/>
      <c r="E626" s="8"/>
      <c r="F626" s="6">
        <v>329.63040000000001</v>
      </c>
      <c r="G626" s="8"/>
      <c r="H626" s="8"/>
      <c r="I626" s="44"/>
      <c r="J626" s="44"/>
      <c r="K626" s="44"/>
      <c r="L626" s="44"/>
      <c r="M626" s="44"/>
      <c r="N626" s="44"/>
      <c r="O626" s="44"/>
      <c r="P626" s="47"/>
      <c r="Q626" s="44"/>
      <c r="R626" s="44"/>
      <c r="S626" s="44"/>
      <c r="T626" s="49"/>
    </row>
    <row r="627" spans="1:20" ht="16.5" customHeight="1" x14ac:dyDescent="0.2">
      <c r="A627" s="35"/>
      <c r="B627" s="25" t="s">
        <v>2</v>
      </c>
      <c r="C627" s="6">
        <f t="shared" si="207"/>
        <v>3.3296000000000001</v>
      </c>
      <c r="D627" s="8"/>
      <c r="E627" s="8"/>
      <c r="F627" s="6">
        <v>3.3296000000000001</v>
      </c>
      <c r="G627" s="8"/>
      <c r="H627" s="8"/>
      <c r="I627" s="44"/>
      <c r="J627" s="44"/>
      <c r="K627" s="44"/>
      <c r="L627" s="44"/>
      <c r="M627" s="44"/>
      <c r="N627" s="44"/>
      <c r="O627" s="44"/>
      <c r="P627" s="47"/>
      <c r="Q627" s="44"/>
      <c r="R627" s="44"/>
      <c r="S627" s="44"/>
      <c r="T627" s="49"/>
    </row>
    <row r="628" spans="1:20" ht="16.5" customHeight="1" x14ac:dyDescent="0.2">
      <c r="A628" s="35"/>
      <c r="B628" s="25" t="s">
        <v>3</v>
      </c>
      <c r="C628" s="6">
        <f t="shared" si="207"/>
        <v>0</v>
      </c>
      <c r="D628" s="8"/>
      <c r="E628" s="8"/>
      <c r="F628" s="6"/>
      <c r="G628" s="8"/>
      <c r="H628" s="8"/>
      <c r="I628" s="44"/>
      <c r="J628" s="44"/>
      <c r="K628" s="44"/>
      <c r="L628" s="44"/>
      <c r="M628" s="44"/>
      <c r="N628" s="44"/>
      <c r="O628" s="44"/>
      <c r="P628" s="47"/>
      <c r="Q628" s="44"/>
      <c r="R628" s="44"/>
      <c r="S628" s="44"/>
      <c r="T628" s="49"/>
    </row>
    <row r="629" spans="1:20" ht="39.950000000000003" customHeight="1" x14ac:dyDescent="0.2">
      <c r="A629" s="36"/>
      <c r="B629" s="25" t="s">
        <v>230</v>
      </c>
      <c r="C629" s="6">
        <f>D629+E629+F629+G629+H629</f>
        <v>0</v>
      </c>
      <c r="D629" s="8"/>
      <c r="E629" s="8"/>
      <c r="F629" s="6"/>
      <c r="G629" s="8"/>
      <c r="H629" s="8"/>
      <c r="I629" s="45"/>
      <c r="J629" s="45"/>
      <c r="K629" s="45"/>
      <c r="L629" s="45"/>
      <c r="M629" s="45"/>
      <c r="N629" s="45"/>
      <c r="O629" s="45"/>
      <c r="P629" s="48"/>
      <c r="Q629" s="45"/>
      <c r="R629" s="45"/>
      <c r="S629" s="45"/>
      <c r="T629" s="49"/>
    </row>
    <row r="630" spans="1:20" ht="16.5" customHeight="1" x14ac:dyDescent="0.2">
      <c r="A630" s="34" t="s">
        <v>567</v>
      </c>
      <c r="B630" s="37" t="s">
        <v>526</v>
      </c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8"/>
    </row>
    <row r="631" spans="1:20" ht="16.5" customHeight="1" x14ac:dyDescent="0.2">
      <c r="A631" s="35" t="s">
        <v>74</v>
      </c>
      <c r="B631" s="54" t="s">
        <v>144</v>
      </c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</row>
    <row r="632" spans="1:20" ht="50.1" customHeight="1" x14ac:dyDescent="0.2">
      <c r="A632" s="35"/>
      <c r="B632" s="57" t="s">
        <v>145</v>
      </c>
      <c r="C632" s="58"/>
      <c r="D632" s="58"/>
      <c r="E632" s="58"/>
      <c r="F632" s="58"/>
      <c r="G632" s="58"/>
      <c r="H632" s="59"/>
      <c r="I632" s="43" t="s">
        <v>24</v>
      </c>
      <c r="J632" s="43"/>
      <c r="K632" s="43" t="s">
        <v>47</v>
      </c>
      <c r="L632" s="43"/>
      <c r="M632" s="43" t="s">
        <v>585</v>
      </c>
      <c r="N632" s="43" t="s">
        <v>526</v>
      </c>
      <c r="O632" s="43" t="s">
        <v>586</v>
      </c>
      <c r="P632" s="46"/>
      <c r="Q632" s="43" t="s">
        <v>7</v>
      </c>
      <c r="R632" s="43" t="s">
        <v>585</v>
      </c>
      <c r="S632" s="43" t="s">
        <v>35</v>
      </c>
      <c r="T632" s="49"/>
    </row>
    <row r="633" spans="1:20" ht="16.5" customHeight="1" x14ac:dyDescent="0.2">
      <c r="A633" s="35"/>
      <c r="B633" s="25" t="s">
        <v>5</v>
      </c>
      <c r="C633" s="6">
        <f t="shared" ref="C633:C637" si="209">D633+E633+F633+G633+H633</f>
        <v>212.54246000000001</v>
      </c>
      <c r="D633" s="6">
        <f t="shared" ref="D633" si="210">SUM(D634:D638)</f>
        <v>0</v>
      </c>
      <c r="E633" s="6">
        <f>SUM(E634:E638)</f>
        <v>0</v>
      </c>
      <c r="F633" s="6">
        <f>SUM(F634:F638)</f>
        <v>212.54246000000001</v>
      </c>
      <c r="G633" s="6">
        <f>SUM(G634:G638)</f>
        <v>0</v>
      </c>
      <c r="H633" s="8">
        <f>SUM(H634:H638)</f>
        <v>0</v>
      </c>
      <c r="I633" s="44"/>
      <c r="J633" s="44"/>
      <c r="K633" s="44"/>
      <c r="L633" s="44"/>
      <c r="M633" s="44"/>
      <c r="N633" s="44"/>
      <c r="O633" s="44"/>
      <c r="P633" s="47"/>
      <c r="Q633" s="44"/>
      <c r="R633" s="44"/>
      <c r="S633" s="44"/>
      <c r="T633" s="49"/>
    </row>
    <row r="634" spans="1:20" ht="16.5" customHeight="1" x14ac:dyDescent="0.2">
      <c r="A634" s="35"/>
      <c r="B634" s="25" t="s">
        <v>0</v>
      </c>
      <c r="C634" s="6">
        <f t="shared" si="209"/>
        <v>0</v>
      </c>
      <c r="D634" s="8"/>
      <c r="E634" s="8"/>
      <c r="F634" s="8"/>
      <c r="G634" s="8"/>
      <c r="H634" s="8"/>
      <c r="I634" s="44"/>
      <c r="J634" s="44"/>
      <c r="K634" s="44"/>
      <c r="L634" s="44"/>
      <c r="M634" s="44"/>
      <c r="N634" s="44"/>
      <c r="O634" s="44"/>
      <c r="P634" s="47"/>
      <c r="Q634" s="44"/>
      <c r="R634" s="44"/>
      <c r="S634" s="44"/>
      <c r="T634" s="49"/>
    </row>
    <row r="635" spans="1:20" ht="16.5" customHeight="1" x14ac:dyDescent="0.2">
      <c r="A635" s="35"/>
      <c r="B635" s="25" t="s">
        <v>1</v>
      </c>
      <c r="C635" s="6">
        <f t="shared" si="209"/>
        <v>210.41703000000001</v>
      </c>
      <c r="D635" s="8"/>
      <c r="E635" s="8"/>
      <c r="F635" s="8">
        <v>210.41703000000001</v>
      </c>
      <c r="G635" s="8"/>
      <c r="H635" s="8"/>
      <c r="I635" s="44"/>
      <c r="J635" s="44"/>
      <c r="K635" s="44"/>
      <c r="L635" s="44"/>
      <c r="M635" s="44"/>
      <c r="N635" s="44"/>
      <c r="O635" s="44"/>
      <c r="P635" s="47"/>
      <c r="Q635" s="44"/>
      <c r="R635" s="44"/>
      <c r="S635" s="44"/>
      <c r="T635" s="49"/>
    </row>
    <row r="636" spans="1:20" ht="16.5" customHeight="1" x14ac:dyDescent="0.2">
      <c r="A636" s="35"/>
      <c r="B636" s="25" t="s">
        <v>2</v>
      </c>
      <c r="C636" s="6">
        <f t="shared" si="209"/>
        <v>2.1254300000000002</v>
      </c>
      <c r="D636" s="8"/>
      <c r="E636" s="8"/>
      <c r="F636" s="8">
        <v>2.1254300000000002</v>
      </c>
      <c r="G636" s="8"/>
      <c r="H636" s="8"/>
      <c r="I636" s="44"/>
      <c r="J636" s="44"/>
      <c r="K636" s="44"/>
      <c r="L636" s="44"/>
      <c r="M636" s="44"/>
      <c r="N636" s="44"/>
      <c r="O636" s="44"/>
      <c r="P636" s="47"/>
      <c r="Q636" s="44"/>
      <c r="R636" s="44"/>
      <c r="S636" s="44"/>
      <c r="T636" s="49"/>
    </row>
    <row r="637" spans="1:20" ht="16.5" customHeight="1" x14ac:dyDescent="0.2">
      <c r="A637" s="35"/>
      <c r="B637" s="25" t="s">
        <v>3</v>
      </c>
      <c r="C637" s="6">
        <f t="shared" si="209"/>
        <v>0</v>
      </c>
      <c r="D637" s="8"/>
      <c r="E637" s="8"/>
      <c r="F637" s="8"/>
      <c r="G637" s="8"/>
      <c r="H637" s="8"/>
      <c r="I637" s="44"/>
      <c r="J637" s="44"/>
      <c r="K637" s="44"/>
      <c r="L637" s="44"/>
      <c r="M637" s="44"/>
      <c r="N637" s="44"/>
      <c r="O637" s="44"/>
      <c r="P637" s="47"/>
      <c r="Q637" s="44"/>
      <c r="R637" s="44"/>
      <c r="S637" s="44"/>
      <c r="T637" s="49"/>
    </row>
    <row r="638" spans="1:20" ht="39.950000000000003" customHeight="1" x14ac:dyDescent="0.2">
      <c r="A638" s="36"/>
      <c r="B638" s="25" t="s">
        <v>230</v>
      </c>
      <c r="C638" s="6">
        <f>D638+E638+F638+G638+H638</f>
        <v>0</v>
      </c>
      <c r="D638" s="8"/>
      <c r="E638" s="8"/>
      <c r="F638" s="8"/>
      <c r="G638" s="8"/>
      <c r="H638" s="8"/>
      <c r="I638" s="45"/>
      <c r="J638" s="45"/>
      <c r="K638" s="45"/>
      <c r="L638" s="45"/>
      <c r="M638" s="45"/>
      <c r="N638" s="45"/>
      <c r="O638" s="45"/>
      <c r="P638" s="48"/>
      <c r="Q638" s="45"/>
      <c r="R638" s="45"/>
      <c r="S638" s="45"/>
      <c r="T638" s="49"/>
    </row>
    <row r="639" spans="1:20" ht="16.5" customHeight="1" x14ac:dyDescent="0.2">
      <c r="A639" s="34" t="s">
        <v>568</v>
      </c>
      <c r="B639" s="37" t="s">
        <v>526</v>
      </c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8"/>
    </row>
    <row r="640" spans="1:20" ht="16.5" customHeight="1" x14ac:dyDescent="0.2">
      <c r="A640" s="35" t="s">
        <v>74</v>
      </c>
      <c r="B640" s="54" t="s">
        <v>144</v>
      </c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</row>
    <row r="641" spans="1:20" ht="50.1" customHeight="1" x14ac:dyDescent="0.2">
      <c r="A641" s="35"/>
      <c r="B641" s="57" t="s">
        <v>145</v>
      </c>
      <c r="C641" s="58"/>
      <c r="D641" s="58"/>
      <c r="E641" s="58"/>
      <c r="F641" s="58"/>
      <c r="G641" s="58"/>
      <c r="H641" s="59"/>
      <c r="I641" s="43" t="s">
        <v>24</v>
      </c>
      <c r="J641" s="43"/>
      <c r="K641" s="43" t="s">
        <v>47</v>
      </c>
      <c r="L641" s="43"/>
      <c r="M641" s="43" t="s">
        <v>587</v>
      </c>
      <c r="N641" s="43" t="s">
        <v>526</v>
      </c>
      <c r="O641" s="43" t="s">
        <v>588</v>
      </c>
      <c r="P641" s="46"/>
      <c r="Q641" s="43" t="s">
        <v>7</v>
      </c>
      <c r="R641" s="43" t="s">
        <v>587</v>
      </c>
      <c r="S641" s="43" t="s">
        <v>35</v>
      </c>
      <c r="T641" s="49"/>
    </row>
    <row r="642" spans="1:20" ht="16.5" customHeight="1" x14ac:dyDescent="0.2">
      <c r="A642" s="35"/>
      <c r="B642" s="25" t="s">
        <v>5</v>
      </c>
      <c r="C642" s="6">
        <f t="shared" ref="C642:C646" si="211">D642+E642+F642+G642+H642</f>
        <v>22.599999999999998</v>
      </c>
      <c r="D642" s="6">
        <f t="shared" ref="D642" si="212">SUM(D643:D647)</f>
        <v>0</v>
      </c>
      <c r="E642" s="6">
        <f>SUM(E643:E647)</f>
        <v>0</v>
      </c>
      <c r="F642" s="6">
        <f>SUM(F643:F647)</f>
        <v>22.599999999999998</v>
      </c>
      <c r="G642" s="6">
        <f>SUM(G643:G647)</f>
        <v>0</v>
      </c>
      <c r="H642" s="8">
        <f>SUM(H643:H647)</f>
        <v>0</v>
      </c>
      <c r="I642" s="44"/>
      <c r="J642" s="44"/>
      <c r="K642" s="44"/>
      <c r="L642" s="44"/>
      <c r="M642" s="44"/>
      <c r="N642" s="44"/>
      <c r="O642" s="44"/>
      <c r="P642" s="47"/>
      <c r="Q642" s="44"/>
      <c r="R642" s="44"/>
      <c r="S642" s="44"/>
      <c r="T642" s="49"/>
    </row>
    <row r="643" spans="1:20" ht="16.5" customHeight="1" x14ac:dyDescent="0.2">
      <c r="A643" s="35"/>
      <c r="B643" s="25" t="s">
        <v>0</v>
      </c>
      <c r="C643" s="6">
        <f t="shared" si="211"/>
        <v>0</v>
      </c>
      <c r="D643" s="8"/>
      <c r="E643" s="8"/>
      <c r="F643" s="8"/>
      <c r="G643" s="8"/>
      <c r="H643" s="8"/>
      <c r="I643" s="44"/>
      <c r="J643" s="44"/>
      <c r="K643" s="44"/>
      <c r="L643" s="44"/>
      <c r="M643" s="44"/>
      <c r="N643" s="44"/>
      <c r="O643" s="44"/>
      <c r="P643" s="47"/>
      <c r="Q643" s="44"/>
      <c r="R643" s="44"/>
      <c r="S643" s="44"/>
      <c r="T643" s="49"/>
    </row>
    <row r="644" spans="1:20" ht="16.5" customHeight="1" x14ac:dyDescent="0.2">
      <c r="A644" s="35"/>
      <c r="B644" s="25" t="s">
        <v>1</v>
      </c>
      <c r="C644" s="6">
        <f t="shared" si="211"/>
        <v>22.373999999999999</v>
      </c>
      <c r="D644" s="8"/>
      <c r="E644" s="8"/>
      <c r="F644" s="8">
        <v>22.373999999999999</v>
      </c>
      <c r="G644" s="8"/>
      <c r="H644" s="8"/>
      <c r="I644" s="44"/>
      <c r="J644" s="44"/>
      <c r="K644" s="44"/>
      <c r="L644" s="44"/>
      <c r="M644" s="44"/>
      <c r="N644" s="44"/>
      <c r="O644" s="44"/>
      <c r="P644" s="47"/>
      <c r="Q644" s="44"/>
      <c r="R644" s="44"/>
      <c r="S644" s="44"/>
      <c r="T644" s="49"/>
    </row>
    <row r="645" spans="1:20" ht="16.5" customHeight="1" x14ac:dyDescent="0.2">
      <c r="A645" s="35"/>
      <c r="B645" s="25" t="s">
        <v>2</v>
      </c>
      <c r="C645" s="6">
        <f t="shared" si="211"/>
        <v>0.22600000000000001</v>
      </c>
      <c r="D645" s="8"/>
      <c r="E645" s="8"/>
      <c r="F645" s="8">
        <v>0.22600000000000001</v>
      </c>
      <c r="G645" s="8"/>
      <c r="H645" s="8"/>
      <c r="I645" s="44"/>
      <c r="J645" s="44"/>
      <c r="K645" s="44"/>
      <c r="L645" s="44"/>
      <c r="M645" s="44"/>
      <c r="N645" s="44"/>
      <c r="O645" s="44"/>
      <c r="P645" s="47"/>
      <c r="Q645" s="44"/>
      <c r="R645" s="44"/>
      <c r="S645" s="44"/>
      <c r="T645" s="49"/>
    </row>
    <row r="646" spans="1:20" ht="16.5" customHeight="1" x14ac:dyDescent="0.2">
      <c r="A646" s="35"/>
      <c r="B646" s="25" t="s">
        <v>3</v>
      </c>
      <c r="C646" s="6">
        <f t="shared" si="211"/>
        <v>0</v>
      </c>
      <c r="D646" s="8"/>
      <c r="E646" s="8"/>
      <c r="F646" s="8"/>
      <c r="G646" s="8"/>
      <c r="H646" s="8"/>
      <c r="I646" s="44"/>
      <c r="J646" s="44"/>
      <c r="K646" s="44"/>
      <c r="L646" s="44"/>
      <c r="M646" s="44"/>
      <c r="N646" s="44"/>
      <c r="O646" s="44"/>
      <c r="P646" s="47"/>
      <c r="Q646" s="44"/>
      <c r="R646" s="44"/>
      <c r="S646" s="44"/>
      <c r="T646" s="49"/>
    </row>
    <row r="647" spans="1:20" ht="39.950000000000003" customHeight="1" x14ac:dyDescent="0.2">
      <c r="A647" s="36"/>
      <c r="B647" s="25" t="s">
        <v>230</v>
      </c>
      <c r="C647" s="6">
        <f>D647+E647+F647+G647+H647</f>
        <v>0</v>
      </c>
      <c r="D647" s="8"/>
      <c r="E647" s="8"/>
      <c r="F647" s="8"/>
      <c r="G647" s="8"/>
      <c r="H647" s="8"/>
      <c r="I647" s="45"/>
      <c r="J647" s="45"/>
      <c r="K647" s="45"/>
      <c r="L647" s="45"/>
      <c r="M647" s="45"/>
      <c r="N647" s="45"/>
      <c r="O647" s="45"/>
      <c r="P647" s="48"/>
      <c r="Q647" s="45"/>
      <c r="R647" s="45"/>
      <c r="S647" s="45"/>
      <c r="T647" s="49"/>
    </row>
    <row r="648" spans="1:20" ht="16.5" customHeight="1" x14ac:dyDescent="0.2">
      <c r="A648" s="34" t="s">
        <v>597</v>
      </c>
      <c r="B648" s="37" t="s">
        <v>526</v>
      </c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8"/>
    </row>
    <row r="649" spans="1:20" ht="16.5" customHeight="1" x14ac:dyDescent="0.2">
      <c r="A649" s="35" t="s">
        <v>74</v>
      </c>
      <c r="B649" s="54" t="s">
        <v>144</v>
      </c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</row>
    <row r="650" spans="1:20" ht="50.1" customHeight="1" x14ac:dyDescent="0.2">
      <c r="A650" s="35"/>
      <c r="B650" s="57" t="s">
        <v>145</v>
      </c>
      <c r="C650" s="58"/>
      <c r="D650" s="58"/>
      <c r="E650" s="58"/>
      <c r="F650" s="58"/>
      <c r="G650" s="58"/>
      <c r="H650" s="59"/>
      <c r="I650" s="43" t="s">
        <v>24</v>
      </c>
      <c r="J650" s="43"/>
      <c r="K650" s="43" t="s">
        <v>47</v>
      </c>
      <c r="L650" s="43"/>
      <c r="M650" s="43" t="s">
        <v>589</v>
      </c>
      <c r="N650" s="43" t="s">
        <v>526</v>
      </c>
      <c r="O650" s="43" t="s">
        <v>590</v>
      </c>
      <c r="P650" s="46"/>
      <c r="Q650" s="43" t="s">
        <v>7</v>
      </c>
      <c r="R650" s="43" t="s">
        <v>589</v>
      </c>
      <c r="S650" s="43" t="s">
        <v>35</v>
      </c>
      <c r="T650" s="49"/>
    </row>
    <row r="651" spans="1:20" ht="16.5" customHeight="1" x14ac:dyDescent="0.2">
      <c r="A651" s="35"/>
      <c r="B651" s="25" t="s">
        <v>5</v>
      </c>
      <c r="C651" s="6">
        <f t="shared" ref="C651:C655" si="213">D651+E651+F651+G651+H651</f>
        <v>112.352</v>
      </c>
      <c r="D651" s="6">
        <f t="shared" ref="D651" si="214">SUM(D652:D656)</f>
        <v>0</v>
      </c>
      <c r="E651" s="6">
        <f>SUM(E652:E656)</f>
        <v>0</v>
      </c>
      <c r="F651" s="6">
        <f>SUM(F652:F656)</f>
        <v>112.352</v>
      </c>
      <c r="G651" s="6">
        <f>SUM(G652:G656)</f>
        <v>0</v>
      </c>
      <c r="H651" s="8">
        <f>SUM(H652:H656)</f>
        <v>0</v>
      </c>
      <c r="I651" s="44"/>
      <c r="J651" s="44"/>
      <c r="K651" s="44"/>
      <c r="L651" s="44"/>
      <c r="M651" s="44"/>
      <c r="N651" s="44"/>
      <c r="O651" s="44"/>
      <c r="P651" s="47"/>
      <c r="Q651" s="44"/>
      <c r="R651" s="44"/>
      <c r="S651" s="44"/>
      <c r="T651" s="49"/>
    </row>
    <row r="652" spans="1:20" ht="16.5" customHeight="1" x14ac:dyDescent="0.2">
      <c r="A652" s="35"/>
      <c r="B652" s="25" t="s">
        <v>0</v>
      </c>
      <c r="C652" s="6">
        <f t="shared" si="213"/>
        <v>0</v>
      </c>
      <c r="D652" s="8"/>
      <c r="E652" s="8"/>
      <c r="F652" s="8"/>
      <c r="G652" s="8"/>
      <c r="H652" s="8"/>
      <c r="I652" s="44"/>
      <c r="J652" s="44"/>
      <c r="K652" s="44"/>
      <c r="L652" s="44"/>
      <c r="M652" s="44"/>
      <c r="N652" s="44"/>
      <c r="O652" s="44"/>
      <c r="P652" s="47"/>
      <c r="Q652" s="44"/>
      <c r="R652" s="44"/>
      <c r="S652" s="44"/>
      <c r="T652" s="49"/>
    </row>
    <row r="653" spans="1:20" ht="16.5" customHeight="1" x14ac:dyDescent="0.2">
      <c r="A653" s="35"/>
      <c r="B653" s="25" t="s">
        <v>1</v>
      </c>
      <c r="C653" s="6">
        <f t="shared" si="213"/>
        <v>111.22848</v>
      </c>
      <c r="D653" s="8"/>
      <c r="E653" s="8"/>
      <c r="F653" s="8">
        <v>111.22848</v>
      </c>
      <c r="G653" s="8"/>
      <c r="H653" s="8"/>
      <c r="I653" s="44"/>
      <c r="J653" s="44"/>
      <c r="K653" s="44"/>
      <c r="L653" s="44"/>
      <c r="M653" s="44"/>
      <c r="N653" s="44"/>
      <c r="O653" s="44"/>
      <c r="P653" s="47"/>
      <c r="Q653" s="44"/>
      <c r="R653" s="44"/>
      <c r="S653" s="44"/>
      <c r="T653" s="49"/>
    </row>
    <row r="654" spans="1:20" ht="16.5" customHeight="1" x14ac:dyDescent="0.2">
      <c r="A654" s="35"/>
      <c r="B654" s="25" t="s">
        <v>2</v>
      </c>
      <c r="C654" s="6">
        <f t="shared" si="213"/>
        <v>1.1235200000000001</v>
      </c>
      <c r="D654" s="8"/>
      <c r="E654" s="8"/>
      <c r="F654" s="8">
        <v>1.1235200000000001</v>
      </c>
      <c r="G654" s="8"/>
      <c r="H654" s="8"/>
      <c r="I654" s="44"/>
      <c r="J654" s="44"/>
      <c r="K654" s="44"/>
      <c r="L654" s="44"/>
      <c r="M654" s="44"/>
      <c r="N654" s="44"/>
      <c r="O654" s="44"/>
      <c r="P654" s="47"/>
      <c r="Q654" s="44"/>
      <c r="R654" s="44"/>
      <c r="S654" s="44"/>
      <c r="T654" s="49"/>
    </row>
    <row r="655" spans="1:20" ht="16.5" customHeight="1" x14ac:dyDescent="0.2">
      <c r="A655" s="35"/>
      <c r="B655" s="25" t="s">
        <v>3</v>
      </c>
      <c r="C655" s="6">
        <f t="shared" si="213"/>
        <v>0</v>
      </c>
      <c r="D655" s="8"/>
      <c r="E655" s="8"/>
      <c r="F655" s="8"/>
      <c r="G655" s="8"/>
      <c r="H655" s="8"/>
      <c r="I655" s="44"/>
      <c r="J655" s="44"/>
      <c r="K655" s="44"/>
      <c r="L655" s="44"/>
      <c r="M655" s="44"/>
      <c r="N655" s="44"/>
      <c r="O655" s="44"/>
      <c r="P655" s="47"/>
      <c r="Q655" s="44"/>
      <c r="R655" s="44"/>
      <c r="S655" s="44"/>
      <c r="T655" s="49"/>
    </row>
    <row r="656" spans="1:20" ht="39.950000000000003" customHeight="1" x14ac:dyDescent="0.2">
      <c r="A656" s="36"/>
      <c r="B656" s="25" t="s">
        <v>230</v>
      </c>
      <c r="C656" s="6">
        <f>D656+E656+F656+G656+H656</f>
        <v>0</v>
      </c>
      <c r="D656" s="8"/>
      <c r="E656" s="8"/>
      <c r="F656" s="8"/>
      <c r="G656" s="8"/>
      <c r="H656" s="8"/>
      <c r="I656" s="45"/>
      <c r="J656" s="45"/>
      <c r="K656" s="45"/>
      <c r="L656" s="45"/>
      <c r="M656" s="45"/>
      <c r="N656" s="45"/>
      <c r="O656" s="45"/>
      <c r="P656" s="48"/>
      <c r="Q656" s="45"/>
      <c r="R656" s="45"/>
      <c r="S656" s="45"/>
      <c r="T656" s="49"/>
    </row>
    <row r="657" spans="1:20" ht="15.95" customHeight="1" x14ac:dyDescent="0.2">
      <c r="A657" s="34" t="s">
        <v>598</v>
      </c>
      <c r="B657" s="37" t="s">
        <v>526</v>
      </c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8"/>
    </row>
    <row r="658" spans="1:20" ht="15.95" customHeight="1" x14ac:dyDescent="0.2">
      <c r="A658" s="35" t="s">
        <v>74</v>
      </c>
      <c r="B658" s="54" t="s">
        <v>143</v>
      </c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</row>
    <row r="659" spans="1:20" ht="50.1" customHeight="1" x14ac:dyDescent="0.2">
      <c r="A659" s="35"/>
      <c r="B659" s="57" t="s">
        <v>382</v>
      </c>
      <c r="C659" s="58"/>
      <c r="D659" s="58"/>
      <c r="E659" s="58"/>
      <c r="F659" s="58"/>
      <c r="G659" s="58"/>
      <c r="H659" s="59"/>
      <c r="I659" s="43" t="s">
        <v>29</v>
      </c>
      <c r="J659" s="43" t="s">
        <v>51</v>
      </c>
      <c r="K659" s="43" t="s">
        <v>42</v>
      </c>
      <c r="L659" s="43" t="s">
        <v>236</v>
      </c>
      <c r="M659" s="43" t="s">
        <v>737</v>
      </c>
      <c r="N659" s="43" t="s">
        <v>526</v>
      </c>
      <c r="O659" s="43" t="s">
        <v>737</v>
      </c>
      <c r="P659" s="46" t="s">
        <v>237</v>
      </c>
      <c r="Q659" s="43" t="s">
        <v>33</v>
      </c>
      <c r="R659" s="43" t="s">
        <v>8</v>
      </c>
      <c r="S659" s="43" t="s">
        <v>25</v>
      </c>
      <c r="T659" s="49"/>
    </row>
    <row r="660" spans="1:20" ht="15.95" customHeight="1" x14ac:dyDescent="0.2">
      <c r="A660" s="35"/>
      <c r="B660" s="25" t="s">
        <v>5</v>
      </c>
      <c r="C660" s="6">
        <f>D660+E660+F660+G660+H660</f>
        <v>46000</v>
      </c>
      <c r="D660" s="6">
        <f t="shared" ref="D660:F660" si="215">SUM(D661:D664)</f>
        <v>46000</v>
      </c>
      <c r="E660" s="6">
        <f t="shared" si="215"/>
        <v>0</v>
      </c>
      <c r="F660" s="6">
        <f t="shared" si="215"/>
        <v>0</v>
      </c>
      <c r="G660" s="6">
        <f t="shared" ref="G660:H660" si="216">SUM(G661:G664)</f>
        <v>0</v>
      </c>
      <c r="H660" s="6">
        <f t="shared" si="216"/>
        <v>0</v>
      </c>
      <c r="I660" s="44"/>
      <c r="J660" s="44"/>
      <c r="K660" s="44"/>
      <c r="L660" s="44"/>
      <c r="M660" s="44"/>
      <c r="N660" s="44"/>
      <c r="O660" s="44"/>
      <c r="P660" s="47"/>
      <c r="Q660" s="44"/>
      <c r="R660" s="44"/>
      <c r="S660" s="44"/>
      <c r="T660" s="49"/>
    </row>
    <row r="661" spans="1:20" ht="15.95" customHeight="1" x14ac:dyDescent="0.2">
      <c r="A661" s="35"/>
      <c r="B661" s="25" t="s">
        <v>0</v>
      </c>
      <c r="C661" s="6">
        <f>D661+E661+F661+G661+H661</f>
        <v>0</v>
      </c>
      <c r="D661" s="8"/>
      <c r="E661" s="8"/>
      <c r="F661" s="8"/>
      <c r="G661" s="8"/>
      <c r="H661" s="8"/>
      <c r="I661" s="44"/>
      <c r="J661" s="44"/>
      <c r="K661" s="44"/>
      <c r="L661" s="44"/>
      <c r="M661" s="44"/>
      <c r="N661" s="44"/>
      <c r="O661" s="44"/>
      <c r="P661" s="47"/>
      <c r="Q661" s="44"/>
      <c r="R661" s="44"/>
      <c r="S661" s="44"/>
      <c r="T661" s="49"/>
    </row>
    <row r="662" spans="1:20" ht="15.95" customHeight="1" x14ac:dyDescent="0.2">
      <c r="A662" s="35"/>
      <c r="B662" s="25" t="s">
        <v>1</v>
      </c>
      <c r="C662" s="6">
        <f>D662+E662+F662+G662+H662</f>
        <v>46000</v>
      </c>
      <c r="D662" s="8">
        <v>46000</v>
      </c>
      <c r="E662" s="8"/>
      <c r="F662" s="8"/>
      <c r="G662" s="8"/>
      <c r="H662" s="8"/>
      <c r="I662" s="44"/>
      <c r="J662" s="44"/>
      <c r="K662" s="44"/>
      <c r="L662" s="44"/>
      <c r="M662" s="44"/>
      <c r="N662" s="44"/>
      <c r="O662" s="44"/>
      <c r="P662" s="47"/>
      <c r="Q662" s="44"/>
      <c r="R662" s="44"/>
      <c r="S662" s="44"/>
      <c r="T662" s="49"/>
    </row>
    <row r="663" spans="1:20" ht="15.95" customHeight="1" x14ac:dyDescent="0.2">
      <c r="A663" s="35"/>
      <c r="B663" s="25" t="s">
        <v>2</v>
      </c>
      <c r="C663" s="6">
        <f>SUM(D663:H663)</f>
        <v>0</v>
      </c>
      <c r="D663" s="8"/>
      <c r="E663" s="8"/>
      <c r="F663" s="8"/>
      <c r="G663" s="8"/>
      <c r="H663" s="8"/>
      <c r="I663" s="44"/>
      <c r="J663" s="44"/>
      <c r="K663" s="44"/>
      <c r="L663" s="44"/>
      <c r="M663" s="44"/>
      <c r="N663" s="44"/>
      <c r="O663" s="44"/>
      <c r="P663" s="47"/>
      <c r="Q663" s="44"/>
      <c r="R663" s="44"/>
      <c r="S663" s="44"/>
      <c r="T663" s="49"/>
    </row>
    <row r="664" spans="1:20" ht="15.95" customHeight="1" x14ac:dyDescent="0.2">
      <c r="A664" s="36"/>
      <c r="B664" s="25" t="s">
        <v>3</v>
      </c>
      <c r="C664" s="6">
        <f>SUM(D664:H664)</f>
        <v>0</v>
      </c>
      <c r="D664" s="8"/>
      <c r="E664" s="8"/>
      <c r="F664" s="8"/>
      <c r="G664" s="8"/>
      <c r="H664" s="8"/>
      <c r="I664" s="45"/>
      <c r="J664" s="45"/>
      <c r="K664" s="45"/>
      <c r="L664" s="45"/>
      <c r="M664" s="45"/>
      <c r="N664" s="45"/>
      <c r="O664" s="45"/>
      <c r="P664" s="48"/>
      <c r="Q664" s="45"/>
      <c r="R664" s="45"/>
      <c r="S664" s="45"/>
      <c r="T664" s="49"/>
    </row>
    <row r="665" spans="1:20" ht="15.95" customHeight="1" x14ac:dyDescent="0.2">
      <c r="A665" s="34" t="s">
        <v>599</v>
      </c>
      <c r="B665" s="37" t="s">
        <v>526</v>
      </c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8"/>
    </row>
    <row r="666" spans="1:20" ht="15.95" customHeight="1" x14ac:dyDescent="0.2">
      <c r="A666" s="35" t="s">
        <v>74</v>
      </c>
      <c r="B666" s="54" t="s">
        <v>238</v>
      </c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</row>
    <row r="667" spans="1:20" ht="50.1" customHeight="1" x14ac:dyDescent="0.2">
      <c r="A667" s="35"/>
      <c r="B667" s="57" t="s">
        <v>166</v>
      </c>
      <c r="C667" s="58"/>
      <c r="D667" s="58"/>
      <c r="E667" s="58"/>
      <c r="F667" s="58"/>
      <c r="G667" s="58"/>
      <c r="H667" s="59"/>
      <c r="I667" s="43" t="s">
        <v>20</v>
      </c>
      <c r="J667" s="43" t="s">
        <v>21</v>
      </c>
      <c r="K667" s="43" t="s">
        <v>47</v>
      </c>
      <c r="L667" s="43" t="s">
        <v>239</v>
      </c>
      <c r="M667" s="43" t="s">
        <v>22</v>
      </c>
      <c r="N667" s="43" t="s">
        <v>22</v>
      </c>
      <c r="O667" s="43" t="s">
        <v>22</v>
      </c>
      <c r="P667" s="46" t="s">
        <v>240</v>
      </c>
      <c r="Q667" s="43" t="s">
        <v>7</v>
      </c>
      <c r="R667" s="43" t="s">
        <v>8</v>
      </c>
      <c r="S667" s="43" t="s">
        <v>35</v>
      </c>
      <c r="T667" s="43" t="s">
        <v>488</v>
      </c>
    </row>
    <row r="668" spans="1:20" ht="15.95" customHeight="1" x14ac:dyDescent="0.2">
      <c r="A668" s="35"/>
      <c r="B668" s="25" t="s">
        <v>5</v>
      </c>
      <c r="C668" s="6">
        <f>D668+E668+F668+G668+H668</f>
        <v>35353.535349999998</v>
      </c>
      <c r="D668" s="6">
        <f t="shared" ref="D668:F668" si="217">SUM(D669:D672)</f>
        <v>35353.535349999998</v>
      </c>
      <c r="E668" s="6">
        <f t="shared" si="217"/>
        <v>0</v>
      </c>
      <c r="F668" s="6">
        <f t="shared" si="217"/>
        <v>0</v>
      </c>
      <c r="G668" s="6">
        <f t="shared" ref="G668:H668" si="218">SUM(G669:G672)</f>
        <v>0</v>
      </c>
      <c r="H668" s="6">
        <f t="shared" si="218"/>
        <v>0</v>
      </c>
      <c r="I668" s="44"/>
      <c r="J668" s="44"/>
      <c r="K668" s="44"/>
      <c r="L668" s="44"/>
      <c r="M668" s="44"/>
      <c r="N668" s="44"/>
      <c r="O668" s="44"/>
      <c r="P668" s="47"/>
      <c r="Q668" s="44"/>
      <c r="R668" s="44"/>
      <c r="S668" s="44"/>
      <c r="T668" s="44"/>
    </row>
    <row r="669" spans="1:20" ht="15.95" customHeight="1" x14ac:dyDescent="0.2">
      <c r="A669" s="35"/>
      <c r="B669" s="25" t="s">
        <v>0</v>
      </c>
      <c r="C669" s="6">
        <f>D669+E669+F669+G669+H669</f>
        <v>0</v>
      </c>
      <c r="D669" s="8"/>
      <c r="E669" s="8"/>
      <c r="F669" s="8"/>
      <c r="G669" s="8"/>
      <c r="H669" s="8"/>
      <c r="I669" s="44"/>
      <c r="J669" s="44"/>
      <c r="K669" s="44"/>
      <c r="L669" s="44"/>
      <c r="M669" s="44"/>
      <c r="N669" s="44"/>
      <c r="O669" s="44"/>
      <c r="P669" s="47"/>
      <c r="Q669" s="44"/>
      <c r="R669" s="44"/>
      <c r="S669" s="44"/>
      <c r="T669" s="44"/>
    </row>
    <row r="670" spans="1:20" ht="15.95" customHeight="1" x14ac:dyDescent="0.2">
      <c r="A670" s="35"/>
      <c r="B670" s="25" t="s">
        <v>1</v>
      </c>
      <c r="C670" s="6">
        <f>D670+E670+F670+G670+H670</f>
        <v>35000</v>
      </c>
      <c r="D670" s="8">
        <v>35000</v>
      </c>
      <c r="E670" s="8"/>
      <c r="F670" s="8"/>
      <c r="G670" s="8"/>
      <c r="H670" s="8"/>
      <c r="I670" s="44"/>
      <c r="J670" s="44"/>
      <c r="K670" s="44"/>
      <c r="L670" s="44"/>
      <c r="M670" s="44"/>
      <c r="N670" s="44"/>
      <c r="O670" s="44"/>
      <c r="P670" s="47"/>
      <c r="Q670" s="44"/>
      <c r="R670" s="44"/>
      <c r="S670" s="44"/>
      <c r="T670" s="44"/>
    </row>
    <row r="671" spans="1:20" ht="15.95" customHeight="1" x14ac:dyDescent="0.2">
      <c r="A671" s="35"/>
      <c r="B671" s="25" t="s">
        <v>2</v>
      </c>
      <c r="C671" s="6">
        <f>D671+E671+F671+G671+H671</f>
        <v>353.53534999999999</v>
      </c>
      <c r="D671" s="8">
        <v>353.53534999999999</v>
      </c>
      <c r="E671" s="8"/>
      <c r="F671" s="8"/>
      <c r="G671" s="8"/>
      <c r="H671" s="8"/>
      <c r="I671" s="44"/>
      <c r="J671" s="44"/>
      <c r="K671" s="44"/>
      <c r="L671" s="44"/>
      <c r="M671" s="44"/>
      <c r="N671" s="44"/>
      <c r="O671" s="44"/>
      <c r="P671" s="47"/>
      <c r="Q671" s="44"/>
      <c r="R671" s="44"/>
      <c r="S671" s="44"/>
      <c r="T671" s="44"/>
    </row>
    <row r="672" spans="1:20" ht="15.95" customHeight="1" x14ac:dyDescent="0.2">
      <c r="A672" s="36"/>
      <c r="B672" s="25" t="s">
        <v>3</v>
      </c>
      <c r="C672" s="6">
        <f>D672+E672+F672+G672+H672</f>
        <v>0</v>
      </c>
      <c r="D672" s="8"/>
      <c r="E672" s="8"/>
      <c r="F672" s="8"/>
      <c r="G672" s="8"/>
      <c r="H672" s="8"/>
      <c r="I672" s="45"/>
      <c r="J672" s="45"/>
      <c r="K672" s="45"/>
      <c r="L672" s="45"/>
      <c r="M672" s="45"/>
      <c r="N672" s="45"/>
      <c r="O672" s="45"/>
      <c r="P672" s="48"/>
      <c r="Q672" s="45"/>
      <c r="R672" s="45"/>
      <c r="S672" s="45"/>
      <c r="T672" s="45"/>
    </row>
    <row r="673" spans="1:20" ht="15.95" customHeight="1" x14ac:dyDescent="0.2">
      <c r="A673" s="34" t="s">
        <v>600</v>
      </c>
      <c r="B673" s="37" t="s">
        <v>526</v>
      </c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8"/>
    </row>
    <row r="674" spans="1:20" ht="15.95" customHeight="1" x14ac:dyDescent="0.2">
      <c r="A674" s="35" t="s">
        <v>74</v>
      </c>
      <c r="B674" s="54" t="s">
        <v>146</v>
      </c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</row>
    <row r="675" spans="1:20" ht="50.1" customHeight="1" x14ac:dyDescent="0.2">
      <c r="A675" s="35"/>
      <c r="B675" s="57" t="s">
        <v>292</v>
      </c>
      <c r="C675" s="58"/>
      <c r="D675" s="58"/>
      <c r="E675" s="58"/>
      <c r="F675" s="58"/>
      <c r="G675" s="58"/>
      <c r="H675" s="59"/>
      <c r="I675" s="43" t="s">
        <v>23</v>
      </c>
      <c r="J675" s="43" t="s">
        <v>20</v>
      </c>
      <c r="K675" s="43" t="s">
        <v>47</v>
      </c>
      <c r="L675" s="43" t="s">
        <v>241</v>
      </c>
      <c r="M675" s="43" t="s">
        <v>242</v>
      </c>
      <c r="N675" s="43" t="s">
        <v>526</v>
      </c>
      <c r="O675" s="43" t="s">
        <v>242</v>
      </c>
      <c r="P675" s="46" t="s">
        <v>423</v>
      </c>
      <c r="Q675" s="43" t="s">
        <v>7</v>
      </c>
      <c r="R675" s="43" t="s">
        <v>38</v>
      </c>
      <c r="S675" s="43" t="s">
        <v>25</v>
      </c>
      <c r="T675" s="49"/>
    </row>
    <row r="676" spans="1:20" ht="15.95" customHeight="1" x14ac:dyDescent="0.2">
      <c r="A676" s="35"/>
      <c r="B676" s="25" t="s">
        <v>5</v>
      </c>
      <c r="C676" s="6">
        <f>D676+E676+F676+G676+H676</f>
        <v>7741.5050499999998</v>
      </c>
      <c r="D676" s="6">
        <f t="shared" ref="D676:F676" si="219">SUM(D677:D680)</f>
        <v>7741.5050499999998</v>
      </c>
      <c r="E676" s="6">
        <f t="shared" si="219"/>
        <v>0</v>
      </c>
      <c r="F676" s="6">
        <f t="shared" si="219"/>
        <v>0</v>
      </c>
      <c r="G676" s="6">
        <f t="shared" ref="G676:H676" si="220">SUM(G677:G680)</f>
        <v>0</v>
      </c>
      <c r="H676" s="6">
        <f t="shared" si="220"/>
        <v>0</v>
      </c>
      <c r="I676" s="44"/>
      <c r="J676" s="44"/>
      <c r="K676" s="44"/>
      <c r="L676" s="44"/>
      <c r="M676" s="44"/>
      <c r="N676" s="44"/>
      <c r="O676" s="44"/>
      <c r="P676" s="47"/>
      <c r="Q676" s="44"/>
      <c r="R676" s="44"/>
      <c r="S676" s="44"/>
      <c r="T676" s="49"/>
    </row>
    <row r="677" spans="1:20" ht="15.95" customHeight="1" x14ac:dyDescent="0.2">
      <c r="A677" s="35"/>
      <c r="B677" s="25" t="s">
        <v>0</v>
      </c>
      <c r="C677" s="6">
        <f>D677+E677+F677+G677+H677</f>
        <v>0</v>
      </c>
      <c r="D677" s="8"/>
      <c r="E677" s="8"/>
      <c r="F677" s="8"/>
      <c r="G677" s="8"/>
      <c r="H677" s="8"/>
      <c r="I677" s="44"/>
      <c r="J677" s="44"/>
      <c r="K677" s="44"/>
      <c r="L677" s="44"/>
      <c r="M677" s="44"/>
      <c r="N677" s="44"/>
      <c r="O677" s="44"/>
      <c r="P677" s="47"/>
      <c r="Q677" s="44"/>
      <c r="R677" s="44"/>
      <c r="S677" s="44"/>
      <c r="T677" s="49"/>
    </row>
    <row r="678" spans="1:20" ht="15.95" customHeight="1" x14ac:dyDescent="0.2">
      <c r="A678" s="35"/>
      <c r="B678" s="25" t="s">
        <v>1</v>
      </c>
      <c r="C678" s="6">
        <f>D678+E678+F678+G678+H678</f>
        <v>7664.09</v>
      </c>
      <c r="D678" s="8">
        <v>7664.09</v>
      </c>
      <c r="E678" s="8"/>
      <c r="F678" s="8"/>
      <c r="G678" s="8"/>
      <c r="H678" s="8"/>
      <c r="I678" s="44"/>
      <c r="J678" s="44"/>
      <c r="K678" s="44"/>
      <c r="L678" s="44"/>
      <c r="M678" s="44"/>
      <c r="N678" s="44"/>
      <c r="O678" s="44"/>
      <c r="P678" s="47"/>
      <c r="Q678" s="44"/>
      <c r="R678" s="44"/>
      <c r="S678" s="44"/>
      <c r="T678" s="49"/>
    </row>
    <row r="679" spans="1:20" ht="15.95" customHeight="1" x14ac:dyDescent="0.2">
      <c r="A679" s="35"/>
      <c r="B679" s="25" t="s">
        <v>2</v>
      </c>
      <c r="C679" s="6">
        <f>D679+E679+F679+G679+H679</f>
        <v>77.415049999999994</v>
      </c>
      <c r="D679" s="8">
        <v>77.415049999999994</v>
      </c>
      <c r="E679" s="8"/>
      <c r="F679" s="8"/>
      <c r="G679" s="8"/>
      <c r="H679" s="8"/>
      <c r="I679" s="44"/>
      <c r="J679" s="44"/>
      <c r="K679" s="44"/>
      <c r="L679" s="44"/>
      <c r="M679" s="44"/>
      <c r="N679" s="44"/>
      <c r="O679" s="44"/>
      <c r="P679" s="47"/>
      <c r="Q679" s="44"/>
      <c r="R679" s="44"/>
      <c r="S679" s="44"/>
      <c r="T679" s="49"/>
    </row>
    <row r="680" spans="1:20" ht="15.95" customHeight="1" x14ac:dyDescent="0.2">
      <c r="A680" s="36"/>
      <c r="B680" s="25" t="s">
        <v>3</v>
      </c>
      <c r="C680" s="6">
        <f>D680+E680+F680+G680+H680</f>
        <v>0</v>
      </c>
      <c r="D680" s="8"/>
      <c r="E680" s="8"/>
      <c r="F680" s="8"/>
      <c r="G680" s="8"/>
      <c r="H680" s="8"/>
      <c r="I680" s="45"/>
      <c r="J680" s="45"/>
      <c r="K680" s="45"/>
      <c r="L680" s="45"/>
      <c r="M680" s="45"/>
      <c r="N680" s="45"/>
      <c r="O680" s="45"/>
      <c r="P680" s="48"/>
      <c r="Q680" s="45"/>
      <c r="R680" s="45"/>
      <c r="S680" s="45"/>
      <c r="T680" s="49"/>
    </row>
    <row r="681" spans="1:20" ht="15.95" customHeight="1" x14ac:dyDescent="0.2">
      <c r="A681" s="34" t="s">
        <v>601</v>
      </c>
      <c r="B681" s="37" t="s">
        <v>526</v>
      </c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8"/>
    </row>
    <row r="682" spans="1:20" ht="15.95" customHeight="1" x14ac:dyDescent="0.2">
      <c r="A682" s="35" t="s">
        <v>74</v>
      </c>
      <c r="B682" s="54" t="s">
        <v>146</v>
      </c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</row>
    <row r="683" spans="1:20" ht="50.1" customHeight="1" x14ac:dyDescent="0.2">
      <c r="A683" s="35"/>
      <c r="B683" s="57" t="s">
        <v>270</v>
      </c>
      <c r="C683" s="58"/>
      <c r="D683" s="58"/>
      <c r="E683" s="58"/>
      <c r="F683" s="58"/>
      <c r="G683" s="58"/>
      <c r="H683" s="59"/>
      <c r="I683" s="49"/>
      <c r="J683" s="49" t="s">
        <v>51</v>
      </c>
      <c r="K683" s="49" t="s">
        <v>42</v>
      </c>
      <c r="L683" s="49"/>
      <c r="M683" s="43" t="s">
        <v>737</v>
      </c>
      <c r="N683" s="49" t="s">
        <v>526</v>
      </c>
      <c r="O683" s="43" t="s">
        <v>737</v>
      </c>
      <c r="P683" s="75"/>
      <c r="Q683" s="49" t="s">
        <v>33</v>
      </c>
      <c r="R683" s="49" t="s">
        <v>8</v>
      </c>
      <c r="S683" s="49" t="s">
        <v>25</v>
      </c>
      <c r="T683" s="49"/>
    </row>
    <row r="684" spans="1:20" ht="15.95" customHeight="1" x14ac:dyDescent="0.2">
      <c r="A684" s="35"/>
      <c r="B684" s="25" t="s">
        <v>5</v>
      </c>
      <c r="C684" s="6">
        <f>SUM(C685:C688)</f>
        <v>400</v>
      </c>
      <c r="D684" s="8">
        <f t="shared" ref="D684:F684" si="221">SUM(D685:D688)</f>
        <v>400</v>
      </c>
      <c r="E684" s="8">
        <f t="shared" si="221"/>
        <v>0</v>
      </c>
      <c r="F684" s="8">
        <f t="shared" si="221"/>
        <v>0</v>
      </c>
      <c r="G684" s="8">
        <f t="shared" ref="G684" si="222">SUM(G685:G688)</f>
        <v>0</v>
      </c>
      <c r="H684" s="8">
        <f t="shared" ref="H684" si="223">SUM(H685:H688)</f>
        <v>0</v>
      </c>
      <c r="I684" s="49"/>
      <c r="J684" s="49"/>
      <c r="K684" s="49"/>
      <c r="L684" s="49"/>
      <c r="M684" s="44"/>
      <c r="N684" s="49"/>
      <c r="O684" s="44"/>
      <c r="P684" s="75"/>
      <c r="Q684" s="49"/>
      <c r="R684" s="49"/>
      <c r="S684" s="49"/>
      <c r="T684" s="49"/>
    </row>
    <row r="685" spans="1:20" ht="15.95" customHeight="1" x14ac:dyDescent="0.2">
      <c r="A685" s="35"/>
      <c r="B685" s="25" t="s">
        <v>0</v>
      </c>
      <c r="C685" s="6">
        <f>SUM(D685:H685)</f>
        <v>0</v>
      </c>
      <c r="D685" s="8"/>
      <c r="E685" s="8"/>
      <c r="F685" s="8"/>
      <c r="G685" s="8"/>
      <c r="H685" s="8"/>
      <c r="I685" s="49"/>
      <c r="J685" s="49"/>
      <c r="K685" s="49"/>
      <c r="L685" s="49"/>
      <c r="M685" s="44"/>
      <c r="N685" s="49"/>
      <c r="O685" s="44"/>
      <c r="P685" s="75"/>
      <c r="Q685" s="49"/>
      <c r="R685" s="49"/>
      <c r="S685" s="49"/>
      <c r="T685" s="49"/>
    </row>
    <row r="686" spans="1:20" ht="15.95" customHeight="1" x14ac:dyDescent="0.2">
      <c r="A686" s="35"/>
      <c r="B686" s="25" t="s">
        <v>1</v>
      </c>
      <c r="C686" s="6">
        <f>D686+E686+F686+G686+H686</f>
        <v>400</v>
      </c>
      <c r="D686" s="8">
        <f>18000-17600</f>
        <v>400</v>
      </c>
      <c r="E686" s="8"/>
      <c r="F686" s="8"/>
      <c r="G686" s="8"/>
      <c r="H686" s="8"/>
      <c r="I686" s="49"/>
      <c r="J686" s="49"/>
      <c r="K686" s="49"/>
      <c r="L686" s="49"/>
      <c r="M686" s="44"/>
      <c r="N686" s="49"/>
      <c r="O686" s="44"/>
      <c r="P686" s="75"/>
      <c r="Q686" s="49"/>
      <c r="R686" s="49"/>
      <c r="S686" s="49"/>
      <c r="T686" s="49"/>
    </row>
    <row r="687" spans="1:20" ht="15.95" customHeight="1" x14ac:dyDescent="0.2">
      <c r="A687" s="35"/>
      <c r="B687" s="25" t="s">
        <v>2</v>
      </c>
      <c r="C687" s="6">
        <f>SUM(D687:H687)</f>
        <v>0</v>
      </c>
      <c r="D687" s="8"/>
      <c r="E687" s="8"/>
      <c r="F687" s="8"/>
      <c r="G687" s="8"/>
      <c r="H687" s="8"/>
      <c r="I687" s="49"/>
      <c r="J687" s="49"/>
      <c r="K687" s="49"/>
      <c r="L687" s="49"/>
      <c r="M687" s="44"/>
      <c r="N687" s="49"/>
      <c r="O687" s="44"/>
      <c r="P687" s="75"/>
      <c r="Q687" s="49"/>
      <c r="R687" s="49"/>
      <c r="S687" s="49"/>
      <c r="T687" s="49"/>
    </row>
    <row r="688" spans="1:20" ht="15.95" customHeight="1" x14ac:dyDescent="0.2">
      <c r="A688" s="36"/>
      <c r="B688" s="25" t="s">
        <v>3</v>
      </c>
      <c r="C688" s="6">
        <f>SUM(D688:H688)</f>
        <v>0</v>
      </c>
      <c r="D688" s="8"/>
      <c r="E688" s="8"/>
      <c r="F688" s="8"/>
      <c r="G688" s="8"/>
      <c r="H688" s="8"/>
      <c r="I688" s="49"/>
      <c r="J688" s="49"/>
      <c r="K688" s="49"/>
      <c r="L688" s="49"/>
      <c r="M688" s="45"/>
      <c r="N688" s="49"/>
      <c r="O688" s="45"/>
      <c r="P688" s="75"/>
      <c r="Q688" s="49"/>
      <c r="R688" s="49"/>
      <c r="S688" s="49"/>
      <c r="T688" s="49"/>
    </row>
    <row r="689" spans="1:20" ht="15.95" customHeight="1" x14ac:dyDescent="0.2">
      <c r="A689" s="34" t="s">
        <v>602</v>
      </c>
      <c r="B689" s="37" t="s">
        <v>526</v>
      </c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8"/>
    </row>
    <row r="690" spans="1:20" ht="15.95" customHeight="1" x14ac:dyDescent="0.2">
      <c r="A690" s="35" t="s">
        <v>74</v>
      </c>
      <c r="B690" s="54" t="s">
        <v>146</v>
      </c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</row>
    <row r="691" spans="1:20" ht="45" customHeight="1" x14ac:dyDescent="0.2">
      <c r="A691" s="35"/>
      <c r="B691" s="57" t="s">
        <v>271</v>
      </c>
      <c r="C691" s="58"/>
      <c r="D691" s="58"/>
      <c r="E691" s="58"/>
      <c r="F691" s="58"/>
      <c r="G691" s="58"/>
      <c r="H691" s="59"/>
      <c r="I691" s="49"/>
      <c r="J691" s="49" t="s">
        <v>51</v>
      </c>
      <c r="K691" s="49" t="s">
        <v>42</v>
      </c>
      <c r="L691" s="49"/>
      <c r="M691" s="43" t="s">
        <v>737</v>
      </c>
      <c r="N691" s="49" t="s">
        <v>526</v>
      </c>
      <c r="O691" s="43" t="s">
        <v>737</v>
      </c>
      <c r="P691" s="75"/>
      <c r="Q691" s="49" t="s">
        <v>33</v>
      </c>
      <c r="R691" s="49" t="s">
        <v>38</v>
      </c>
      <c r="S691" s="49" t="s">
        <v>25</v>
      </c>
      <c r="T691" s="49"/>
    </row>
    <row r="692" spans="1:20" ht="15.95" customHeight="1" x14ac:dyDescent="0.2">
      <c r="A692" s="35"/>
      <c r="B692" s="25" t="s">
        <v>5</v>
      </c>
      <c r="C692" s="6">
        <f>D692+E692+F692+G692+H692</f>
        <v>12000</v>
      </c>
      <c r="D692" s="8">
        <f t="shared" ref="D692:H692" si="224">SUM(D693:D696)</f>
        <v>12000</v>
      </c>
      <c r="E692" s="8">
        <f t="shared" si="224"/>
        <v>0</v>
      </c>
      <c r="F692" s="8">
        <f t="shared" si="224"/>
        <v>0</v>
      </c>
      <c r="G692" s="8">
        <f t="shared" si="224"/>
        <v>0</v>
      </c>
      <c r="H692" s="8">
        <f t="shared" si="224"/>
        <v>0</v>
      </c>
      <c r="I692" s="49"/>
      <c r="J692" s="49"/>
      <c r="K692" s="49"/>
      <c r="L692" s="49"/>
      <c r="M692" s="44"/>
      <c r="N692" s="49"/>
      <c r="O692" s="44"/>
      <c r="P692" s="75"/>
      <c r="Q692" s="49"/>
      <c r="R692" s="49"/>
      <c r="S692" s="49"/>
      <c r="T692" s="49"/>
    </row>
    <row r="693" spans="1:20" ht="15.95" customHeight="1" x14ac:dyDescent="0.2">
      <c r="A693" s="35"/>
      <c r="B693" s="25" t="s">
        <v>0</v>
      </c>
      <c r="C693" s="6">
        <f>D693+E693+F693+G693+H693</f>
        <v>0</v>
      </c>
      <c r="D693" s="8"/>
      <c r="E693" s="8"/>
      <c r="F693" s="8"/>
      <c r="G693" s="8"/>
      <c r="H693" s="8"/>
      <c r="I693" s="49"/>
      <c r="J693" s="49"/>
      <c r="K693" s="49"/>
      <c r="L693" s="49"/>
      <c r="M693" s="44"/>
      <c r="N693" s="49"/>
      <c r="O693" s="44"/>
      <c r="P693" s="75"/>
      <c r="Q693" s="49"/>
      <c r="R693" s="49"/>
      <c r="S693" s="49"/>
      <c r="T693" s="49"/>
    </row>
    <row r="694" spans="1:20" ht="15.95" customHeight="1" x14ac:dyDescent="0.2">
      <c r="A694" s="35"/>
      <c r="B694" s="25" t="s">
        <v>1</v>
      </c>
      <c r="C694" s="6">
        <f>D694+E694+F694+G694+H694</f>
        <v>12000</v>
      </c>
      <c r="D694" s="8">
        <v>12000</v>
      </c>
      <c r="E694" s="8"/>
      <c r="F694" s="8"/>
      <c r="G694" s="8"/>
      <c r="H694" s="8"/>
      <c r="I694" s="49"/>
      <c r="J694" s="49"/>
      <c r="K694" s="49"/>
      <c r="L694" s="49"/>
      <c r="M694" s="44"/>
      <c r="N694" s="49"/>
      <c r="O694" s="44"/>
      <c r="P694" s="75"/>
      <c r="Q694" s="49"/>
      <c r="R694" s="49"/>
      <c r="S694" s="49"/>
      <c r="T694" s="49"/>
    </row>
    <row r="695" spans="1:20" ht="15.95" customHeight="1" x14ac:dyDescent="0.2">
      <c r="A695" s="35"/>
      <c r="B695" s="25" t="s">
        <v>2</v>
      </c>
      <c r="C695" s="6">
        <f>SUM(D695:H695)</f>
        <v>0</v>
      </c>
      <c r="D695" s="8"/>
      <c r="E695" s="8"/>
      <c r="F695" s="8"/>
      <c r="G695" s="8"/>
      <c r="H695" s="8"/>
      <c r="I695" s="49"/>
      <c r="J695" s="49"/>
      <c r="K695" s="49"/>
      <c r="L695" s="49"/>
      <c r="M695" s="44"/>
      <c r="N695" s="49"/>
      <c r="O695" s="44"/>
      <c r="P695" s="75"/>
      <c r="Q695" s="49"/>
      <c r="R695" s="49"/>
      <c r="S695" s="49"/>
      <c r="T695" s="49"/>
    </row>
    <row r="696" spans="1:20" ht="15.95" customHeight="1" x14ac:dyDescent="0.2">
      <c r="A696" s="36"/>
      <c r="B696" s="25" t="s">
        <v>3</v>
      </c>
      <c r="C696" s="6">
        <f>SUM(D696:H696)</f>
        <v>0</v>
      </c>
      <c r="D696" s="8"/>
      <c r="E696" s="8"/>
      <c r="F696" s="8"/>
      <c r="G696" s="8"/>
      <c r="H696" s="8"/>
      <c r="I696" s="49"/>
      <c r="J696" s="49"/>
      <c r="K696" s="49"/>
      <c r="L696" s="49"/>
      <c r="M696" s="45"/>
      <c r="N696" s="49"/>
      <c r="O696" s="45"/>
      <c r="P696" s="75"/>
      <c r="Q696" s="49"/>
      <c r="R696" s="49"/>
      <c r="S696" s="49"/>
      <c r="T696" s="49"/>
    </row>
    <row r="697" spans="1:20" ht="15.95" customHeight="1" x14ac:dyDescent="0.2">
      <c r="A697" s="34" t="s">
        <v>603</v>
      </c>
      <c r="B697" s="37" t="s">
        <v>526</v>
      </c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8"/>
    </row>
    <row r="698" spans="1:20" ht="15.95" customHeight="1" x14ac:dyDescent="0.2">
      <c r="A698" s="35" t="s">
        <v>74</v>
      </c>
      <c r="B698" s="54" t="s">
        <v>146</v>
      </c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</row>
    <row r="699" spans="1:20" ht="45" customHeight="1" x14ac:dyDescent="0.2">
      <c r="A699" s="35"/>
      <c r="B699" s="57" t="s">
        <v>295</v>
      </c>
      <c r="C699" s="58"/>
      <c r="D699" s="58"/>
      <c r="E699" s="58"/>
      <c r="F699" s="58"/>
      <c r="G699" s="58"/>
      <c r="H699" s="59"/>
      <c r="I699" s="49" t="s">
        <v>24</v>
      </c>
      <c r="J699" s="49"/>
      <c r="K699" s="49" t="s">
        <v>47</v>
      </c>
      <c r="L699" s="49" t="s">
        <v>296</v>
      </c>
      <c r="M699" s="49" t="s">
        <v>256</v>
      </c>
      <c r="N699" s="49" t="s">
        <v>526</v>
      </c>
      <c r="O699" s="49" t="s">
        <v>256</v>
      </c>
      <c r="P699" s="75"/>
      <c r="Q699" s="49" t="s">
        <v>7</v>
      </c>
      <c r="R699" s="49" t="s">
        <v>167</v>
      </c>
      <c r="S699" s="49" t="s">
        <v>34</v>
      </c>
      <c r="T699" s="49" t="s">
        <v>489</v>
      </c>
    </row>
    <row r="700" spans="1:20" ht="15.95" customHeight="1" x14ac:dyDescent="0.2">
      <c r="A700" s="35"/>
      <c r="B700" s="25" t="s">
        <v>5</v>
      </c>
      <c r="C700" s="6">
        <f>D700+E700+F700+G700+H700</f>
        <v>248269.22222</v>
      </c>
      <c r="D700" s="8">
        <f t="shared" ref="D700" si="225">SUM(D701:D704)</f>
        <v>38952.525249999999</v>
      </c>
      <c r="E700" s="8">
        <f t="shared" ref="E700:H700" si="226">SUM(E701:E704)</f>
        <v>79410.75757999999</v>
      </c>
      <c r="F700" s="8">
        <f t="shared" si="226"/>
        <v>129905.93939</v>
      </c>
      <c r="G700" s="8">
        <f t="shared" si="226"/>
        <v>0</v>
      </c>
      <c r="H700" s="8">
        <f t="shared" si="226"/>
        <v>0</v>
      </c>
      <c r="I700" s="49"/>
      <c r="J700" s="49"/>
      <c r="K700" s="49"/>
      <c r="L700" s="49"/>
      <c r="M700" s="49"/>
      <c r="N700" s="49"/>
      <c r="O700" s="49"/>
      <c r="P700" s="75"/>
      <c r="Q700" s="49"/>
      <c r="R700" s="49"/>
      <c r="S700" s="49"/>
      <c r="T700" s="49"/>
    </row>
    <row r="701" spans="1:20" ht="15.95" customHeight="1" x14ac:dyDescent="0.2">
      <c r="A701" s="35"/>
      <c r="B701" s="25" t="s">
        <v>0</v>
      </c>
      <c r="C701" s="6">
        <f>D701+E701+F701+G701+H701</f>
        <v>0</v>
      </c>
      <c r="D701" s="8"/>
      <c r="E701" s="8"/>
      <c r="F701" s="8"/>
      <c r="G701" s="8"/>
      <c r="H701" s="8"/>
      <c r="I701" s="49"/>
      <c r="J701" s="49"/>
      <c r="K701" s="49"/>
      <c r="L701" s="49"/>
      <c r="M701" s="49"/>
      <c r="N701" s="49"/>
      <c r="O701" s="49"/>
      <c r="P701" s="75"/>
      <c r="Q701" s="49"/>
      <c r="R701" s="49"/>
      <c r="S701" s="49"/>
      <c r="T701" s="49"/>
    </row>
    <row r="702" spans="1:20" ht="15.95" customHeight="1" x14ac:dyDescent="0.2">
      <c r="A702" s="35"/>
      <c r="B702" s="25" t="s">
        <v>1</v>
      </c>
      <c r="C702" s="6">
        <f>D702+E702+F702+G702+H702</f>
        <v>245786.53</v>
      </c>
      <c r="D702" s="8">
        <v>38563</v>
      </c>
      <c r="E702" s="8">
        <v>78616.649999999994</v>
      </c>
      <c r="F702" s="8">
        <v>128606.88</v>
      </c>
      <c r="G702" s="8"/>
      <c r="H702" s="8"/>
      <c r="I702" s="49"/>
      <c r="J702" s="49"/>
      <c r="K702" s="49"/>
      <c r="L702" s="49"/>
      <c r="M702" s="49"/>
      <c r="N702" s="49"/>
      <c r="O702" s="49"/>
      <c r="P702" s="75"/>
      <c r="Q702" s="49"/>
      <c r="R702" s="49"/>
      <c r="S702" s="49"/>
      <c r="T702" s="49"/>
    </row>
    <row r="703" spans="1:20" ht="15.95" customHeight="1" x14ac:dyDescent="0.2">
      <c r="A703" s="35"/>
      <c r="B703" s="25" t="s">
        <v>2</v>
      </c>
      <c r="C703" s="6">
        <f>D703+E703+F703+G703+H703</f>
        <v>2482.6922199999999</v>
      </c>
      <c r="D703" s="8">
        <v>389.52525000000003</v>
      </c>
      <c r="E703" s="8">
        <v>794.10757999999998</v>
      </c>
      <c r="F703" s="8">
        <v>1299.0593899999999</v>
      </c>
      <c r="G703" s="8"/>
      <c r="H703" s="8"/>
      <c r="I703" s="49"/>
      <c r="J703" s="49"/>
      <c r="K703" s="49"/>
      <c r="L703" s="49"/>
      <c r="M703" s="49"/>
      <c r="N703" s="49"/>
      <c r="O703" s="49"/>
      <c r="P703" s="75"/>
      <c r="Q703" s="49"/>
      <c r="R703" s="49"/>
      <c r="S703" s="49"/>
      <c r="T703" s="49"/>
    </row>
    <row r="704" spans="1:20" ht="15.95" customHeight="1" x14ac:dyDescent="0.2">
      <c r="A704" s="36"/>
      <c r="B704" s="25" t="s">
        <v>3</v>
      </c>
      <c r="C704" s="6">
        <f>SUM(D704:H704)</f>
        <v>0</v>
      </c>
      <c r="D704" s="8"/>
      <c r="E704" s="8"/>
      <c r="F704" s="8"/>
      <c r="G704" s="8"/>
      <c r="H704" s="8"/>
      <c r="I704" s="49"/>
      <c r="J704" s="49"/>
      <c r="K704" s="49"/>
      <c r="L704" s="49"/>
      <c r="M704" s="49"/>
      <c r="N704" s="49"/>
      <c r="O704" s="49"/>
      <c r="P704" s="75"/>
      <c r="Q704" s="49"/>
      <c r="R704" s="49"/>
      <c r="S704" s="49"/>
      <c r="T704" s="49"/>
    </row>
    <row r="705" spans="1:20" ht="15.95" customHeight="1" x14ac:dyDescent="0.2">
      <c r="A705" s="34" t="s">
        <v>604</v>
      </c>
      <c r="B705" s="37" t="s">
        <v>55</v>
      </c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8"/>
    </row>
    <row r="706" spans="1:20" ht="15.95" customHeight="1" x14ac:dyDescent="0.2">
      <c r="A706" s="35" t="s">
        <v>74</v>
      </c>
      <c r="B706" s="54" t="s">
        <v>120</v>
      </c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</row>
    <row r="707" spans="1:20" ht="45" customHeight="1" x14ac:dyDescent="0.2">
      <c r="A707" s="35"/>
      <c r="B707" s="57" t="s">
        <v>393</v>
      </c>
      <c r="C707" s="58"/>
      <c r="D707" s="58"/>
      <c r="E707" s="58"/>
      <c r="F707" s="58"/>
      <c r="G707" s="58"/>
      <c r="H707" s="59"/>
      <c r="I707" s="49" t="s">
        <v>20</v>
      </c>
      <c r="J707" s="49"/>
      <c r="K707" s="49" t="s">
        <v>71</v>
      </c>
      <c r="L707" s="49"/>
      <c r="M707" s="49" t="s">
        <v>55</v>
      </c>
      <c r="N707" s="49" t="s">
        <v>55</v>
      </c>
      <c r="O707" s="49" t="s">
        <v>55</v>
      </c>
      <c r="P707" s="75"/>
      <c r="Q707" s="49"/>
      <c r="R707" s="49"/>
      <c r="S707" s="49" t="s">
        <v>100</v>
      </c>
      <c r="T707" s="49"/>
    </row>
    <row r="708" spans="1:20" ht="15.95" customHeight="1" x14ac:dyDescent="0.2">
      <c r="A708" s="35"/>
      <c r="B708" s="25" t="s">
        <v>5</v>
      </c>
      <c r="C708" s="6">
        <f t="shared" ref="C708:C709" si="227">D708+E708+F708+G708+H708</f>
        <v>170245.52667999978</v>
      </c>
      <c r="D708" s="8">
        <f t="shared" ref="D708:F708" si="228">SUM(D709:D712)</f>
        <v>20000</v>
      </c>
      <c r="E708" s="8">
        <f t="shared" si="228"/>
        <v>0</v>
      </c>
      <c r="F708" s="8">
        <f t="shared" si="228"/>
        <v>6843.6906799997669</v>
      </c>
      <c r="G708" s="8">
        <f t="shared" ref="G708" si="229">SUM(G709:G712)</f>
        <v>71700.918000000005</v>
      </c>
      <c r="H708" s="8">
        <f t="shared" ref="H708" si="230">SUM(H709:H712)</f>
        <v>71700.918000000005</v>
      </c>
      <c r="I708" s="49"/>
      <c r="J708" s="49"/>
      <c r="K708" s="49"/>
      <c r="L708" s="49"/>
      <c r="M708" s="49"/>
      <c r="N708" s="49"/>
      <c r="O708" s="49"/>
      <c r="P708" s="75"/>
      <c r="Q708" s="49"/>
      <c r="R708" s="49"/>
      <c r="S708" s="49"/>
      <c r="T708" s="49"/>
    </row>
    <row r="709" spans="1:20" ht="15.95" customHeight="1" x14ac:dyDescent="0.2">
      <c r="A709" s="35"/>
      <c r="B709" s="25" t="s">
        <v>0</v>
      </c>
      <c r="C709" s="6">
        <f t="shared" si="227"/>
        <v>0</v>
      </c>
      <c r="D709" s="8"/>
      <c r="E709" s="8"/>
      <c r="F709" s="8"/>
      <c r="G709" s="8"/>
      <c r="H709" s="8"/>
      <c r="I709" s="49"/>
      <c r="J709" s="49"/>
      <c r="K709" s="49"/>
      <c r="L709" s="49"/>
      <c r="M709" s="49"/>
      <c r="N709" s="49"/>
      <c r="O709" s="49"/>
      <c r="P709" s="75"/>
      <c r="Q709" s="49"/>
      <c r="R709" s="49"/>
      <c r="S709" s="49"/>
      <c r="T709" s="49"/>
    </row>
    <row r="710" spans="1:20" ht="15.95" customHeight="1" x14ac:dyDescent="0.2">
      <c r="A710" s="35"/>
      <c r="B710" s="25" t="s">
        <v>1</v>
      </c>
      <c r="C710" s="6">
        <f>D710+E710+F710+G710+H710</f>
        <v>170245.52667999978</v>
      </c>
      <c r="D710" s="8">
        <v>20000</v>
      </c>
      <c r="E710" s="8">
        <v>0</v>
      </c>
      <c r="F710" s="8">
        <v>6843.6906799997669</v>
      </c>
      <c r="G710" s="8">
        <v>71700.918000000005</v>
      </c>
      <c r="H710" s="8">
        <v>71700.918000000005</v>
      </c>
      <c r="I710" s="49"/>
      <c r="J710" s="49"/>
      <c r="K710" s="49"/>
      <c r="L710" s="49"/>
      <c r="M710" s="49"/>
      <c r="N710" s="49"/>
      <c r="O710" s="49"/>
      <c r="P710" s="75"/>
      <c r="Q710" s="49"/>
      <c r="R710" s="49"/>
      <c r="S710" s="49"/>
      <c r="T710" s="49"/>
    </row>
    <row r="711" spans="1:20" ht="15.95" customHeight="1" x14ac:dyDescent="0.2">
      <c r="A711" s="35"/>
      <c r="B711" s="25" t="s">
        <v>2</v>
      </c>
      <c r="C711" s="6">
        <f t="shared" ref="C711:C712" si="231">D711+E711+F711+G711+H711</f>
        <v>0</v>
      </c>
      <c r="D711" s="8"/>
      <c r="E711" s="8"/>
      <c r="F711" s="8"/>
      <c r="G711" s="8"/>
      <c r="H711" s="8"/>
      <c r="I711" s="49"/>
      <c r="J711" s="49"/>
      <c r="K711" s="49"/>
      <c r="L711" s="49"/>
      <c r="M711" s="49"/>
      <c r="N711" s="49"/>
      <c r="O711" s="49"/>
      <c r="P711" s="75"/>
      <c r="Q711" s="49"/>
      <c r="R711" s="49"/>
      <c r="S711" s="49"/>
      <c r="T711" s="49"/>
    </row>
    <row r="712" spans="1:20" ht="15.95" customHeight="1" x14ac:dyDescent="0.2">
      <c r="A712" s="36"/>
      <c r="B712" s="25" t="s">
        <v>3</v>
      </c>
      <c r="C712" s="6">
        <f t="shared" si="231"/>
        <v>0</v>
      </c>
      <c r="D712" s="8"/>
      <c r="E712" s="8"/>
      <c r="F712" s="8"/>
      <c r="G712" s="8"/>
      <c r="H712" s="8"/>
      <c r="I712" s="49"/>
      <c r="J712" s="49"/>
      <c r="K712" s="49"/>
      <c r="L712" s="49"/>
      <c r="M712" s="49"/>
      <c r="N712" s="49"/>
      <c r="O712" s="49"/>
      <c r="P712" s="75"/>
      <c r="Q712" s="49"/>
      <c r="R712" s="49"/>
      <c r="S712" s="49"/>
      <c r="T712" s="49"/>
    </row>
    <row r="713" spans="1:20" ht="15.95" customHeight="1" x14ac:dyDescent="0.2">
      <c r="A713" s="34" t="s">
        <v>605</v>
      </c>
      <c r="B713" s="37" t="s">
        <v>55</v>
      </c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8"/>
    </row>
    <row r="714" spans="1:20" ht="15.95" customHeight="1" x14ac:dyDescent="0.2">
      <c r="A714" s="35" t="s">
        <v>74</v>
      </c>
      <c r="B714" s="54" t="s">
        <v>120</v>
      </c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</row>
    <row r="715" spans="1:20" ht="45" customHeight="1" x14ac:dyDescent="0.2">
      <c r="A715" s="35"/>
      <c r="B715" s="57" t="s">
        <v>141</v>
      </c>
      <c r="C715" s="58"/>
      <c r="D715" s="58"/>
      <c r="E715" s="58"/>
      <c r="F715" s="58"/>
      <c r="G715" s="58"/>
      <c r="H715" s="59"/>
      <c r="I715" s="49" t="s">
        <v>20</v>
      </c>
      <c r="J715" s="49"/>
      <c r="K715" s="49" t="s">
        <v>71</v>
      </c>
      <c r="L715" s="49"/>
      <c r="M715" s="49" t="s">
        <v>55</v>
      </c>
      <c r="N715" s="49" t="s">
        <v>55</v>
      </c>
      <c r="O715" s="49" t="s">
        <v>55</v>
      </c>
      <c r="P715" s="75"/>
      <c r="Q715" s="49"/>
      <c r="R715" s="49"/>
      <c r="S715" s="49" t="s">
        <v>100</v>
      </c>
      <c r="T715" s="49"/>
    </row>
    <row r="716" spans="1:20" ht="15.95" customHeight="1" x14ac:dyDescent="0.2">
      <c r="A716" s="35"/>
      <c r="B716" s="25" t="s">
        <v>5</v>
      </c>
      <c r="C716" s="6">
        <f>D716+E716+F716+G716+H716</f>
        <v>29794.433000000005</v>
      </c>
      <c r="D716" s="8">
        <f t="shared" ref="D716:F716" si="232">SUM(D717:D720)</f>
        <v>10000</v>
      </c>
      <c r="E716" s="8">
        <f t="shared" si="232"/>
        <v>0</v>
      </c>
      <c r="F716" s="8">
        <f t="shared" si="232"/>
        <v>0</v>
      </c>
      <c r="G716" s="8">
        <f t="shared" ref="G716" si="233">SUM(G717:G720)</f>
        <v>7065.7790000000005</v>
      </c>
      <c r="H716" s="8">
        <f t="shared" ref="H716" si="234">SUM(H717:H720)</f>
        <v>12728.654</v>
      </c>
      <c r="I716" s="49"/>
      <c r="J716" s="49"/>
      <c r="K716" s="49"/>
      <c r="L716" s="49"/>
      <c r="M716" s="49"/>
      <c r="N716" s="49"/>
      <c r="O716" s="49"/>
      <c r="P716" s="75"/>
      <c r="Q716" s="49"/>
      <c r="R716" s="49"/>
      <c r="S716" s="49"/>
      <c r="T716" s="49"/>
    </row>
    <row r="717" spans="1:20" ht="15.95" customHeight="1" x14ac:dyDescent="0.2">
      <c r="A717" s="35"/>
      <c r="B717" s="25" t="s">
        <v>0</v>
      </c>
      <c r="C717" s="6">
        <f t="shared" ref="C717" si="235">D717+E717+F717+G717+H717</f>
        <v>0</v>
      </c>
      <c r="D717" s="8"/>
      <c r="E717" s="8"/>
      <c r="F717" s="8"/>
      <c r="G717" s="8"/>
      <c r="H717" s="8"/>
      <c r="I717" s="49"/>
      <c r="J717" s="49"/>
      <c r="K717" s="49"/>
      <c r="L717" s="49"/>
      <c r="M717" s="49"/>
      <c r="N717" s="49"/>
      <c r="O717" s="49"/>
      <c r="P717" s="75"/>
      <c r="Q717" s="49"/>
      <c r="R717" s="49"/>
      <c r="S717" s="49"/>
      <c r="T717" s="49"/>
    </row>
    <row r="718" spans="1:20" ht="15.95" customHeight="1" x14ac:dyDescent="0.2">
      <c r="A718" s="35"/>
      <c r="B718" s="25" t="s">
        <v>1</v>
      </c>
      <c r="C718" s="6">
        <f>D718+E718+F718+G718+H718</f>
        <v>29794.433000000005</v>
      </c>
      <c r="D718" s="8">
        <v>10000</v>
      </c>
      <c r="E718" s="8">
        <v>0</v>
      </c>
      <c r="F718" s="8">
        <v>0</v>
      </c>
      <c r="G718" s="8">
        <v>7065.7790000000005</v>
      </c>
      <c r="H718" s="8">
        <v>12728.654</v>
      </c>
      <c r="I718" s="49"/>
      <c r="J718" s="49"/>
      <c r="K718" s="49"/>
      <c r="L718" s="49"/>
      <c r="M718" s="49"/>
      <c r="N718" s="49"/>
      <c r="O718" s="49"/>
      <c r="P718" s="75"/>
      <c r="Q718" s="49"/>
      <c r="R718" s="49"/>
      <c r="S718" s="49"/>
      <c r="T718" s="49"/>
    </row>
    <row r="719" spans="1:20" ht="15.95" customHeight="1" x14ac:dyDescent="0.2">
      <c r="A719" s="35"/>
      <c r="B719" s="25" t="s">
        <v>2</v>
      </c>
      <c r="C719" s="6">
        <f t="shared" ref="C719:C720" si="236">D719+E719+F719+G719+H719</f>
        <v>0</v>
      </c>
      <c r="D719" s="8"/>
      <c r="E719" s="8"/>
      <c r="F719" s="8"/>
      <c r="G719" s="8"/>
      <c r="H719" s="8"/>
      <c r="I719" s="49"/>
      <c r="J719" s="49"/>
      <c r="K719" s="49"/>
      <c r="L719" s="49"/>
      <c r="M719" s="49"/>
      <c r="N719" s="49"/>
      <c r="O719" s="49"/>
      <c r="P719" s="75"/>
      <c r="Q719" s="49"/>
      <c r="R719" s="49"/>
      <c r="S719" s="49"/>
      <c r="T719" s="49"/>
    </row>
    <row r="720" spans="1:20" ht="15.95" customHeight="1" x14ac:dyDescent="0.2">
      <c r="A720" s="36"/>
      <c r="B720" s="25" t="s">
        <v>3</v>
      </c>
      <c r="C720" s="6">
        <f t="shared" si="236"/>
        <v>0</v>
      </c>
      <c r="D720" s="8"/>
      <c r="E720" s="8"/>
      <c r="F720" s="8"/>
      <c r="G720" s="8"/>
      <c r="H720" s="8"/>
      <c r="I720" s="49"/>
      <c r="J720" s="49"/>
      <c r="K720" s="49"/>
      <c r="L720" s="49"/>
      <c r="M720" s="49"/>
      <c r="N720" s="49"/>
      <c r="O720" s="49"/>
      <c r="P720" s="75"/>
      <c r="Q720" s="49"/>
      <c r="R720" s="49"/>
      <c r="S720" s="49"/>
      <c r="T720" s="49"/>
    </row>
    <row r="721" spans="1:20" ht="15.95" customHeight="1" x14ac:dyDescent="0.2">
      <c r="A721" s="34" t="s">
        <v>606</v>
      </c>
      <c r="B721" s="37" t="s">
        <v>526</v>
      </c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8"/>
    </row>
    <row r="722" spans="1:20" ht="15.95" customHeight="1" x14ac:dyDescent="0.2">
      <c r="A722" s="35" t="s">
        <v>74</v>
      </c>
      <c r="B722" s="54" t="s">
        <v>146</v>
      </c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</row>
    <row r="723" spans="1:20" ht="45" customHeight="1" x14ac:dyDescent="0.2">
      <c r="A723" s="35"/>
      <c r="B723" s="57" t="s">
        <v>530</v>
      </c>
      <c r="C723" s="58"/>
      <c r="D723" s="58"/>
      <c r="E723" s="58"/>
      <c r="F723" s="58"/>
      <c r="G723" s="58"/>
      <c r="H723" s="59"/>
      <c r="I723" s="49">
        <v>2024</v>
      </c>
      <c r="J723" s="49"/>
      <c r="K723" s="49" t="s">
        <v>47</v>
      </c>
      <c r="L723" s="49" t="s">
        <v>531</v>
      </c>
      <c r="M723" s="43" t="s">
        <v>737</v>
      </c>
      <c r="N723" s="49" t="s">
        <v>526</v>
      </c>
      <c r="O723" s="43" t="s">
        <v>737</v>
      </c>
      <c r="P723" s="75">
        <v>42467.284</v>
      </c>
      <c r="Q723" s="49" t="s">
        <v>33</v>
      </c>
      <c r="R723" s="49" t="s">
        <v>8</v>
      </c>
      <c r="S723" s="49" t="s">
        <v>34</v>
      </c>
      <c r="T723" s="49"/>
    </row>
    <row r="724" spans="1:20" ht="15.95" customHeight="1" x14ac:dyDescent="0.2">
      <c r="A724" s="35"/>
      <c r="B724" s="25" t="s">
        <v>5</v>
      </c>
      <c r="C724" s="6">
        <f>D724+E724+F724+G724+H724</f>
        <v>18663.548490000001</v>
      </c>
      <c r="D724" s="8">
        <f t="shared" ref="D724" si="237">SUM(D725:D728)</f>
        <v>0</v>
      </c>
      <c r="E724" s="8">
        <f t="shared" ref="E724:H724" si="238">SUM(E725:E728)</f>
        <v>0</v>
      </c>
      <c r="F724" s="8">
        <f t="shared" si="238"/>
        <v>18663.548490000001</v>
      </c>
      <c r="G724" s="8">
        <f t="shared" si="238"/>
        <v>0</v>
      </c>
      <c r="H724" s="8">
        <f t="shared" si="238"/>
        <v>0</v>
      </c>
      <c r="I724" s="49"/>
      <c r="J724" s="49"/>
      <c r="K724" s="49"/>
      <c r="L724" s="49"/>
      <c r="M724" s="44"/>
      <c r="N724" s="49"/>
      <c r="O724" s="44"/>
      <c r="P724" s="75"/>
      <c r="Q724" s="49"/>
      <c r="R724" s="49"/>
      <c r="S724" s="49"/>
      <c r="T724" s="49"/>
    </row>
    <row r="725" spans="1:20" ht="15.95" customHeight="1" x14ac:dyDescent="0.2">
      <c r="A725" s="35"/>
      <c r="B725" s="25" t="s">
        <v>0</v>
      </c>
      <c r="C725" s="6">
        <f>D725+E725+F725+G725+H725</f>
        <v>18476.913</v>
      </c>
      <c r="D725" s="8"/>
      <c r="E725" s="8"/>
      <c r="F725" s="8">
        <f>0+18476.913</f>
        <v>18476.913</v>
      </c>
      <c r="G725" s="8"/>
      <c r="H725" s="8"/>
      <c r="I725" s="49"/>
      <c r="J725" s="49"/>
      <c r="K725" s="49"/>
      <c r="L725" s="49"/>
      <c r="M725" s="44"/>
      <c r="N725" s="49"/>
      <c r="O725" s="44"/>
      <c r="P725" s="75"/>
      <c r="Q725" s="49"/>
      <c r="R725" s="49"/>
      <c r="S725" s="49"/>
      <c r="T725" s="49"/>
    </row>
    <row r="726" spans="1:20" ht="15.95" customHeight="1" x14ac:dyDescent="0.2">
      <c r="A726" s="35"/>
      <c r="B726" s="25" t="s">
        <v>1</v>
      </c>
      <c r="C726" s="6">
        <f>D726+E726+F726+G726+H726</f>
        <v>186.63549</v>
      </c>
      <c r="D726" s="8"/>
      <c r="E726" s="8"/>
      <c r="F726" s="8">
        <f>0+186.63549</f>
        <v>186.63549</v>
      </c>
      <c r="G726" s="8"/>
      <c r="H726" s="8"/>
      <c r="I726" s="49"/>
      <c r="J726" s="49"/>
      <c r="K726" s="49"/>
      <c r="L726" s="49"/>
      <c r="M726" s="44"/>
      <c r="N726" s="49"/>
      <c r="O726" s="44"/>
      <c r="P726" s="75"/>
      <c r="Q726" s="49"/>
      <c r="R726" s="49"/>
      <c r="S726" s="49"/>
      <c r="T726" s="49"/>
    </row>
    <row r="727" spans="1:20" ht="15.95" customHeight="1" x14ac:dyDescent="0.2">
      <c r="A727" s="35"/>
      <c r="B727" s="25" t="s">
        <v>2</v>
      </c>
      <c r="C727" s="6">
        <f>D727+E727+F727+G727+H727</f>
        <v>0</v>
      </c>
      <c r="D727" s="8"/>
      <c r="E727" s="8"/>
      <c r="F727" s="8"/>
      <c r="G727" s="8"/>
      <c r="H727" s="8"/>
      <c r="I727" s="49"/>
      <c r="J727" s="49"/>
      <c r="K727" s="49"/>
      <c r="L727" s="49"/>
      <c r="M727" s="44"/>
      <c r="N727" s="49"/>
      <c r="O727" s="44"/>
      <c r="P727" s="75"/>
      <c r="Q727" s="49"/>
      <c r="R727" s="49"/>
      <c r="S727" s="49"/>
      <c r="T727" s="49"/>
    </row>
    <row r="728" spans="1:20" ht="15.95" customHeight="1" x14ac:dyDescent="0.2">
      <c r="A728" s="36"/>
      <c r="B728" s="25" t="s">
        <v>3</v>
      </c>
      <c r="C728" s="6">
        <f>SUM(D728:H728)</f>
        <v>0</v>
      </c>
      <c r="D728" s="8"/>
      <c r="E728" s="8"/>
      <c r="F728" s="8"/>
      <c r="G728" s="8"/>
      <c r="H728" s="8"/>
      <c r="I728" s="49"/>
      <c r="J728" s="49"/>
      <c r="K728" s="49"/>
      <c r="L728" s="49"/>
      <c r="M728" s="45"/>
      <c r="N728" s="49"/>
      <c r="O728" s="45"/>
      <c r="P728" s="75"/>
      <c r="Q728" s="49"/>
      <c r="R728" s="49"/>
      <c r="S728" s="49"/>
      <c r="T728" s="49"/>
    </row>
    <row r="729" spans="1:20" ht="18" customHeight="1" x14ac:dyDescent="0.2">
      <c r="A729" s="34" t="s">
        <v>607</v>
      </c>
      <c r="B729" s="37" t="s">
        <v>526</v>
      </c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8"/>
    </row>
    <row r="730" spans="1:20" ht="15.95" customHeight="1" x14ac:dyDescent="0.2">
      <c r="A730" s="35" t="s">
        <v>74</v>
      </c>
      <c r="B730" s="54" t="s">
        <v>146</v>
      </c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</row>
    <row r="731" spans="1:20" ht="45" customHeight="1" x14ac:dyDescent="0.2">
      <c r="A731" s="35"/>
      <c r="B731" s="57" t="s">
        <v>533</v>
      </c>
      <c r="C731" s="58"/>
      <c r="D731" s="58"/>
      <c r="E731" s="58"/>
      <c r="F731" s="58"/>
      <c r="G731" s="58"/>
      <c r="H731" s="59"/>
      <c r="I731" s="49">
        <v>2024</v>
      </c>
      <c r="J731" s="49"/>
      <c r="K731" s="49" t="s">
        <v>47</v>
      </c>
      <c r="L731" s="49" t="s">
        <v>534</v>
      </c>
      <c r="M731" s="43" t="s">
        <v>737</v>
      </c>
      <c r="N731" s="49" t="s">
        <v>526</v>
      </c>
      <c r="O731" s="43" t="s">
        <v>737</v>
      </c>
      <c r="P731" s="75">
        <v>21453.898000000001</v>
      </c>
      <c r="Q731" s="49" t="s">
        <v>33</v>
      </c>
      <c r="R731" s="49" t="s">
        <v>8</v>
      </c>
      <c r="S731" s="49" t="s">
        <v>34</v>
      </c>
      <c r="T731" s="49"/>
    </row>
    <row r="732" spans="1:20" ht="15.95" customHeight="1" x14ac:dyDescent="0.2">
      <c r="A732" s="35"/>
      <c r="B732" s="25" t="s">
        <v>5</v>
      </c>
      <c r="C732" s="6">
        <f>D732+E732+F732+G732+H732</f>
        <v>8986.7202099999995</v>
      </c>
      <c r="D732" s="8">
        <f t="shared" ref="D732" si="239">SUM(D733:D736)</f>
        <v>0</v>
      </c>
      <c r="E732" s="8">
        <f t="shared" ref="E732:H732" si="240">SUM(E733:E736)</f>
        <v>0</v>
      </c>
      <c r="F732" s="8">
        <f t="shared" si="240"/>
        <v>8986.7202099999995</v>
      </c>
      <c r="G732" s="8">
        <f t="shared" si="240"/>
        <v>0</v>
      </c>
      <c r="H732" s="8">
        <f t="shared" si="240"/>
        <v>0</v>
      </c>
      <c r="I732" s="49"/>
      <c r="J732" s="49"/>
      <c r="K732" s="49"/>
      <c r="L732" s="49"/>
      <c r="M732" s="44"/>
      <c r="N732" s="49"/>
      <c r="O732" s="44"/>
      <c r="P732" s="75"/>
      <c r="Q732" s="49"/>
      <c r="R732" s="49"/>
      <c r="S732" s="49"/>
      <c r="T732" s="49"/>
    </row>
    <row r="733" spans="1:20" ht="15.95" customHeight="1" x14ac:dyDescent="0.2">
      <c r="A733" s="35"/>
      <c r="B733" s="25" t="s">
        <v>0</v>
      </c>
      <c r="C733" s="6">
        <f>D733+E733+F733+G733+H733</f>
        <v>8896.8529999999992</v>
      </c>
      <c r="D733" s="8"/>
      <c r="E733" s="8"/>
      <c r="F733" s="8">
        <f>0+8896.853</f>
        <v>8896.8529999999992</v>
      </c>
      <c r="G733" s="8"/>
      <c r="H733" s="8"/>
      <c r="I733" s="49"/>
      <c r="J733" s="49"/>
      <c r="K733" s="49"/>
      <c r="L733" s="49"/>
      <c r="M733" s="44"/>
      <c r="N733" s="49"/>
      <c r="O733" s="44"/>
      <c r="P733" s="75"/>
      <c r="Q733" s="49"/>
      <c r="R733" s="49"/>
      <c r="S733" s="49"/>
      <c r="T733" s="49"/>
    </row>
    <row r="734" spans="1:20" ht="15.95" customHeight="1" x14ac:dyDescent="0.2">
      <c r="A734" s="35"/>
      <c r="B734" s="25" t="s">
        <v>1</v>
      </c>
      <c r="C734" s="6">
        <f>D734+E734+F734+G734+H734</f>
        <v>89.86721</v>
      </c>
      <c r="D734" s="8"/>
      <c r="E734" s="8"/>
      <c r="F734" s="8">
        <f>0+89.86721</f>
        <v>89.86721</v>
      </c>
      <c r="G734" s="8"/>
      <c r="H734" s="8"/>
      <c r="I734" s="49"/>
      <c r="J734" s="49"/>
      <c r="K734" s="49"/>
      <c r="L734" s="49"/>
      <c r="M734" s="44"/>
      <c r="N734" s="49"/>
      <c r="O734" s="44"/>
      <c r="P734" s="75"/>
      <c r="Q734" s="49"/>
      <c r="R734" s="49"/>
      <c r="S734" s="49"/>
      <c r="T734" s="49"/>
    </row>
    <row r="735" spans="1:20" ht="15.95" customHeight="1" x14ac:dyDescent="0.2">
      <c r="A735" s="35"/>
      <c r="B735" s="25" t="s">
        <v>2</v>
      </c>
      <c r="C735" s="6">
        <f>D735+E735+F735+G735+H735</f>
        <v>0</v>
      </c>
      <c r="D735" s="8"/>
      <c r="E735" s="8"/>
      <c r="F735" s="8"/>
      <c r="G735" s="8"/>
      <c r="H735" s="8"/>
      <c r="I735" s="49"/>
      <c r="J735" s="49"/>
      <c r="K735" s="49"/>
      <c r="L735" s="49"/>
      <c r="M735" s="44"/>
      <c r="N735" s="49"/>
      <c r="O735" s="44"/>
      <c r="P735" s="75"/>
      <c r="Q735" s="49"/>
      <c r="R735" s="49"/>
      <c r="S735" s="49"/>
      <c r="T735" s="49"/>
    </row>
    <row r="736" spans="1:20" ht="15.95" customHeight="1" x14ac:dyDescent="0.2">
      <c r="A736" s="36"/>
      <c r="B736" s="25" t="s">
        <v>3</v>
      </c>
      <c r="C736" s="6">
        <f>SUM(D736:H736)</f>
        <v>0</v>
      </c>
      <c r="D736" s="8"/>
      <c r="E736" s="8"/>
      <c r="F736" s="8"/>
      <c r="G736" s="8"/>
      <c r="H736" s="8"/>
      <c r="I736" s="49"/>
      <c r="J736" s="49"/>
      <c r="K736" s="49"/>
      <c r="L736" s="49"/>
      <c r="M736" s="45"/>
      <c r="N736" s="49"/>
      <c r="O736" s="45"/>
      <c r="P736" s="75"/>
      <c r="Q736" s="49"/>
      <c r="R736" s="49"/>
      <c r="S736" s="49"/>
      <c r="T736" s="49"/>
    </row>
    <row r="737" spans="1:20" ht="15.95" customHeight="1" x14ac:dyDescent="0.2">
      <c r="A737" s="34" t="s">
        <v>608</v>
      </c>
      <c r="B737" s="37" t="s">
        <v>526</v>
      </c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8"/>
    </row>
    <row r="738" spans="1:20" ht="15.95" customHeight="1" x14ac:dyDescent="0.2">
      <c r="A738" s="35" t="s">
        <v>74</v>
      </c>
      <c r="B738" s="54" t="s">
        <v>146</v>
      </c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</row>
    <row r="739" spans="1:20" ht="45" customHeight="1" x14ac:dyDescent="0.2">
      <c r="A739" s="35"/>
      <c r="B739" s="57" t="s">
        <v>537</v>
      </c>
      <c r="C739" s="58"/>
      <c r="D739" s="58"/>
      <c r="E739" s="58"/>
      <c r="F739" s="58"/>
      <c r="G739" s="58"/>
      <c r="H739" s="59"/>
      <c r="I739" s="49">
        <v>2024</v>
      </c>
      <c r="J739" s="49"/>
      <c r="K739" s="49" t="s">
        <v>47</v>
      </c>
      <c r="L739" s="49" t="s">
        <v>536</v>
      </c>
      <c r="M739" s="43" t="s">
        <v>737</v>
      </c>
      <c r="N739" s="49" t="s">
        <v>526</v>
      </c>
      <c r="O739" s="43" t="s">
        <v>737</v>
      </c>
      <c r="P739" s="75">
        <v>237509.878</v>
      </c>
      <c r="Q739" s="49" t="s">
        <v>33</v>
      </c>
      <c r="R739" s="49" t="s">
        <v>8</v>
      </c>
      <c r="S739" s="49" t="s">
        <v>34</v>
      </c>
      <c r="T739" s="49"/>
    </row>
    <row r="740" spans="1:20" ht="15.95" customHeight="1" x14ac:dyDescent="0.2">
      <c r="A740" s="35"/>
      <c r="B740" s="25" t="s">
        <v>5</v>
      </c>
      <c r="C740" s="6">
        <f>D740+E740+F740+G740+H740</f>
        <v>100141.14546</v>
      </c>
      <c r="D740" s="8">
        <f t="shared" ref="D740" si="241">SUM(D741:D744)</f>
        <v>0</v>
      </c>
      <c r="E740" s="8">
        <f t="shared" ref="E740:H740" si="242">SUM(E741:E744)</f>
        <v>0</v>
      </c>
      <c r="F740" s="8">
        <f t="shared" si="242"/>
        <v>100141.14546</v>
      </c>
      <c r="G740" s="8">
        <f t="shared" si="242"/>
        <v>0</v>
      </c>
      <c r="H740" s="8">
        <f t="shared" si="242"/>
        <v>0</v>
      </c>
      <c r="I740" s="49"/>
      <c r="J740" s="49"/>
      <c r="K740" s="49"/>
      <c r="L740" s="49"/>
      <c r="M740" s="44"/>
      <c r="N740" s="49"/>
      <c r="O740" s="44"/>
      <c r="P740" s="75"/>
      <c r="Q740" s="49"/>
      <c r="R740" s="49"/>
      <c r="S740" s="49"/>
      <c r="T740" s="49"/>
    </row>
    <row r="741" spans="1:20" ht="15.95" customHeight="1" x14ac:dyDescent="0.2">
      <c r="A741" s="35"/>
      <c r="B741" s="25" t="s">
        <v>0</v>
      </c>
      <c r="C741" s="6">
        <f>D741+E741+F741+G741+H741</f>
        <v>99139.733999999997</v>
      </c>
      <c r="D741" s="8"/>
      <c r="E741" s="8"/>
      <c r="F741" s="8">
        <f>0+99139.734</f>
        <v>99139.733999999997</v>
      </c>
      <c r="G741" s="8"/>
      <c r="H741" s="8"/>
      <c r="I741" s="49"/>
      <c r="J741" s="49"/>
      <c r="K741" s="49"/>
      <c r="L741" s="49"/>
      <c r="M741" s="44"/>
      <c r="N741" s="49"/>
      <c r="O741" s="44"/>
      <c r="P741" s="75"/>
      <c r="Q741" s="49"/>
      <c r="R741" s="49"/>
      <c r="S741" s="49"/>
      <c r="T741" s="49"/>
    </row>
    <row r="742" spans="1:20" ht="15.95" customHeight="1" x14ac:dyDescent="0.2">
      <c r="A742" s="35"/>
      <c r="B742" s="25" t="s">
        <v>1</v>
      </c>
      <c r="C742" s="6">
        <f>D742+E742+F742+G742+H742</f>
        <v>1001.41146</v>
      </c>
      <c r="D742" s="8"/>
      <c r="E742" s="8"/>
      <c r="F742" s="8">
        <f>0+1001.41146</f>
        <v>1001.41146</v>
      </c>
      <c r="G742" s="8"/>
      <c r="H742" s="8"/>
      <c r="I742" s="49"/>
      <c r="J742" s="49"/>
      <c r="K742" s="49"/>
      <c r="L742" s="49"/>
      <c r="M742" s="44"/>
      <c r="N742" s="49"/>
      <c r="O742" s="44"/>
      <c r="P742" s="75"/>
      <c r="Q742" s="49"/>
      <c r="R742" s="49"/>
      <c r="S742" s="49"/>
      <c r="T742" s="49"/>
    </row>
    <row r="743" spans="1:20" ht="15.95" customHeight="1" x14ac:dyDescent="0.2">
      <c r="A743" s="35"/>
      <c r="B743" s="25" t="s">
        <v>2</v>
      </c>
      <c r="C743" s="6">
        <f>D743+E743+F743+G743+H743</f>
        <v>0</v>
      </c>
      <c r="D743" s="8"/>
      <c r="E743" s="8"/>
      <c r="F743" s="8"/>
      <c r="G743" s="8"/>
      <c r="H743" s="8"/>
      <c r="I743" s="49"/>
      <c r="J743" s="49"/>
      <c r="K743" s="49"/>
      <c r="L743" s="49"/>
      <c r="M743" s="44"/>
      <c r="N743" s="49"/>
      <c r="O743" s="44"/>
      <c r="P743" s="75"/>
      <c r="Q743" s="49"/>
      <c r="R743" s="49"/>
      <c r="S743" s="49"/>
      <c r="T743" s="49"/>
    </row>
    <row r="744" spans="1:20" ht="15.95" customHeight="1" x14ac:dyDescent="0.2">
      <c r="A744" s="36"/>
      <c r="B744" s="25" t="s">
        <v>3</v>
      </c>
      <c r="C744" s="6">
        <f>SUM(D744:H744)</f>
        <v>0</v>
      </c>
      <c r="D744" s="8"/>
      <c r="E744" s="8"/>
      <c r="F744" s="8"/>
      <c r="G744" s="8"/>
      <c r="H744" s="8"/>
      <c r="I744" s="49"/>
      <c r="J744" s="49"/>
      <c r="K744" s="49"/>
      <c r="L744" s="49"/>
      <c r="M744" s="45"/>
      <c r="N744" s="49"/>
      <c r="O744" s="45"/>
      <c r="P744" s="75"/>
      <c r="Q744" s="49"/>
      <c r="R744" s="49"/>
      <c r="S744" s="49"/>
      <c r="T744" s="49"/>
    </row>
    <row r="745" spans="1:20" ht="15.95" customHeight="1" x14ac:dyDescent="0.2">
      <c r="A745" s="34" t="s">
        <v>609</v>
      </c>
      <c r="B745" s="37" t="s">
        <v>526</v>
      </c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8"/>
    </row>
    <row r="746" spans="1:20" ht="15.95" customHeight="1" x14ac:dyDescent="0.2">
      <c r="A746" s="35" t="s">
        <v>74</v>
      </c>
      <c r="B746" s="54" t="s">
        <v>146</v>
      </c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</row>
    <row r="747" spans="1:20" ht="45" customHeight="1" x14ac:dyDescent="0.2">
      <c r="A747" s="35"/>
      <c r="B747" s="57" t="s">
        <v>556</v>
      </c>
      <c r="C747" s="58"/>
      <c r="D747" s="58"/>
      <c r="E747" s="58"/>
      <c r="F747" s="58"/>
      <c r="G747" s="58"/>
      <c r="H747" s="59"/>
      <c r="I747" s="49" t="s">
        <v>557</v>
      </c>
      <c r="J747" s="49" t="s">
        <v>558</v>
      </c>
      <c r="K747" s="49" t="s">
        <v>42</v>
      </c>
      <c r="L747" s="49" t="s">
        <v>559</v>
      </c>
      <c r="M747" s="43" t="s">
        <v>737</v>
      </c>
      <c r="N747" s="49" t="s">
        <v>560</v>
      </c>
      <c r="O747" s="43" t="s">
        <v>737</v>
      </c>
      <c r="P747" s="75"/>
      <c r="Q747" s="49" t="s">
        <v>33</v>
      </c>
      <c r="R747" s="49" t="s">
        <v>38</v>
      </c>
      <c r="S747" s="49" t="s">
        <v>25</v>
      </c>
      <c r="T747" s="49"/>
    </row>
    <row r="748" spans="1:20" ht="15.95" customHeight="1" x14ac:dyDescent="0.2">
      <c r="A748" s="35"/>
      <c r="B748" s="25" t="s">
        <v>5</v>
      </c>
      <c r="C748" s="6">
        <f>D748+E748+F748+G748+H748</f>
        <v>10900</v>
      </c>
      <c r="D748" s="8">
        <f t="shared" ref="D748" si="243">SUM(D749:D752)</f>
        <v>10900</v>
      </c>
      <c r="E748" s="8">
        <f t="shared" ref="E748:H748" si="244">SUM(E749:E752)</f>
        <v>0</v>
      </c>
      <c r="F748" s="8">
        <f t="shared" si="244"/>
        <v>0</v>
      </c>
      <c r="G748" s="8">
        <f t="shared" si="244"/>
        <v>0</v>
      </c>
      <c r="H748" s="8">
        <f t="shared" si="244"/>
        <v>0</v>
      </c>
      <c r="I748" s="49"/>
      <c r="J748" s="49"/>
      <c r="K748" s="49"/>
      <c r="L748" s="49"/>
      <c r="M748" s="44"/>
      <c r="N748" s="49"/>
      <c r="O748" s="44"/>
      <c r="P748" s="75"/>
      <c r="Q748" s="49"/>
      <c r="R748" s="49"/>
      <c r="S748" s="49"/>
      <c r="T748" s="49"/>
    </row>
    <row r="749" spans="1:20" ht="15.95" customHeight="1" x14ac:dyDescent="0.2">
      <c r="A749" s="35"/>
      <c r="B749" s="25" t="s">
        <v>0</v>
      </c>
      <c r="C749" s="6">
        <f>D749+E749+F749+G749+H749</f>
        <v>0</v>
      </c>
      <c r="D749" s="8"/>
      <c r="E749" s="8"/>
      <c r="F749" s="8"/>
      <c r="G749" s="8"/>
      <c r="H749" s="8"/>
      <c r="I749" s="49"/>
      <c r="J749" s="49"/>
      <c r="K749" s="49"/>
      <c r="L749" s="49"/>
      <c r="M749" s="44"/>
      <c r="N749" s="49"/>
      <c r="O749" s="44"/>
      <c r="P749" s="75"/>
      <c r="Q749" s="49"/>
      <c r="R749" s="49"/>
      <c r="S749" s="49"/>
      <c r="T749" s="49"/>
    </row>
    <row r="750" spans="1:20" ht="15.95" customHeight="1" x14ac:dyDescent="0.2">
      <c r="A750" s="35"/>
      <c r="B750" s="25" t="s">
        <v>1</v>
      </c>
      <c r="C750" s="6">
        <f>D750+E750+F750+G750+H750</f>
        <v>10900</v>
      </c>
      <c r="D750" s="8">
        <f>0+10900</f>
        <v>10900</v>
      </c>
      <c r="E750" s="8"/>
      <c r="F750" s="8"/>
      <c r="G750" s="8"/>
      <c r="H750" s="8"/>
      <c r="I750" s="49"/>
      <c r="J750" s="49"/>
      <c r="K750" s="49"/>
      <c r="L750" s="49"/>
      <c r="M750" s="44"/>
      <c r="N750" s="49"/>
      <c r="O750" s="44"/>
      <c r="P750" s="75"/>
      <c r="Q750" s="49"/>
      <c r="R750" s="49"/>
      <c r="S750" s="49"/>
      <c r="T750" s="49"/>
    </row>
    <row r="751" spans="1:20" ht="15.95" customHeight="1" x14ac:dyDescent="0.2">
      <c r="A751" s="35"/>
      <c r="B751" s="25" t="s">
        <v>2</v>
      </c>
      <c r="C751" s="6">
        <f>D751+E751+F751+G751+H751</f>
        <v>0</v>
      </c>
      <c r="D751" s="8"/>
      <c r="E751" s="8"/>
      <c r="F751" s="8"/>
      <c r="G751" s="8"/>
      <c r="H751" s="8"/>
      <c r="I751" s="49"/>
      <c r="J751" s="49"/>
      <c r="K751" s="49"/>
      <c r="L751" s="49"/>
      <c r="M751" s="44"/>
      <c r="N751" s="49"/>
      <c r="O751" s="44"/>
      <c r="P751" s="75"/>
      <c r="Q751" s="49"/>
      <c r="R751" s="49"/>
      <c r="S751" s="49"/>
      <c r="T751" s="49"/>
    </row>
    <row r="752" spans="1:20" ht="15.95" customHeight="1" x14ac:dyDescent="0.2">
      <c r="A752" s="36"/>
      <c r="B752" s="25" t="s">
        <v>3</v>
      </c>
      <c r="C752" s="6">
        <f>SUM(D752:H752)</f>
        <v>0</v>
      </c>
      <c r="D752" s="8"/>
      <c r="E752" s="8"/>
      <c r="F752" s="8"/>
      <c r="G752" s="8"/>
      <c r="H752" s="8"/>
      <c r="I752" s="49"/>
      <c r="J752" s="49"/>
      <c r="K752" s="49"/>
      <c r="L752" s="49"/>
      <c r="M752" s="45"/>
      <c r="N752" s="49"/>
      <c r="O752" s="45"/>
      <c r="P752" s="75"/>
      <c r="Q752" s="49"/>
      <c r="R752" s="49"/>
      <c r="S752" s="49"/>
      <c r="T752" s="49"/>
    </row>
    <row r="753" spans="1:20" ht="15.95" customHeight="1" x14ac:dyDescent="0.2">
      <c r="A753" s="34" t="s">
        <v>610</v>
      </c>
      <c r="B753" s="37" t="s">
        <v>526</v>
      </c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8"/>
    </row>
    <row r="754" spans="1:20" ht="15.95" customHeight="1" x14ac:dyDescent="0.2">
      <c r="A754" s="35" t="s">
        <v>74</v>
      </c>
      <c r="B754" s="54" t="s">
        <v>146</v>
      </c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</row>
    <row r="755" spans="1:20" ht="45" customHeight="1" x14ac:dyDescent="0.2">
      <c r="A755" s="35"/>
      <c r="B755" s="57" t="s">
        <v>562</v>
      </c>
      <c r="C755" s="58"/>
      <c r="D755" s="58"/>
      <c r="E755" s="58"/>
      <c r="F755" s="58"/>
      <c r="G755" s="58"/>
      <c r="H755" s="59"/>
      <c r="I755" s="49" t="s">
        <v>557</v>
      </c>
      <c r="J755" s="49" t="s">
        <v>558</v>
      </c>
      <c r="K755" s="49" t="s">
        <v>42</v>
      </c>
      <c r="L755" s="49" t="s">
        <v>563</v>
      </c>
      <c r="M755" s="43" t="s">
        <v>737</v>
      </c>
      <c r="N755" s="49" t="s">
        <v>526</v>
      </c>
      <c r="O755" s="43" t="s">
        <v>737</v>
      </c>
      <c r="P755" s="75"/>
      <c r="Q755" s="49" t="s">
        <v>33</v>
      </c>
      <c r="R755" s="49" t="s">
        <v>38</v>
      </c>
      <c r="S755" s="49" t="s">
        <v>25</v>
      </c>
      <c r="T755" s="49"/>
    </row>
    <row r="756" spans="1:20" ht="15.95" customHeight="1" x14ac:dyDescent="0.2">
      <c r="A756" s="35"/>
      <c r="B756" s="25" t="s">
        <v>5</v>
      </c>
      <c r="C756" s="6">
        <f>D756+E756+F756+G756+H756</f>
        <v>6700</v>
      </c>
      <c r="D756" s="8">
        <f t="shared" ref="D756" si="245">SUM(D757:D760)</f>
        <v>6700</v>
      </c>
      <c r="E756" s="8">
        <f t="shared" ref="E756:H756" si="246">SUM(E757:E760)</f>
        <v>0</v>
      </c>
      <c r="F756" s="8">
        <f t="shared" si="246"/>
        <v>0</v>
      </c>
      <c r="G756" s="8">
        <f t="shared" si="246"/>
        <v>0</v>
      </c>
      <c r="H756" s="8">
        <f t="shared" si="246"/>
        <v>0</v>
      </c>
      <c r="I756" s="49"/>
      <c r="J756" s="49"/>
      <c r="K756" s="49"/>
      <c r="L756" s="49"/>
      <c r="M756" s="44"/>
      <c r="N756" s="49"/>
      <c r="O756" s="44"/>
      <c r="P756" s="75"/>
      <c r="Q756" s="49"/>
      <c r="R756" s="49"/>
      <c r="S756" s="49"/>
      <c r="T756" s="49"/>
    </row>
    <row r="757" spans="1:20" ht="15.95" customHeight="1" x14ac:dyDescent="0.2">
      <c r="A757" s="35"/>
      <c r="B757" s="25" t="s">
        <v>0</v>
      </c>
      <c r="C757" s="6">
        <f>D757+E757+F757+G757+H757</f>
        <v>0</v>
      </c>
      <c r="D757" s="8"/>
      <c r="E757" s="8"/>
      <c r="F757" s="8"/>
      <c r="G757" s="8"/>
      <c r="H757" s="8"/>
      <c r="I757" s="49"/>
      <c r="J757" s="49"/>
      <c r="K757" s="49"/>
      <c r="L757" s="49"/>
      <c r="M757" s="44"/>
      <c r="N757" s="49"/>
      <c r="O757" s="44"/>
      <c r="P757" s="75"/>
      <c r="Q757" s="49"/>
      <c r="R757" s="49"/>
      <c r="S757" s="49"/>
      <c r="T757" s="49"/>
    </row>
    <row r="758" spans="1:20" ht="15.95" customHeight="1" x14ac:dyDescent="0.2">
      <c r="A758" s="35"/>
      <c r="B758" s="25" t="s">
        <v>1</v>
      </c>
      <c r="C758" s="6">
        <f>D758+E758+F758+G758+H758</f>
        <v>6700</v>
      </c>
      <c r="D758" s="8">
        <f>0+6700</f>
        <v>6700</v>
      </c>
      <c r="E758" s="8"/>
      <c r="F758" s="8"/>
      <c r="G758" s="8"/>
      <c r="H758" s="8"/>
      <c r="I758" s="49"/>
      <c r="J758" s="49"/>
      <c r="K758" s="49"/>
      <c r="L758" s="49"/>
      <c r="M758" s="44"/>
      <c r="N758" s="49"/>
      <c r="O758" s="44"/>
      <c r="P758" s="75"/>
      <c r="Q758" s="49"/>
      <c r="R758" s="49"/>
      <c r="S758" s="49"/>
      <c r="T758" s="49"/>
    </row>
    <row r="759" spans="1:20" ht="15.95" customHeight="1" x14ac:dyDescent="0.2">
      <c r="A759" s="35"/>
      <c r="B759" s="25" t="s">
        <v>2</v>
      </c>
      <c r="C759" s="6">
        <f>D759+E759+F759+G759+H759</f>
        <v>0</v>
      </c>
      <c r="D759" s="8"/>
      <c r="E759" s="8"/>
      <c r="F759" s="8"/>
      <c r="G759" s="8"/>
      <c r="H759" s="8"/>
      <c r="I759" s="49"/>
      <c r="J759" s="49"/>
      <c r="K759" s="49"/>
      <c r="L759" s="49"/>
      <c r="M759" s="44"/>
      <c r="N759" s="49"/>
      <c r="O759" s="44"/>
      <c r="P759" s="75"/>
      <c r="Q759" s="49"/>
      <c r="R759" s="49"/>
      <c r="S759" s="49"/>
      <c r="T759" s="49"/>
    </row>
    <row r="760" spans="1:20" ht="15.95" customHeight="1" x14ac:dyDescent="0.2">
      <c r="A760" s="36"/>
      <c r="B760" s="25" t="s">
        <v>3</v>
      </c>
      <c r="C760" s="6">
        <f>SUM(D760:H760)</f>
        <v>0</v>
      </c>
      <c r="D760" s="8"/>
      <c r="E760" s="8"/>
      <c r="F760" s="8"/>
      <c r="G760" s="8"/>
      <c r="H760" s="8"/>
      <c r="I760" s="49"/>
      <c r="J760" s="49"/>
      <c r="K760" s="49"/>
      <c r="L760" s="49"/>
      <c r="M760" s="45"/>
      <c r="N760" s="49"/>
      <c r="O760" s="45"/>
      <c r="P760" s="75"/>
      <c r="Q760" s="49"/>
      <c r="R760" s="49"/>
      <c r="S760" s="49"/>
      <c r="T760" s="49"/>
    </row>
    <row r="761" spans="1:20" ht="15.95" customHeight="1" x14ac:dyDescent="0.2">
      <c r="A761" s="34" t="s">
        <v>611</v>
      </c>
      <c r="B761" s="37" t="s">
        <v>526</v>
      </c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8"/>
    </row>
    <row r="762" spans="1:20" ht="15.95" customHeight="1" x14ac:dyDescent="0.2">
      <c r="A762" s="35" t="s">
        <v>74</v>
      </c>
      <c r="B762" s="54" t="s">
        <v>146</v>
      </c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</row>
    <row r="763" spans="1:20" ht="45" customHeight="1" x14ac:dyDescent="0.2">
      <c r="A763" s="35"/>
      <c r="B763" s="57" t="s">
        <v>564</v>
      </c>
      <c r="C763" s="58"/>
      <c r="D763" s="58"/>
      <c r="E763" s="58"/>
      <c r="F763" s="58"/>
      <c r="G763" s="58"/>
      <c r="H763" s="59"/>
      <c r="I763" s="43"/>
      <c r="J763" s="43" t="s">
        <v>20</v>
      </c>
      <c r="K763" s="43" t="s">
        <v>42</v>
      </c>
      <c r="L763" s="43" t="s">
        <v>565</v>
      </c>
      <c r="M763" s="43" t="s">
        <v>737</v>
      </c>
      <c r="N763" s="43" t="s">
        <v>526</v>
      </c>
      <c r="O763" s="43" t="s">
        <v>737</v>
      </c>
      <c r="P763" s="46" t="s">
        <v>566</v>
      </c>
      <c r="Q763" s="43" t="s">
        <v>33</v>
      </c>
      <c r="R763" s="43" t="s">
        <v>8</v>
      </c>
      <c r="S763" s="49" t="s">
        <v>25</v>
      </c>
      <c r="T763" s="43"/>
    </row>
    <row r="764" spans="1:20" ht="15.95" customHeight="1" x14ac:dyDescent="0.2">
      <c r="A764" s="35"/>
      <c r="B764" s="25" t="s">
        <v>5</v>
      </c>
      <c r="C764" s="6">
        <f>D764+E764+F764+G764+H764</f>
        <v>8300</v>
      </c>
      <c r="D764" s="8">
        <f t="shared" ref="D764:F764" si="247">SUM(D765:D768)</f>
        <v>8300</v>
      </c>
      <c r="E764" s="8">
        <f t="shared" si="247"/>
        <v>0</v>
      </c>
      <c r="F764" s="8">
        <f t="shared" si="247"/>
        <v>0</v>
      </c>
      <c r="G764" s="8">
        <f t="shared" ref="G764:H764" si="248">SUM(G765:G768)</f>
        <v>0</v>
      </c>
      <c r="H764" s="8">
        <f t="shared" si="248"/>
        <v>0</v>
      </c>
      <c r="I764" s="44"/>
      <c r="J764" s="44"/>
      <c r="K764" s="44"/>
      <c r="L764" s="44"/>
      <c r="M764" s="44"/>
      <c r="N764" s="44"/>
      <c r="O764" s="44"/>
      <c r="P764" s="47"/>
      <c r="Q764" s="44"/>
      <c r="R764" s="44"/>
      <c r="S764" s="49"/>
      <c r="T764" s="44"/>
    </row>
    <row r="765" spans="1:20" ht="15.95" customHeight="1" x14ac:dyDescent="0.2">
      <c r="A765" s="35"/>
      <c r="B765" s="25" t="s">
        <v>0</v>
      </c>
      <c r="C765" s="6">
        <f>D765+E765+F765+G765+H765</f>
        <v>0</v>
      </c>
      <c r="D765" s="8"/>
      <c r="E765" s="8"/>
      <c r="F765" s="8"/>
      <c r="G765" s="8"/>
      <c r="H765" s="8"/>
      <c r="I765" s="44"/>
      <c r="J765" s="44"/>
      <c r="K765" s="44"/>
      <c r="L765" s="44"/>
      <c r="M765" s="44"/>
      <c r="N765" s="44"/>
      <c r="O765" s="44"/>
      <c r="P765" s="47"/>
      <c r="Q765" s="44"/>
      <c r="R765" s="44"/>
      <c r="S765" s="49"/>
      <c r="T765" s="44"/>
    </row>
    <row r="766" spans="1:20" ht="15.95" customHeight="1" x14ac:dyDescent="0.2">
      <c r="A766" s="35"/>
      <c r="B766" s="25" t="s">
        <v>1</v>
      </c>
      <c r="C766" s="6">
        <f>D766+E766+F766+G766+H766</f>
        <v>8300</v>
      </c>
      <c r="D766" s="8">
        <f>0+8300</f>
        <v>8300</v>
      </c>
      <c r="E766" s="8"/>
      <c r="F766" s="8"/>
      <c r="G766" s="8"/>
      <c r="H766" s="8"/>
      <c r="I766" s="44"/>
      <c r="J766" s="44"/>
      <c r="K766" s="44"/>
      <c r="L766" s="44"/>
      <c r="M766" s="44"/>
      <c r="N766" s="44"/>
      <c r="O766" s="44"/>
      <c r="P766" s="47"/>
      <c r="Q766" s="44"/>
      <c r="R766" s="44"/>
      <c r="S766" s="49"/>
      <c r="T766" s="44"/>
    </row>
    <row r="767" spans="1:20" ht="15.95" customHeight="1" x14ac:dyDescent="0.2">
      <c r="A767" s="35"/>
      <c r="B767" s="25" t="s">
        <v>2</v>
      </c>
      <c r="C767" s="6">
        <f>SUM(D767:H767)</f>
        <v>0</v>
      </c>
      <c r="E767" s="8"/>
      <c r="F767" s="8"/>
      <c r="G767" s="8"/>
      <c r="H767" s="8"/>
      <c r="I767" s="44"/>
      <c r="J767" s="44"/>
      <c r="K767" s="44"/>
      <c r="L767" s="44"/>
      <c r="M767" s="44"/>
      <c r="N767" s="44"/>
      <c r="O767" s="44"/>
      <c r="P767" s="47"/>
      <c r="Q767" s="44"/>
      <c r="R767" s="44"/>
      <c r="S767" s="49"/>
      <c r="T767" s="44"/>
    </row>
    <row r="768" spans="1:20" ht="15.95" customHeight="1" x14ac:dyDescent="0.2">
      <c r="A768" s="36"/>
      <c r="B768" s="25" t="s">
        <v>3</v>
      </c>
      <c r="C768" s="6">
        <f>SUM(D768:H768)</f>
        <v>0</v>
      </c>
      <c r="D768" s="8"/>
      <c r="E768" s="8"/>
      <c r="F768" s="8"/>
      <c r="G768" s="8"/>
      <c r="H768" s="8"/>
      <c r="I768" s="45"/>
      <c r="J768" s="45"/>
      <c r="K768" s="45"/>
      <c r="L768" s="45"/>
      <c r="M768" s="45"/>
      <c r="N768" s="45"/>
      <c r="O768" s="45"/>
      <c r="P768" s="48"/>
      <c r="Q768" s="45"/>
      <c r="R768" s="45"/>
      <c r="S768" s="49"/>
      <c r="T768" s="45"/>
    </row>
    <row r="769" spans="1:20" ht="15.95" customHeight="1" x14ac:dyDescent="0.2">
      <c r="A769" s="34" t="s">
        <v>612</v>
      </c>
      <c r="B769" s="37" t="s">
        <v>526</v>
      </c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8"/>
    </row>
    <row r="770" spans="1:20" ht="15.95" customHeight="1" x14ac:dyDescent="0.2">
      <c r="A770" s="35" t="s">
        <v>74</v>
      </c>
      <c r="B770" s="54" t="s">
        <v>146</v>
      </c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</row>
    <row r="771" spans="1:20" ht="45" customHeight="1" x14ac:dyDescent="0.2">
      <c r="A771" s="35"/>
      <c r="B771" s="57" t="s">
        <v>569</v>
      </c>
      <c r="C771" s="58"/>
      <c r="D771" s="58"/>
      <c r="E771" s="58"/>
      <c r="F771" s="58"/>
      <c r="G771" s="58"/>
      <c r="H771" s="59"/>
      <c r="I771" s="43" t="s">
        <v>24</v>
      </c>
      <c r="J771" s="43" t="s">
        <v>20</v>
      </c>
      <c r="K771" s="43" t="s">
        <v>42</v>
      </c>
      <c r="L771" s="43" t="s">
        <v>570</v>
      </c>
      <c r="M771" s="43" t="s">
        <v>737</v>
      </c>
      <c r="N771" s="43" t="s">
        <v>526</v>
      </c>
      <c r="O771" s="43" t="s">
        <v>737</v>
      </c>
      <c r="P771" s="46" t="s">
        <v>571</v>
      </c>
      <c r="Q771" s="43" t="s">
        <v>33</v>
      </c>
      <c r="R771" s="43" t="s">
        <v>8</v>
      </c>
      <c r="S771" s="49" t="s">
        <v>25</v>
      </c>
      <c r="T771" s="43"/>
    </row>
    <row r="772" spans="1:20" ht="15.95" customHeight="1" x14ac:dyDescent="0.2">
      <c r="A772" s="35"/>
      <c r="B772" s="25" t="s">
        <v>5</v>
      </c>
      <c r="C772" s="6">
        <f>D772+E772+F772+G772+H772</f>
        <v>10000</v>
      </c>
      <c r="D772" s="8">
        <f t="shared" ref="D772:F772" si="249">SUM(D773:D776)</f>
        <v>10000</v>
      </c>
      <c r="E772" s="8">
        <f t="shared" si="249"/>
        <v>0</v>
      </c>
      <c r="F772" s="8">
        <f t="shared" si="249"/>
        <v>0</v>
      </c>
      <c r="G772" s="8">
        <f t="shared" ref="G772:H772" si="250">SUM(G773:G776)</f>
        <v>0</v>
      </c>
      <c r="H772" s="8">
        <f t="shared" si="250"/>
        <v>0</v>
      </c>
      <c r="I772" s="44"/>
      <c r="J772" s="44"/>
      <c r="K772" s="44"/>
      <c r="L772" s="44"/>
      <c r="M772" s="44"/>
      <c r="N772" s="44"/>
      <c r="O772" s="44"/>
      <c r="P772" s="47"/>
      <c r="Q772" s="44"/>
      <c r="R772" s="44"/>
      <c r="S772" s="49"/>
      <c r="T772" s="44"/>
    </row>
    <row r="773" spans="1:20" ht="15.95" customHeight="1" x14ac:dyDescent="0.2">
      <c r="A773" s="35"/>
      <c r="B773" s="25" t="s">
        <v>0</v>
      </c>
      <c r="C773" s="6">
        <f>D773+E773+F773+G773+H773</f>
        <v>0</v>
      </c>
      <c r="D773" s="8"/>
      <c r="E773" s="8"/>
      <c r="F773" s="8"/>
      <c r="G773" s="8"/>
      <c r="H773" s="8"/>
      <c r="I773" s="44"/>
      <c r="J773" s="44"/>
      <c r="K773" s="44"/>
      <c r="L773" s="44"/>
      <c r="M773" s="44"/>
      <c r="N773" s="44"/>
      <c r="O773" s="44"/>
      <c r="P773" s="47"/>
      <c r="Q773" s="44"/>
      <c r="R773" s="44"/>
      <c r="S773" s="49"/>
      <c r="T773" s="44"/>
    </row>
    <row r="774" spans="1:20" ht="15.95" customHeight="1" x14ac:dyDescent="0.2">
      <c r="A774" s="35"/>
      <c r="B774" s="25" t="s">
        <v>1</v>
      </c>
      <c r="C774" s="6">
        <f>D774+E774+F774+G774+H774</f>
        <v>10000</v>
      </c>
      <c r="D774" s="8">
        <f>0+10000</f>
        <v>10000</v>
      </c>
      <c r="E774" s="8"/>
      <c r="F774" s="8"/>
      <c r="G774" s="8"/>
      <c r="H774" s="8"/>
      <c r="I774" s="44"/>
      <c r="J774" s="44"/>
      <c r="K774" s="44"/>
      <c r="L774" s="44"/>
      <c r="M774" s="44"/>
      <c r="N774" s="44"/>
      <c r="O774" s="44"/>
      <c r="P774" s="47"/>
      <c r="Q774" s="44"/>
      <c r="R774" s="44"/>
      <c r="S774" s="49"/>
      <c r="T774" s="44"/>
    </row>
    <row r="775" spans="1:20" ht="15.95" customHeight="1" x14ac:dyDescent="0.2">
      <c r="A775" s="35"/>
      <c r="B775" s="25" t="s">
        <v>2</v>
      </c>
      <c r="C775" s="6">
        <f>SUM(D775:H775)</f>
        <v>0</v>
      </c>
      <c r="E775" s="8"/>
      <c r="F775" s="8"/>
      <c r="G775" s="8"/>
      <c r="H775" s="8"/>
      <c r="I775" s="44"/>
      <c r="J775" s="44"/>
      <c r="K775" s="44"/>
      <c r="L775" s="44"/>
      <c r="M775" s="44"/>
      <c r="N775" s="44"/>
      <c r="O775" s="44"/>
      <c r="P775" s="47"/>
      <c r="Q775" s="44"/>
      <c r="R775" s="44"/>
      <c r="S775" s="49"/>
      <c r="T775" s="44"/>
    </row>
    <row r="776" spans="1:20" ht="15.95" customHeight="1" x14ac:dyDescent="0.2">
      <c r="A776" s="36"/>
      <c r="B776" s="25" t="s">
        <v>3</v>
      </c>
      <c r="C776" s="6">
        <f>SUM(D776:H776)</f>
        <v>0</v>
      </c>
      <c r="D776" s="8"/>
      <c r="E776" s="8"/>
      <c r="F776" s="8"/>
      <c r="G776" s="8"/>
      <c r="H776" s="8"/>
      <c r="I776" s="45"/>
      <c r="J776" s="45"/>
      <c r="K776" s="45"/>
      <c r="L776" s="45"/>
      <c r="M776" s="45"/>
      <c r="N776" s="45"/>
      <c r="O776" s="45"/>
      <c r="P776" s="48"/>
      <c r="Q776" s="45"/>
      <c r="R776" s="45"/>
      <c r="S776" s="49"/>
      <c r="T776" s="45"/>
    </row>
    <row r="777" spans="1:20" ht="15.95" customHeight="1" x14ac:dyDescent="0.2">
      <c r="A777" s="78" t="s">
        <v>88</v>
      </c>
      <c r="B777" s="39" t="s">
        <v>121</v>
      </c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6"/>
    </row>
    <row r="778" spans="1:20" ht="15.95" customHeight="1" x14ac:dyDescent="0.2">
      <c r="A778" s="79"/>
      <c r="B778" s="22" t="s">
        <v>5</v>
      </c>
      <c r="C778" s="3">
        <f>SUM(C779:C783)</f>
        <v>2440206.1876356886</v>
      </c>
      <c r="D778" s="3">
        <f t="shared" ref="D778:H778" si="251">SUM(D779:D783)</f>
        <v>1228666.527822857</v>
      </c>
      <c r="E778" s="3">
        <f t="shared" si="251"/>
        <v>497032.18936343008</v>
      </c>
      <c r="F778" s="3">
        <f t="shared" si="251"/>
        <v>253451.08175930427</v>
      </c>
      <c r="G778" s="3">
        <f t="shared" si="251"/>
        <v>198956.94629754694</v>
      </c>
      <c r="H778" s="3">
        <f t="shared" si="251"/>
        <v>262099.44239255</v>
      </c>
      <c r="I778" s="60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2"/>
    </row>
    <row r="779" spans="1:20" ht="15.95" customHeight="1" x14ac:dyDescent="0.2">
      <c r="A779" s="79"/>
      <c r="B779" s="22" t="s">
        <v>0</v>
      </c>
      <c r="C779" s="3">
        <f>D779+E779+F779+G779+H779</f>
        <v>769639.4</v>
      </c>
      <c r="D779" s="3">
        <f>D788+D796+D804+D812+D820+D828+D836+D844+D852+D860+D868+D876+D884+D892+D900+D908+D917</f>
        <v>514642.5</v>
      </c>
      <c r="E779" s="3">
        <f t="shared" ref="E779:H779" si="252">E788+E796+E804+E812+E820+E828+E836+E844+E852+E860+E868+E876+E884+E892+E900+E908+E917</f>
        <v>171089.1</v>
      </c>
      <c r="F779" s="3">
        <f t="shared" si="252"/>
        <v>83907.8</v>
      </c>
      <c r="G779" s="3">
        <f t="shared" si="252"/>
        <v>0</v>
      </c>
      <c r="H779" s="3">
        <f t="shared" si="252"/>
        <v>0</v>
      </c>
      <c r="I779" s="63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5"/>
    </row>
    <row r="780" spans="1:20" ht="15.95" customHeight="1" x14ac:dyDescent="0.2">
      <c r="A780" s="79"/>
      <c r="B780" s="22" t="s">
        <v>1</v>
      </c>
      <c r="C780" s="3">
        <f t="shared" ref="C780:C783" si="253">D780+E780+F780+G780+H780</f>
        <v>1331255.6789731998</v>
      </c>
      <c r="D780" s="3">
        <f t="shared" ref="D780:H782" si="254">D789+D797+D805+D813+D821+D829+D837+D845+D853+D861+D869+D877+D885+D893+D901+D909+D918</f>
        <v>385148.15765000001</v>
      </c>
      <c r="E780" s="3">
        <f t="shared" si="254"/>
        <v>321954.41046799999</v>
      </c>
      <c r="F780" s="3">
        <f t="shared" si="254"/>
        <v>168032.45159999997</v>
      </c>
      <c r="G780" s="3">
        <f t="shared" si="254"/>
        <v>196891.38346000001</v>
      </c>
      <c r="H780" s="3">
        <f t="shared" si="254"/>
        <v>259229.2757952</v>
      </c>
      <c r="I780" s="63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5"/>
    </row>
    <row r="781" spans="1:20" ht="15.95" customHeight="1" x14ac:dyDescent="0.2">
      <c r="A781" s="79"/>
      <c r="B781" s="22" t="s">
        <v>2</v>
      </c>
      <c r="C781" s="3">
        <f t="shared" si="253"/>
        <v>77929.712662488513</v>
      </c>
      <c r="D781" s="3">
        <f t="shared" si="254"/>
        <v>67494.474172857139</v>
      </c>
      <c r="E781" s="3">
        <f t="shared" si="254"/>
        <v>3988.6788954301255</v>
      </c>
      <c r="F781" s="3">
        <f t="shared" si="254"/>
        <v>1510.8301593043229</v>
      </c>
      <c r="G781" s="3">
        <f t="shared" si="254"/>
        <v>2065.5628375469305</v>
      </c>
      <c r="H781" s="3">
        <f t="shared" si="254"/>
        <v>2870.1665973499976</v>
      </c>
      <c r="I781" s="63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5"/>
    </row>
    <row r="782" spans="1:20" ht="15.95" customHeight="1" x14ac:dyDescent="0.2">
      <c r="A782" s="79"/>
      <c r="B782" s="22" t="s">
        <v>3</v>
      </c>
      <c r="C782" s="3">
        <f t="shared" si="253"/>
        <v>68394.186000000002</v>
      </c>
      <c r="D782" s="3">
        <f t="shared" si="254"/>
        <v>68394.186000000002</v>
      </c>
      <c r="E782" s="3">
        <f t="shared" si="254"/>
        <v>0</v>
      </c>
      <c r="F782" s="3">
        <f t="shared" si="254"/>
        <v>0</v>
      </c>
      <c r="G782" s="3">
        <f t="shared" si="254"/>
        <v>0</v>
      </c>
      <c r="H782" s="3">
        <f t="shared" si="254"/>
        <v>0</v>
      </c>
      <c r="I782" s="63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5"/>
    </row>
    <row r="783" spans="1:20" ht="39.950000000000003" customHeight="1" x14ac:dyDescent="0.2">
      <c r="A783" s="80"/>
      <c r="B783" s="17" t="s">
        <v>230</v>
      </c>
      <c r="C783" s="3">
        <f t="shared" si="253"/>
        <v>192987.21</v>
      </c>
      <c r="D783" s="3">
        <f t="shared" ref="D783:H783" si="255">D912</f>
        <v>192987.21</v>
      </c>
      <c r="E783" s="3">
        <f t="shared" si="255"/>
        <v>0</v>
      </c>
      <c r="F783" s="3">
        <f t="shared" si="255"/>
        <v>0</v>
      </c>
      <c r="G783" s="3">
        <f t="shared" si="255"/>
        <v>0</v>
      </c>
      <c r="H783" s="3">
        <f t="shared" si="255"/>
        <v>0</v>
      </c>
      <c r="I783" s="66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8"/>
    </row>
    <row r="784" spans="1:20" ht="15.95" customHeight="1" x14ac:dyDescent="0.2">
      <c r="A784" s="34" t="s">
        <v>191</v>
      </c>
      <c r="B784" s="37" t="s">
        <v>57</v>
      </c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8"/>
    </row>
    <row r="785" spans="1:20" ht="15.95" customHeight="1" x14ac:dyDescent="0.2">
      <c r="A785" s="35" t="s">
        <v>74</v>
      </c>
      <c r="B785" s="54" t="s">
        <v>454</v>
      </c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</row>
    <row r="786" spans="1:20" ht="45" customHeight="1" x14ac:dyDescent="0.2">
      <c r="A786" s="35"/>
      <c r="B786" s="57" t="s">
        <v>510</v>
      </c>
      <c r="C786" s="58"/>
      <c r="D786" s="58"/>
      <c r="E786" s="58"/>
      <c r="F786" s="58"/>
      <c r="G786" s="58"/>
      <c r="H786" s="59"/>
      <c r="I786" s="49" t="s">
        <v>52</v>
      </c>
      <c r="J786" s="49" t="s">
        <v>20</v>
      </c>
      <c r="K786" s="49" t="s">
        <v>47</v>
      </c>
      <c r="L786" s="49">
        <v>2.7057000000000002</v>
      </c>
      <c r="M786" s="49" t="s">
        <v>59</v>
      </c>
      <c r="N786" s="49" t="s">
        <v>60</v>
      </c>
      <c r="O786" s="49" t="s">
        <v>60</v>
      </c>
      <c r="P786" s="75" t="s">
        <v>424</v>
      </c>
      <c r="Q786" s="49" t="s">
        <v>7</v>
      </c>
      <c r="R786" s="49" t="s">
        <v>59</v>
      </c>
      <c r="S786" s="49" t="s">
        <v>421</v>
      </c>
      <c r="T786" s="49" t="s">
        <v>490</v>
      </c>
    </row>
    <row r="787" spans="1:20" ht="15.95" customHeight="1" x14ac:dyDescent="0.2">
      <c r="A787" s="35"/>
      <c r="B787" s="25" t="s">
        <v>5</v>
      </c>
      <c r="C787" s="6">
        <f>D787+E787+F787+G787+H787</f>
        <v>423677.85070140287</v>
      </c>
      <c r="D787" s="8">
        <f t="shared" ref="D787:H787" si="256">SUM(D788:D791)</f>
        <v>5245</v>
      </c>
      <c r="E787" s="8">
        <f t="shared" ref="E787" si="257">SUM(E788:E791)</f>
        <v>139832.36773547094</v>
      </c>
      <c r="F787" s="8">
        <f t="shared" ref="F787" si="258">SUM(F788:F791)</f>
        <v>103586.96893787575</v>
      </c>
      <c r="G787" s="8">
        <f t="shared" si="256"/>
        <v>43245.611222444895</v>
      </c>
      <c r="H787" s="8">
        <f t="shared" si="256"/>
        <v>131767.90280561123</v>
      </c>
      <c r="I787" s="49"/>
      <c r="J787" s="49"/>
      <c r="K787" s="49"/>
      <c r="L787" s="49"/>
      <c r="M787" s="49"/>
      <c r="N787" s="49"/>
      <c r="O787" s="49"/>
      <c r="P787" s="75"/>
      <c r="Q787" s="49"/>
      <c r="R787" s="49"/>
      <c r="S787" s="49"/>
      <c r="T787" s="49"/>
    </row>
    <row r="788" spans="1:20" ht="15.95" customHeight="1" x14ac:dyDescent="0.2">
      <c r="A788" s="35"/>
      <c r="B788" s="25" t="s">
        <v>0</v>
      </c>
      <c r="C788" s="6">
        <f t="shared" ref="C788" si="259">D788+E788+F788+G788+H788</f>
        <v>0</v>
      </c>
      <c r="D788" s="8"/>
      <c r="E788" s="8"/>
      <c r="F788" s="8"/>
      <c r="G788" s="8"/>
      <c r="H788" s="8"/>
      <c r="I788" s="49"/>
      <c r="J788" s="49"/>
      <c r="K788" s="49"/>
      <c r="L788" s="49"/>
      <c r="M788" s="49"/>
      <c r="N788" s="49"/>
      <c r="O788" s="49"/>
      <c r="P788" s="75"/>
      <c r="Q788" s="49"/>
      <c r="R788" s="49"/>
      <c r="S788" s="49"/>
      <c r="T788" s="49"/>
    </row>
    <row r="789" spans="1:20" ht="15.95" customHeight="1" x14ac:dyDescent="0.2">
      <c r="A789" s="35"/>
      <c r="B789" s="25" t="s">
        <v>1</v>
      </c>
      <c r="C789" s="6">
        <f>D789+E789+F789+G789+H789</f>
        <v>422736.08499999996</v>
      </c>
      <c r="D789" s="8">
        <v>5140.1000000000004</v>
      </c>
      <c r="E789" s="8">
        <v>139552.70300000001</v>
      </c>
      <c r="F789" s="8">
        <v>103379.795</v>
      </c>
      <c r="G789" s="8">
        <v>43159.12</v>
      </c>
      <c r="H789" s="8">
        <v>131504.367</v>
      </c>
      <c r="I789" s="49"/>
      <c r="J789" s="49"/>
      <c r="K789" s="49"/>
      <c r="L789" s="49"/>
      <c r="M789" s="49"/>
      <c r="N789" s="49"/>
      <c r="O789" s="49"/>
      <c r="P789" s="75"/>
      <c r="Q789" s="49"/>
      <c r="R789" s="49"/>
      <c r="S789" s="49"/>
      <c r="T789" s="49"/>
    </row>
    <row r="790" spans="1:20" ht="15.95" customHeight="1" x14ac:dyDescent="0.2">
      <c r="A790" s="35"/>
      <c r="B790" s="25" t="s">
        <v>2</v>
      </c>
      <c r="C790" s="6">
        <f t="shared" ref="C790:C791" si="260">D790+E790+F790+G790+H790</f>
        <v>941.76570140280569</v>
      </c>
      <c r="D790" s="8">
        <v>104.9</v>
      </c>
      <c r="E790" s="8">
        <v>279.66473547094193</v>
      </c>
      <c r="F790" s="8">
        <v>207.17393787575153</v>
      </c>
      <c r="G790" s="8">
        <v>86.491222444889786</v>
      </c>
      <c r="H790" s="8">
        <v>263.53580561122243</v>
      </c>
      <c r="I790" s="49"/>
      <c r="J790" s="49"/>
      <c r="K790" s="49"/>
      <c r="L790" s="49"/>
      <c r="M790" s="49"/>
      <c r="N790" s="49"/>
      <c r="O790" s="49"/>
      <c r="P790" s="75"/>
      <c r="Q790" s="49"/>
      <c r="R790" s="49"/>
      <c r="S790" s="49"/>
      <c r="T790" s="49"/>
    </row>
    <row r="791" spans="1:20" ht="15.95" customHeight="1" x14ac:dyDescent="0.2">
      <c r="A791" s="36"/>
      <c r="B791" s="25" t="s">
        <v>3</v>
      </c>
      <c r="C791" s="6">
        <f t="shared" si="260"/>
        <v>0</v>
      </c>
      <c r="D791" s="8"/>
      <c r="E791" s="8"/>
      <c r="F791" s="8"/>
      <c r="G791" s="8"/>
      <c r="H791" s="8"/>
      <c r="I791" s="49"/>
      <c r="J791" s="49"/>
      <c r="K791" s="49"/>
      <c r="L791" s="49"/>
      <c r="M791" s="49"/>
      <c r="N791" s="49"/>
      <c r="O791" s="49"/>
      <c r="P791" s="75"/>
      <c r="Q791" s="49"/>
      <c r="R791" s="49"/>
      <c r="S791" s="49"/>
      <c r="T791" s="49"/>
    </row>
    <row r="792" spans="1:20" ht="15.95" customHeight="1" x14ac:dyDescent="0.2">
      <c r="A792" s="34" t="s">
        <v>192</v>
      </c>
      <c r="B792" s="37" t="s">
        <v>57</v>
      </c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8"/>
    </row>
    <row r="793" spans="1:20" ht="15.95" customHeight="1" x14ac:dyDescent="0.2">
      <c r="A793" s="35" t="s">
        <v>74</v>
      </c>
      <c r="B793" s="54" t="s">
        <v>454</v>
      </c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</row>
    <row r="794" spans="1:20" ht="45" customHeight="1" x14ac:dyDescent="0.2">
      <c r="A794" s="35"/>
      <c r="B794" s="57" t="s">
        <v>700</v>
      </c>
      <c r="C794" s="58"/>
      <c r="D794" s="58"/>
      <c r="E794" s="58"/>
      <c r="F794" s="58"/>
      <c r="G794" s="58"/>
      <c r="H794" s="59"/>
      <c r="I794" s="49" t="s">
        <v>20</v>
      </c>
      <c r="J794" s="49" t="s">
        <v>21</v>
      </c>
      <c r="K794" s="49" t="s">
        <v>47</v>
      </c>
      <c r="L794" s="49" t="s">
        <v>248</v>
      </c>
      <c r="M794" s="49" t="s">
        <v>59</v>
      </c>
      <c r="N794" s="49" t="s">
        <v>60</v>
      </c>
      <c r="O794" s="49" t="s">
        <v>60</v>
      </c>
      <c r="P794" s="75" t="s">
        <v>425</v>
      </c>
      <c r="Q794" s="49" t="s">
        <v>7</v>
      </c>
      <c r="R794" s="49" t="s">
        <v>59</v>
      </c>
      <c r="S794" s="49" t="s">
        <v>25</v>
      </c>
      <c r="T794" s="49"/>
    </row>
    <row r="795" spans="1:20" ht="15.95" customHeight="1" x14ac:dyDescent="0.2">
      <c r="A795" s="35"/>
      <c r="B795" s="25" t="s">
        <v>5</v>
      </c>
      <c r="C795" s="6">
        <f t="shared" ref="C795:C796" si="261">D795+E795+F795+G795+H795</f>
        <v>17011.410949999998</v>
      </c>
      <c r="D795" s="8">
        <f t="shared" ref="D795:H795" si="262">SUM(D796:D799)</f>
        <v>4727.2129999999997</v>
      </c>
      <c r="E795" s="8">
        <f t="shared" ref="E795:F795" si="263">SUM(E796:E799)</f>
        <v>12284.19795</v>
      </c>
      <c r="F795" s="8">
        <f t="shared" si="263"/>
        <v>0</v>
      </c>
      <c r="G795" s="8">
        <f t="shared" si="262"/>
        <v>0</v>
      </c>
      <c r="H795" s="8">
        <f t="shared" si="262"/>
        <v>0</v>
      </c>
      <c r="I795" s="49"/>
      <c r="J795" s="49"/>
      <c r="K795" s="49"/>
      <c r="L795" s="49"/>
      <c r="M795" s="49"/>
      <c r="N795" s="49"/>
      <c r="O795" s="49"/>
      <c r="P795" s="75"/>
      <c r="Q795" s="49"/>
      <c r="R795" s="49"/>
      <c r="S795" s="49"/>
      <c r="T795" s="49"/>
    </row>
    <row r="796" spans="1:20" ht="15.95" customHeight="1" x14ac:dyDescent="0.2">
      <c r="A796" s="35"/>
      <c r="B796" s="25" t="s">
        <v>0</v>
      </c>
      <c r="C796" s="6">
        <f t="shared" si="261"/>
        <v>0</v>
      </c>
      <c r="D796" s="8"/>
      <c r="E796" s="8"/>
      <c r="F796" s="8"/>
      <c r="G796" s="8"/>
      <c r="H796" s="8"/>
      <c r="I796" s="49"/>
      <c r="J796" s="49"/>
      <c r="K796" s="49"/>
      <c r="L796" s="49"/>
      <c r="M796" s="49"/>
      <c r="N796" s="49"/>
      <c r="O796" s="49"/>
      <c r="P796" s="75"/>
      <c r="Q796" s="49"/>
      <c r="R796" s="49"/>
      <c r="S796" s="49"/>
      <c r="T796" s="49"/>
    </row>
    <row r="797" spans="1:20" ht="15.95" customHeight="1" x14ac:dyDescent="0.2">
      <c r="A797" s="35"/>
      <c r="B797" s="25" t="s">
        <v>1</v>
      </c>
      <c r="C797" s="6">
        <f>D797+E797+F797+G797+H797</f>
        <v>16671.182000000001</v>
      </c>
      <c r="D797" s="8">
        <v>4632.6679999999997</v>
      </c>
      <c r="E797" s="8">
        <v>12038.513999999999</v>
      </c>
      <c r="F797" s="8"/>
      <c r="G797" s="8"/>
      <c r="H797" s="8"/>
      <c r="I797" s="49"/>
      <c r="J797" s="49"/>
      <c r="K797" s="49"/>
      <c r="L797" s="49"/>
      <c r="M797" s="49"/>
      <c r="N797" s="49"/>
      <c r="O797" s="49"/>
      <c r="P797" s="75"/>
      <c r="Q797" s="49"/>
      <c r="R797" s="49"/>
      <c r="S797" s="49"/>
      <c r="T797" s="49"/>
    </row>
    <row r="798" spans="1:20" ht="15.95" customHeight="1" x14ac:dyDescent="0.2">
      <c r="A798" s="35"/>
      <c r="B798" s="25" t="s">
        <v>2</v>
      </c>
      <c r="C798" s="6">
        <f t="shared" ref="C798:C799" si="264">D798+E798+F798+G798+H798</f>
        <v>340.22895</v>
      </c>
      <c r="D798" s="8">
        <v>94.545000000000002</v>
      </c>
      <c r="E798" s="8">
        <v>245.68395000000001</v>
      </c>
      <c r="F798" s="8"/>
      <c r="G798" s="8"/>
      <c r="H798" s="8"/>
      <c r="I798" s="49"/>
      <c r="J798" s="49"/>
      <c r="K798" s="49"/>
      <c r="L798" s="49"/>
      <c r="M798" s="49"/>
      <c r="N798" s="49"/>
      <c r="O798" s="49"/>
      <c r="P798" s="75"/>
      <c r="Q798" s="49"/>
      <c r="R798" s="49"/>
      <c r="S798" s="49"/>
      <c r="T798" s="49"/>
    </row>
    <row r="799" spans="1:20" ht="15.95" customHeight="1" x14ac:dyDescent="0.2">
      <c r="A799" s="36"/>
      <c r="B799" s="25" t="s">
        <v>3</v>
      </c>
      <c r="C799" s="6">
        <f t="shared" si="264"/>
        <v>0</v>
      </c>
      <c r="D799" s="8"/>
      <c r="E799" s="8"/>
      <c r="F799" s="8"/>
      <c r="G799" s="8"/>
      <c r="H799" s="8"/>
      <c r="I799" s="49"/>
      <c r="J799" s="49"/>
      <c r="K799" s="49"/>
      <c r="L799" s="49"/>
      <c r="M799" s="49"/>
      <c r="N799" s="49"/>
      <c r="O799" s="49"/>
      <c r="P799" s="75"/>
      <c r="Q799" s="49"/>
      <c r="R799" s="49"/>
      <c r="S799" s="49"/>
      <c r="T799" s="49"/>
    </row>
    <row r="800" spans="1:20" ht="15.95" customHeight="1" x14ac:dyDescent="0.2">
      <c r="A800" s="34" t="s">
        <v>193</v>
      </c>
      <c r="B800" s="37" t="s">
        <v>57</v>
      </c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8"/>
    </row>
    <row r="801" spans="1:20" ht="15.95" customHeight="1" x14ac:dyDescent="0.2">
      <c r="A801" s="35" t="s">
        <v>74</v>
      </c>
      <c r="B801" s="54" t="s">
        <v>454</v>
      </c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</row>
    <row r="802" spans="1:20" ht="48" customHeight="1" x14ac:dyDescent="0.2">
      <c r="A802" s="35"/>
      <c r="B802" s="57" t="s">
        <v>411</v>
      </c>
      <c r="C802" s="58"/>
      <c r="D802" s="58"/>
      <c r="E802" s="58"/>
      <c r="F802" s="58"/>
      <c r="G802" s="58"/>
      <c r="H802" s="59"/>
      <c r="I802" s="49" t="s">
        <v>20</v>
      </c>
      <c r="J802" s="49" t="s">
        <v>21</v>
      </c>
      <c r="K802" s="49" t="s">
        <v>47</v>
      </c>
      <c r="L802" s="49" t="s">
        <v>249</v>
      </c>
      <c r="M802" s="49" t="s">
        <v>250</v>
      </c>
      <c r="N802" s="49" t="s">
        <v>251</v>
      </c>
      <c r="O802" s="49" t="s">
        <v>251</v>
      </c>
      <c r="P802" s="75" t="s">
        <v>426</v>
      </c>
      <c r="Q802" s="49" t="s">
        <v>7</v>
      </c>
      <c r="R802" s="49" t="s">
        <v>250</v>
      </c>
      <c r="S802" s="49" t="s">
        <v>34</v>
      </c>
      <c r="T802" s="49"/>
    </row>
    <row r="803" spans="1:20" ht="15.95" customHeight="1" x14ac:dyDescent="0.2">
      <c r="A803" s="35"/>
      <c r="B803" s="25" t="s">
        <v>5</v>
      </c>
      <c r="C803" s="6">
        <f t="shared" ref="C803:C804" si="265">D803+E803+F803+G803+H803</f>
        <v>23979.591836734693</v>
      </c>
      <c r="D803" s="8">
        <f t="shared" ref="D803:H803" si="266">SUM(D804:D807)</f>
        <v>23979.591836734693</v>
      </c>
      <c r="E803" s="8">
        <f t="shared" si="266"/>
        <v>0</v>
      </c>
      <c r="F803" s="8">
        <f t="shared" si="266"/>
        <v>0</v>
      </c>
      <c r="G803" s="8">
        <f t="shared" si="266"/>
        <v>0</v>
      </c>
      <c r="H803" s="8">
        <f t="shared" si="266"/>
        <v>0</v>
      </c>
      <c r="I803" s="49"/>
      <c r="J803" s="49"/>
      <c r="K803" s="49"/>
      <c r="L803" s="49"/>
      <c r="M803" s="49"/>
      <c r="N803" s="49"/>
      <c r="O803" s="49"/>
      <c r="P803" s="75"/>
      <c r="Q803" s="49"/>
      <c r="R803" s="49"/>
      <c r="S803" s="49"/>
      <c r="T803" s="49"/>
    </row>
    <row r="804" spans="1:20" ht="15.95" customHeight="1" x14ac:dyDescent="0.2">
      <c r="A804" s="35"/>
      <c r="B804" s="25" t="s">
        <v>0</v>
      </c>
      <c r="C804" s="6">
        <f t="shared" si="265"/>
        <v>0</v>
      </c>
      <c r="D804" s="8"/>
      <c r="E804" s="8"/>
      <c r="F804" s="8"/>
      <c r="G804" s="8"/>
      <c r="H804" s="8"/>
      <c r="I804" s="49"/>
      <c r="J804" s="49"/>
      <c r="K804" s="49"/>
      <c r="L804" s="49"/>
      <c r="M804" s="49"/>
      <c r="N804" s="49"/>
      <c r="O804" s="49"/>
      <c r="P804" s="75"/>
      <c r="Q804" s="49"/>
      <c r="R804" s="49"/>
      <c r="S804" s="49"/>
      <c r="T804" s="49"/>
    </row>
    <row r="805" spans="1:20" ht="15.95" customHeight="1" x14ac:dyDescent="0.2">
      <c r="A805" s="35"/>
      <c r="B805" s="25" t="s">
        <v>1</v>
      </c>
      <c r="C805" s="6">
        <f>D805+E805+F805+G805+H805</f>
        <v>23500</v>
      </c>
      <c r="D805" s="8">
        <v>23500</v>
      </c>
      <c r="E805" s="8"/>
      <c r="F805" s="8"/>
      <c r="G805" s="8"/>
      <c r="H805" s="8"/>
      <c r="I805" s="49"/>
      <c r="J805" s="49"/>
      <c r="K805" s="49"/>
      <c r="L805" s="49"/>
      <c r="M805" s="49"/>
      <c r="N805" s="49"/>
      <c r="O805" s="49"/>
      <c r="P805" s="75"/>
      <c r="Q805" s="49"/>
      <c r="R805" s="49"/>
      <c r="S805" s="49"/>
      <c r="T805" s="49"/>
    </row>
    <row r="806" spans="1:20" ht="15.95" customHeight="1" x14ac:dyDescent="0.2">
      <c r="A806" s="35"/>
      <c r="B806" s="25" t="s">
        <v>2</v>
      </c>
      <c r="C806" s="6">
        <f t="shared" ref="C806:C807" si="267">D806+E806+F806+G806+H806</f>
        <v>479.59183673469386</v>
      </c>
      <c r="D806" s="8">
        <v>479.59183673469386</v>
      </c>
      <c r="E806" s="8"/>
      <c r="F806" s="8"/>
      <c r="G806" s="8"/>
      <c r="H806" s="8"/>
      <c r="I806" s="49"/>
      <c r="J806" s="49"/>
      <c r="K806" s="49"/>
      <c r="L806" s="49"/>
      <c r="M806" s="49"/>
      <c r="N806" s="49"/>
      <c r="O806" s="49"/>
      <c r="P806" s="75"/>
      <c r="Q806" s="49"/>
      <c r="R806" s="49"/>
      <c r="S806" s="49"/>
      <c r="T806" s="49"/>
    </row>
    <row r="807" spans="1:20" ht="15.95" customHeight="1" x14ac:dyDescent="0.2">
      <c r="A807" s="36"/>
      <c r="B807" s="25" t="s">
        <v>3</v>
      </c>
      <c r="C807" s="6">
        <f t="shared" si="267"/>
        <v>0</v>
      </c>
      <c r="D807" s="8"/>
      <c r="E807" s="8"/>
      <c r="F807" s="8"/>
      <c r="G807" s="8"/>
      <c r="H807" s="8"/>
      <c r="I807" s="49"/>
      <c r="J807" s="49"/>
      <c r="K807" s="49"/>
      <c r="L807" s="49"/>
      <c r="M807" s="49"/>
      <c r="N807" s="49"/>
      <c r="O807" s="49"/>
      <c r="P807" s="75"/>
      <c r="Q807" s="49"/>
      <c r="R807" s="49"/>
      <c r="S807" s="49"/>
      <c r="T807" s="49"/>
    </row>
    <row r="808" spans="1:20" ht="15.95" customHeight="1" x14ac:dyDescent="0.2">
      <c r="A808" s="34" t="s">
        <v>194</v>
      </c>
      <c r="B808" s="37" t="s">
        <v>57</v>
      </c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8"/>
    </row>
    <row r="809" spans="1:20" ht="15.95" customHeight="1" x14ac:dyDescent="0.2">
      <c r="A809" s="35" t="s">
        <v>74</v>
      </c>
      <c r="B809" s="54" t="s">
        <v>64</v>
      </c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</row>
    <row r="810" spans="1:20" ht="48" customHeight="1" x14ac:dyDescent="0.2">
      <c r="A810" s="35"/>
      <c r="B810" s="57" t="s">
        <v>272</v>
      </c>
      <c r="C810" s="58"/>
      <c r="D810" s="58"/>
      <c r="E810" s="58"/>
      <c r="F810" s="58"/>
      <c r="G810" s="58"/>
      <c r="H810" s="59"/>
      <c r="I810" s="49" t="s">
        <v>23</v>
      </c>
      <c r="J810" s="49"/>
      <c r="K810" s="49" t="s">
        <v>47</v>
      </c>
      <c r="L810" s="49" t="s">
        <v>252</v>
      </c>
      <c r="M810" s="49" t="s">
        <v>50</v>
      </c>
      <c r="N810" s="49" t="s">
        <v>58</v>
      </c>
      <c r="O810" s="49" t="s">
        <v>58</v>
      </c>
      <c r="P810" s="75" t="s">
        <v>427</v>
      </c>
      <c r="Q810" s="49" t="s">
        <v>7</v>
      </c>
      <c r="R810" s="49" t="s">
        <v>50</v>
      </c>
      <c r="S810" s="49" t="s">
        <v>34</v>
      </c>
      <c r="T810" s="49" t="s">
        <v>491</v>
      </c>
    </row>
    <row r="811" spans="1:20" ht="15.95" customHeight="1" x14ac:dyDescent="0.2">
      <c r="A811" s="35"/>
      <c r="B811" s="25" t="s">
        <v>5</v>
      </c>
      <c r="C811" s="6">
        <f t="shared" ref="C811:C812" si="268">D811+E811+F811+G811+H811</f>
        <v>102540.83602</v>
      </c>
      <c r="D811" s="8">
        <f t="shared" ref="D811" si="269">SUM(D812:D815)</f>
        <v>46301.751020000003</v>
      </c>
      <c r="E811" s="8">
        <f t="shared" ref="E811:F811" si="270">SUM(E812:E815)</f>
        <v>56239.084999999999</v>
      </c>
      <c r="F811" s="8">
        <f t="shared" si="270"/>
        <v>0</v>
      </c>
      <c r="G811" s="8">
        <f t="shared" ref="G811" si="271">SUM(G812:G815)</f>
        <v>0</v>
      </c>
      <c r="H811" s="8">
        <f t="shared" ref="H811" si="272">SUM(H812:H815)</f>
        <v>0</v>
      </c>
      <c r="I811" s="49"/>
      <c r="J811" s="49"/>
      <c r="K811" s="49"/>
      <c r="L811" s="49"/>
      <c r="M811" s="49"/>
      <c r="N811" s="49"/>
      <c r="O811" s="49"/>
      <c r="P811" s="75"/>
      <c r="Q811" s="49"/>
      <c r="R811" s="49"/>
      <c r="S811" s="49"/>
      <c r="T811" s="49"/>
    </row>
    <row r="812" spans="1:20" ht="15.95" customHeight="1" x14ac:dyDescent="0.2">
      <c r="A812" s="35"/>
      <c r="B812" s="25" t="s">
        <v>0</v>
      </c>
      <c r="C812" s="6">
        <f t="shared" si="268"/>
        <v>51319.199999999997</v>
      </c>
      <c r="D812" s="8">
        <f>0+29319.2</f>
        <v>29319.200000000001</v>
      </c>
      <c r="E812" s="8">
        <f>0+22000</f>
        <v>22000</v>
      </c>
      <c r="F812" s="8"/>
      <c r="G812" s="8"/>
      <c r="H812" s="8"/>
      <c r="I812" s="49"/>
      <c r="J812" s="49"/>
      <c r="K812" s="49"/>
      <c r="L812" s="49"/>
      <c r="M812" s="49"/>
      <c r="N812" s="49"/>
      <c r="O812" s="49"/>
      <c r="P812" s="75"/>
      <c r="Q812" s="49"/>
      <c r="R812" s="49"/>
      <c r="S812" s="49"/>
      <c r="T812" s="49"/>
    </row>
    <row r="813" spans="1:20" ht="15.95" customHeight="1" x14ac:dyDescent="0.2">
      <c r="A813" s="35"/>
      <c r="B813" s="25" t="s">
        <v>1</v>
      </c>
      <c r="C813" s="6">
        <f>D813+E813+F813+G813+H813</f>
        <v>50197.203000000001</v>
      </c>
      <c r="D813" s="8">
        <f>33554.303-16911.403</f>
        <v>16642.900000000001</v>
      </c>
      <c r="E813" s="8">
        <v>33554.303</v>
      </c>
      <c r="F813" s="8"/>
      <c r="G813" s="8"/>
      <c r="H813" s="8"/>
      <c r="I813" s="49"/>
      <c r="J813" s="49"/>
      <c r="K813" s="49"/>
      <c r="L813" s="49"/>
      <c r="M813" s="49"/>
      <c r="N813" s="49"/>
      <c r="O813" s="49"/>
      <c r="P813" s="75"/>
      <c r="Q813" s="49"/>
      <c r="R813" s="49"/>
      <c r="S813" s="49"/>
      <c r="T813" s="49"/>
    </row>
    <row r="814" spans="1:20" ht="15.95" customHeight="1" x14ac:dyDescent="0.2">
      <c r="A814" s="35"/>
      <c r="B814" s="25" t="s">
        <v>2</v>
      </c>
      <c r="C814" s="6">
        <f t="shared" ref="C814:C815" si="273">D814+E814+F814+G814+H814</f>
        <v>1024.4330199999999</v>
      </c>
      <c r="D814" s="8">
        <f>684.782-345.13098</f>
        <v>339.65102000000002</v>
      </c>
      <c r="E814" s="8">
        <v>684.78200000000004</v>
      </c>
      <c r="F814" s="8"/>
      <c r="G814" s="8"/>
      <c r="H814" s="8"/>
      <c r="I814" s="49"/>
      <c r="J814" s="49"/>
      <c r="K814" s="49"/>
      <c r="L814" s="49"/>
      <c r="M814" s="49"/>
      <c r="N814" s="49"/>
      <c r="O814" s="49"/>
      <c r="P814" s="75"/>
      <c r="Q814" s="49"/>
      <c r="R814" s="49"/>
      <c r="S814" s="49"/>
      <c r="T814" s="49"/>
    </row>
    <row r="815" spans="1:20" ht="15.95" customHeight="1" x14ac:dyDescent="0.2">
      <c r="A815" s="36"/>
      <c r="B815" s="25" t="s">
        <v>3</v>
      </c>
      <c r="C815" s="6">
        <f t="shared" si="273"/>
        <v>0</v>
      </c>
      <c r="D815" s="8"/>
      <c r="E815" s="8"/>
      <c r="F815" s="8"/>
      <c r="G815" s="8"/>
      <c r="H815" s="8"/>
      <c r="I815" s="49"/>
      <c r="J815" s="49"/>
      <c r="K815" s="49"/>
      <c r="L815" s="49"/>
      <c r="M815" s="49"/>
      <c r="N815" s="49"/>
      <c r="O815" s="49"/>
      <c r="P815" s="75"/>
      <c r="Q815" s="49"/>
      <c r="R815" s="49"/>
      <c r="S815" s="49"/>
      <c r="T815" s="49"/>
    </row>
    <row r="816" spans="1:20" ht="15.95" customHeight="1" x14ac:dyDescent="0.2">
      <c r="A816" s="34" t="s">
        <v>195</v>
      </c>
      <c r="B816" s="37" t="s">
        <v>57</v>
      </c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8"/>
    </row>
    <row r="817" spans="1:20" ht="15.95" customHeight="1" x14ac:dyDescent="0.2">
      <c r="A817" s="35" t="s">
        <v>74</v>
      </c>
      <c r="B817" s="54" t="s">
        <v>64</v>
      </c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</row>
    <row r="818" spans="1:20" ht="48" customHeight="1" x14ac:dyDescent="0.2">
      <c r="A818" s="35"/>
      <c r="B818" s="57" t="s">
        <v>511</v>
      </c>
      <c r="C818" s="58"/>
      <c r="D818" s="58"/>
      <c r="E818" s="58"/>
      <c r="F818" s="58"/>
      <c r="G818" s="58"/>
      <c r="H818" s="59"/>
      <c r="I818" s="49" t="s">
        <v>52</v>
      </c>
      <c r="J818" s="49"/>
      <c r="K818" s="49" t="s">
        <v>47</v>
      </c>
      <c r="L818" s="49" t="s">
        <v>273</v>
      </c>
      <c r="M818" s="49" t="s">
        <v>66</v>
      </c>
      <c r="N818" s="49" t="s">
        <v>253</v>
      </c>
      <c r="O818" s="49" t="s">
        <v>253</v>
      </c>
      <c r="P818" s="75" t="s">
        <v>428</v>
      </c>
      <c r="Q818" s="49" t="s">
        <v>7</v>
      </c>
      <c r="R818" s="49" t="s">
        <v>253</v>
      </c>
      <c r="S818" s="49" t="s">
        <v>35</v>
      </c>
      <c r="T818" s="49" t="s">
        <v>508</v>
      </c>
    </row>
    <row r="819" spans="1:20" ht="15.95" customHeight="1" x14ac:dyDescent="0.2">
      <c r="A819" s="35"/>
      <c r="B819" s="25" t="s">
        <v>5</v>
      </c>
      <c r="C819" s="6">
        <f t="shared" ref="C819:C820" si="274">D819+E819+F819+G819+H819</f>
        <v>144880.14137755102</v>
      </c>
      <c r="D819" s="8">
        <f t="shared" ref="D819" si="275">SUM(D820:D823)</f>
        <v>26748.802306122452</v>
      </c>
      <c r="E819" s="8">
        <f t="shared" ref="E819" si="276">SUM(E820:E823)</f>
        <v>27818.754397959183</v>
      </c>
      <c r="F819" s="8">
        <f t="shared" ref="F819" si="277">SUM(F820:F823)</f>
        <v>28931.50457142857</v>
      </c>
      <c r="G819" s="8">
        <f t="shared" ref="G819" si="278">SUM(G820:G823)</f>
        <v>30088.764755102042</v>
      </c>
      <c r="H819" s="8">
        <f t="shared" ref="H819" si="279">SUM(H820:H823)</f>
        <v>31292.315346938776</v>
      </c>
      <c r="I819" s="49"/>
      <c r="J819" s="49"/>
      <c r="K819" s="49"/>
      <c r="L819" s="49"/>
      <c r="M819" s="49"/>
      <c r="N819" s="49"/>
      <c r="O819" s="49"/>
      <c r="P819" s="75"/>
      <c r="Q819" s="49"/>
      <c r="R819" s="49"/>
      <c r="S819" s="49"/>
      <c r="T819" s="49"/>
    </row>
    <row r="820" spans="1:20" ht="15.95" customHeight="1" x14ac:dyDescent="0.2">
      <c r="A820" s="35"/>
      <c r="B820" s="25" t="s">
        <v>0</v>
      </c>
      <c r="C820" s="6">
        <f t="shared" si="274"/>
        <v>0</v>
      </c>
      <c r="D820" s="8"/>
      <c r="E820" s="8"/>
      <c r="F820" s="8"/>
      <c r="G820" s="8"/>
      <c r="H820" s="8"/>
      <c r="I820" s="49"/>
      <c r="J820" s="49"/>
      <c r="K820" s="49"/>
      <c r="L820" s="49"/>
      <c r="M820" s="49"/>
      <c r="N820" s="49"/>
      <c r="O820" s="49"/>
      <c r="P820" s="75"/>
      <c r="Q820" s="49"/>
      <c r="R820" s="49"/>
      <c r="S820" s="49"/>
      <c r="T820" s="49"/>
    </row>
    <row r="821" spans="1:20" ht="15.95" customHeight="1" x14ac:dyDescent="0.2">
      <c r="A821" s="35"/>
      <c r="B821" s="25" t="s">
        <v>1</v>
      </c>
      <c r="C821" s="6">
        <f>D821+E821+F821+G821+H821</f>
        <v>141982.53855</v>
      </c>
      <c r="D821" s="8">
        <v>26213.826260000002</v>
      </c>
      <c r="E821" s="8">
        <v>27262.37931</v>
      </c>
      <c r="F821" s="8">
        <v>28352.874479999999</v>
      </c>
      <c r="G821" s="8">
        <v>29486.989460000001</v>
      </c>
      <c r="H821" s="8">
        <v>30666.46904</v>
      </c>
      <c r="I821" s="49"/>
      <c r="J821" s="49"/>
      <c r="K821" s="49"/>
      <c r="L821" s="49"/>
      <c r="M821" s="49"/>
      <c r="N821" s="49"/>
      <c r="O821" s="49"/>
      <c r="P821" s="75"/>
      <c r="Q821" s="49"/>
      <c r="R821" s="49"/>
      <c r="S821" s="49"/>
      <c r="T821" s="49"/>
    </row>
    <row r="822" spans="1:20" ht="15.95" customHeight="1" x14ac:dyDescent="0.2">
      <c r="A822" s="35"/>
      <c r="B822" s="25" t="s">
        <v>2</v>
      </c>
      <c r="C822" s="6">
        <f t="shared" ref="C822:C823" si="280">D822+E822+F822+G822+H822</f>
        <v>2897.6028275510203</v>
      </c>
      <c r="D822" s="8">
        <v>534.97604612244902</v>
      </c>
      <c r="E822" s="8">
        <v>556.3750879591837</v>
      </c>
      <c r="F822" s="8">
        <v>578.6300914285714</v>
      </c>
      <c r="G822" s="8">
        <v>601.77529510204079</v>
      </c>
      <c r="H822" s="8">
        <v>625.84630693877546</v>
      </c>
      <c r="I822" s="49"/>
      <c r="J822" s="49"/>
      <c r="K822" s="49"/>
      <c r="L822" s="49"/>
      <c r="M822" s="49"/>
      <c r="N822" s="49"/>
      <c r="O822" s="49"/>
      <c r="P822" s="75"/>
      <c r="Q822" s="49"/>
      <c r="R822" s="49"/>
      <c r="S822" s="49"/>
      <c r="T822" s="49"/>
    </row>
    <row r="823" spans="1:20" ht="15.95" customHeight="1" x14ac:dyDescent="0.2">
      <c r="A823" s="36"/>
      <c r="B823" s="25" t="s">
        <v>3</v>
      </c>
      <c r="C823" s="6">
        <f t="shared" si="280"/>
        <v>0</v>
      </c>
      <c r="D823" s="8"/>
      <c r="E823" s="8"/>
      <c r="F823" s="8"/>
      <c r="G823" s="8"/>
      <c r="H823" s="8"/>
      <c r="I823" s="49"/>
      <c r="J823" s="49"/>
      <c r="K823" s="49"/>
      <c r="L823" s="49"/>
      <c r="M823" s="49"/>
      <c r="N823" s="49"/>
      <c r="O823" s="49"/>
      <c r="P823" s="75"/>
      <c r="Q823" s="49"/>
      <c r="R823" s="49"/>
      <c r="S823" s="49"/>
      <c r="T823" s="49"/>
    </row>
    <row r="824" spans="1:20" ht="15.95" customHeight="1" x14ac:dyDescent="0.2">
      <c r="A824" s="34" t="s">
        <v>196</v>
      </c>
      <c r="B824" s="37" t="s">
        <v>526</v>
      </c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8"/>
    </row>
    <row r="825" spans="1:20" ht="31.5" customHeight="1" x14ac:dyDescent="0.2">
      <c r="A825" s="35" t="s">
        <v>74</v>
      </c>
      <c r="B825" s="54" t="s">
        <v>122</v>
      </c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</row>
    <row r="826" spans="1:20" ht="48" customHeight="1" x14ac:dyDescent="0.2">
      <c r="A826" s="35"/>
      <c r="B826" s="57" t="s">
        <v>123</v>
      </c>
      <c r="C826" s="58"/>
      <c r="D826" s="58"/>
      <c r="E826" s="58"/>
      <c r="F826" s="58"/>
      <c r="G826" s="58"/>
      <c r="H826" s="59"/>
      <c r="I826" s="43" t="s">
        <v>243</v>
      </c>
      <c r="J826" s="43"/>
      <c r="K826" s="43" t="s">
        <v>42</v>
      </c>
      <c r="L826" s="43" t="s">
        <v>124</v>
      </c>
      <c r="M826" s="43" t="s">
        <v>737</v>
      </c>
      <c r="N826" s="43" t="s">
        <v>526</v>
      </c>
      <c r="O826" s="43" t="s">
        <v>737</v>
      </c>
      <c r="P826" s="46" t="s">
        <v>125</v>
      </c>
      <c r="Q826" s="43" t="s">
        <v>33</v>
      </c>
      <c r="R826" s="43" t="s">
        <v>41</v>
      </c>
      <c r="S826" s="43" t="s">
        <v>35</v>
      </c>
      <c r="T826" s="49" t="s">
        <v>492</v>
      </c>
    </row>
    <row r="827" spans="1:20" ht="15.95" customHeight="1" x14ac:dyDescent="0.2">
      <c r="A827" s="35"/>
      <c r="B827" s="25" t="s">
        <v>5</v>
      </c>
      <c r="C827" s="6">
        <f>D827+E827+F827+G827+H827</f>
        <v>207666.4</v>
      </c>
      <c r="D827" s="8">
        <f t="shared" ref="D827:F827" si="281">SUM(D828:D831)</f>
        <v>207666.4</v>
      </c>
      <c r="E827" s="8">
        <f t="shared" si="281"/>
        <v>0</v>
      </c>
      <c r="F827" s="8">
        <f t="shared" si="281"/>
        <v>0</v>
      </c>
      <c r="G827" s="8">
        <v>0</v>
      </c>
      <c r="H827" s="8">
        <f t="shared" ref="H827" si="282">SUM(H828:H831)</f>
        <v>0</v>
      </c>
      <c r="I827" s="44"/>
      <c r="J827" s="44"/>
      <c r="K827" s="44"/>
      <c r="L827" s="44"/>
      <c r="M827" s="44"/>
      <c r="N827" s="44"/>
      <c r="O827" s="44"/>
      <c r="P827" s="47"/>
      <c r="Q827" s="44"/>
      <c r="R827" s="44"/>
      <c r="S827" s="44"/>
      <c r="T827" s="49"/>
    </row>
    <row r="828" spans="1:20" ht="15.95" customHeight="1" x14ac:dyDescent="0.2">
      <c r="A828" s="35"/>
      <c r="B828" s="25" t="s">
        <v>0</v>
      </c>
      <c r="C828" s="6">
        <f>D828+E828+F828+G828+H828</f>
        <v>167666.4</v>
      </c>
      <c r="D828" s="8">
        <v>167666.4</v>
      </c>
      <c r="E828" s="8"/>
      <c r="F828" s="8"/>
      <c r="G828" s="8"/>
      <c r="H828" s="8"/>
      <c r="I828" s="44"/>
      <c r="J828" s="44"/>
      <c r="K828" s="44"/>
      <c r="L828" s="44"/>
      <c r="M828" s="44"/>
      <c r="N828" s="44"/>
      <c r="O828" s="44"/>
      <c r="P828" s="47"/>
      <c r="Q828" s="44"/>
      <c r="R828" s="44"/>
      <c r="S828" s="44"/>
      <c r="T828" s="49"/>
    </row>
    <row r="829" spans="1:20" ht="15.95" customHeight="1" x14ac:dyDescent="0.2">
      <c r="A829" s="35"/>
      <c r="B829" s="25" t="s">
        <v>1</v>
      </c>
      <c r="C829" s="6">
        <f>D829+E829+F829+G829+H829</f>
        <v>40000</v>
      </c>
      <c r="D829" s="8">
        <f>50000-10000</f>
        <v>40000</v>
      </c>
      <c r="E829" s="8"/>
      <c r="F829" s="8"/>
      <c r="G829" s="8"/>
      <c r="H829" s="8"/>
      <c r="I829" s="44"/>
      <c r="J829" s="44"/>
      <c r="K829" s="44"/>
      <c r="L829" s="44"/>
      <c r="M829" s="44"/>
      <c r="N829" s="44"/>
      <c r="O829" s="44"/>
      <c r="P829" s="47"/>
      <c r="Q829" s="44"/>
      <c r="R829" s="44"/>
      <c r="S829" s="44"/>
      <c r="T829" s="49"/>
    </row>
    <row r="830" spans="1:20" ht="15.95" customHeight="1" x14ac:dyDescent="0.2">
      <c r="A830" s="35"/>
      <c r="B830" s="25" t="s">
        <v>2</v>
      </c>
      <c r="C830" s="6">
        <f>D830+E830+F830+G830+H830</f>
        <v>0</v>
      </c>
      <c r="D830" s="8"/>
      <c r="E830" s="8"/>
      <c r="F830" s="8"/>
      <c r="G830" s="8"/>
      <c r="H830" s="8"/>
      <c r="I830" s="44"/>
      <c r="J830" s="44"/>
      <c r="K830" s="44"/>
      <c r="L830" s="44"/>
      <c r="M830" s="44"/>
      <c r="N830" s="44"/>
      <c r="O830" s="44"/>
      <c r="P830" s="47"/>
      <c r="Q830" s="44"/>
      <c r="R830" s="44"/>
      <c r="S830" s="44"/>
      <c r="T830" s="49"/>
    </row>
    <row r="831" spans="1:20" ht="15.95" customHeight="1" x14ac:dyDescent="0.2">
      <c r="A831" s="36"/>
      <c r="B831" s="25" t="s">
        <v>3</v>
      </c>
      <c r="C831" s="6">
        <f>D831+E831+F831+G831+H831</f>
        <v>0</v>
      </c>
      <c r="D831" s="8"/>
      <c r="E831" s="8"/>
      <c r="F831" s="8"/>
      <c r="G831" s="8"/>
      <c r="H831" s="8"/>
      <c r="I831" s="45"/>
      <c r="J831" s="45"/>
      <c r="K831" s="45"/>
      <c r="L831" s="45"/>
      <c r="M831" s="45"/>
      <c r="N831" s="45"/>
      <c r="O831" s="45"/>
      <c r="P831" s="48"/>
      <c r="Q831" s="45"/>
      <c r="R831" s="45"/>
      <c r="S831" s="45"/>
      <c r="T831" s="49"/>
    </row>
    <row r="832" spans="1:20" ht="15.95" customHeight="1" x14ac:dyDescent="0.2">
      <c r="A832" s="34" t="s">
        <v>197</v>
      </c>
      <c r="B832" s="37" t="s">
        <v>526</v>
      </c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8"/>
    </row>
    <row r="833" spans="1:20" ht="30" customHeight="1" x14ac:dyDescent="0.2">
      <c r="A833" s="35" t="s">
        <v>74</v>
      </c>
      <c r="B833" s="54" t="s">
        <v>418</v>
      </c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</row>
    <row r="834" spans="1:20" ht="48" customHeight="1" x14ac:dyDescent="0.2">
      <c r="A834" s="35"/>
      <c r="B834" s="57" t="s">
        <v>147</v>
      </c>
      <c r="C834" s="58"/>
      <c r="D834" s="58"/>
      <c r="E834" s="58"/>
      <c r="F834" s="58"/>
      <c r="G834" s="58"/>
      <c r="H834" s="59"/>
      <c r="I834" s="43" t="s">
        <v>20</v>
      </c>
      <c r="J834" s="43"/>
      <c r="K834" s="43" t="s">
        <v>42</v>
      </c>
      <c r="L834" s="43" t="s">
        <v>126</v>
      </c>
      <c r="M834" s="43" t="s">
        <v>737</v>
      </c>
      <c r="N834" s="43" t="s">
        <v>57</v>
      </c>
      <c r="O834" s="43" t="s">
        <v>737</v>
      </c>
      <c r="P834" s="46" t="s">
        <v>148</v>
      </c>
      <c r="Q834" s="43" t="s">
        <v>33</v>
      </c>
      <c r="R834" s="43" t="s">
        <v>41</v>
      </c>
      <c r="S834" s="43" t="s">
        <v>35</v>
      </c>
      <c r="T834" s="43" t="s">
        <v>493</v>
      </c>
    </row>
    <row r="835" spans="1:20" ht="15.95" customHeight="1" x14ac:dyDescent="0.2">
      <c r="A835" s="35"/>
      <c r="B835" s="25" t="s">
        <v>5</v>
      </c>
      <c r="C835" s="6">
        <f>D835+E835+F835+G835+H835</f>
        <v>442656.9</v>
      </c>
      <c r="D835" s="8">
        <f t="shared" ref="D835:F835" si="283">SUM(D836:D839)</f>
        <v>342656.9</v>
      </c>
      <c r="E835" s="8">
        <f t="shared" si="283"/>
        <v>100000</v>
      </c>
      <c r="F835" s="8">
        <f t="shared" si="283"/>
        <v>0</v>
      </c>
      <c r="G835" s="8">
        <f t="shared" ref="G835:H835" si="284">SUM(G836:G839)</f>
        <v>0</v>
      </c>
      <c r="H835" s="8">
        <f t="shared" si="284"/>
        <v>0</v>
      </c>
      <c r="I835" s="44"/>
      <c r="J835" s="44"/>
      <c r="K835" s="44"/>
      <c r="L835" s="44"/>
      <c r="M835" s="44"/>
      <c r="N835" s="44"/>
      <c r="O835" s="44"/>
      <c r="P835" s="47"/>
      <c r="Q835" s="44"/>
      <c r="R835" s="44"/>
      <c r="S835" s="44"/>
      <c r="T835" s="44"/>
    </row>
    <row r="836" spans="1:20" ht="15.95" customHeight="1" x14ac:dyDescent="0.2">
      <c r="A836" s="35"/>
      <c r="B836" s="25" t="s">
        <v>0</v>
      </c>
      <c r="C836" s="6">
        <f>D836+E836+F836+G836+H836</f>
        <v>397656.9</v>
      </c>
      <c r="D836" s="8">
        <f>397656.9-100000</f>
        <v>297656.90000000002</v>
      </c>
      <c r="E836" s="8">
        <f>0+100000</f>
        <v>100000</v>
      </c>
      <c r="F836" s="8"/>
      <c r="G836" s="8"/>
      <c r="H836" s="8"/>
      <c r="I836" s="44"/>
      <c r="J836" s="44"/>
      <c r="K836" s="44"/>
      <c r="L836" s="44"/>
      <c r="M836" s="44"/>
      <c r="N836" s="44"/>
      <c r="O836" s="44"/>
      <c r="P836" s="47"/>
      <c r="Q836" s="44"/>
      <c r="R836" s="44"/>
      <c r="S836" s="44"/>
      <c r="T836" s="44"/>
    </row>
    <row r="837" spans="1:20" ht="15.95" customHeight="1" x14ac:dyDescent="0.2">
      <c r="A837" s="35"/>
      <c r="B837" s="25" t="s">
        <v>1</v>
      </c>
      <c r="C837" s="6">
        <f>D837+E837+F837+G837+H837</f>
        <v>45000</v>
      </c>
      <c r="D837" s="8">
        <f>50000-5000</f>
        <v>45000</v>
      </c>
      <c r="E837" s="8"/>
      <c r="F837" s="8"/>
      <c r="G837" s="8"/>
      <c r="H837" s="8"/>
      <c r="I837" s="44"/>
      <c r="J837" s="44"/>
      <c r="K837" s="44"/>
      <c r="L837" s="44"/>
      <c r="M837" s="44"/>
      <c r="N837" s="44"/>
      <c r="O837" s="44"/>
      <c r="P837" s="47"/>
      <c r="Q837" s="44"/>
      <c r="R837" s="44"/>
      <c r="S837" s="44"/>
      <c r="T837" s="44"/>
    </row>
    <row r="838" spans="1:20" ht="15.95" customHeight="1" x14ac:dyDescent="0.2">
      <c r="A838" s="35"/>
      <c r="B838" s="25" t="s">
        <v>2</v>
      </c>
      <c r="C838" s="6">
        <f>D838+E838+F838+G838+H838</f>
        <v>0</v>
      </c>
      <c r="D838" s="8"/>
      <c r="E838" s="8"/>
      <c r="F838" s="8"/>
      <c r="G838" s="8"/>
      <c r="H838" s="8"/>
      <c r="I838" s="44"/>
      <c r="J838" s="44"/>
      <c r="K838" s="44"/>
      <c r="L838" s="44"/>
      <c r="M838" s="44"/>
      <c r="N838" s="44"/>
      <c r="O838" s="44"/>
      <c r="P838" s="47"/>
      <c r="Q838" s="44"/>
      <c r="R838" s="44"/>
      <c r="S838" s="44"/>
      <c r="T838" s="44"/>
    </row>
    <row r="839" spans="1:20" ht="15.95" customHeight="1" x14ac:dyDescent="0.2">
      <c r="A839" s="36"/>
      <c r="B839" s="25" t="s">
        <v>3</v>
      </c>
      <c r="C839" s="6">
        <f>D839+E839+F839+G839+H839</f>
        <v>0</v>
      </c>
      <c r="D839" s="8"/>
      <c r="E839" s="8"/>
      <c r="F839" s="8"/>
      <c r="G839" s="8"/>
      <c r="H839" s="8"/>
      <c r="I839" s="45"/>
      <c r="J839" s="45"/>
      <c r="K839" s="45"/>
      <c r="L839" s="45"/>
      <c r="M839" s="45"/>
      <c r="N839" s="45"/>
      <c r="O839" s="45"/>
      <c r="P839" s="48"/>
      <c r="Q839" s="45"/>
      <c r="R839" s="45"/>
      <c r="S839" s="45"/>
      <c r="T839" s="45"/>
    </row>
    <row r="840" spans="1:20" ht="15.95" customHeight="1" x14ac:dyDescent="0.2">
      <c r="A840" s="34" t="s">
        <v>198</v>
      </c>
      <c r="B840" s="37" t="s">
        <v>57</v>
      </c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8"/>
    </row>
    <row r="841" spans="1:20" ht="15.95" customHeight="1" x14ac:dyDescent="0.2">
      <c r="A841" s="35" t="s">
        <v>74</v>
      </c>
      <c r="B841" s="54" t="s">
        <v>149</v>
      </c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</row>
    <row r="842" spans="1:20" ht="48" customHeight="1" x14ac:dyDescent="0.2">
      <c r="A842" s="35"/>
      <c r="B842" s="57" t="s">
        <v>274</v>
      </c>
      <c r="C842" s="58"/>
      <c r="D842" s="58"/>
      <c r="E842" s="58"/>
      <c r="F842" s="58"/>
      <c r="G842" s="58"/>
      <c r="H842" s="59"/>
      <c r="I842" s="49" t="s">
        <v>420</v>
      </c>
      <c r="J842" s="49"/>
      <c r="K842" s="49" t="s">
        <v>47</v>
      </c>
      <c r="L842" s="49" t="s">
        <v>275</v>
      </c>
      <c r="M842" s="49" t="s">
        <v>67</v>
      </c>
      <c r="N842" s="49" t="s">
        <v>68</v>
      </c>
      <c r="O842" s="49" t="s">
        <v>68</v>
      </c>
      <c r="P842" s="75" t="s">
        <v>429</v>
      </c>
      <c r="Q842" s="49" t="s">
        <v>7</v>
      </c>
      <c r="R842" s="49" t="s">
        <v>67</v>
      </c>
      <c r="S842" s="49" t="s">
        <v>34</v>
      </c>
      <c r="T842" s="49" t="s">
        <v>494</v>
      </c>
    </row>
    <row r="843" spans="1:20" ht="15.95" customHeight="1" x14ac:dyDescent="0.2">
      <c r="A843" s="35"/>
      <c r="B843" s="25" t="s">
        <v>5</v>
      </c>
      <c r="C843" s="6">
        <f t="shared" ref="C843:C844" si="285">D843+E843+F843+G843+H843</f>
        <v>351328.32377999998</v>
      </c>
      <c r="D843" s="8">
        <f t="shared" ref="D843" si="286">SUM(D844:D847)</f>
        <v>65628.235520000002</v>
      </c>
      <c r="E843" s="8">
        <f t="shared" ref="E843" si="287">SUM(E844:E847)</f>
        <v>81614.92714</v>
      </c>
      <c r="F843" s="8">
        <f t="shared" ref="F843" si="288">SUM(F844:F847)</f>
        <v>36181.120880000002</v>
      </c>
      <c r="G843" s="8">
        <f t="shared" ref="G843" si="289">SUM(G844:G847)</f>
        <v>68864.815999999992</v>
      </c>
      <c r="H843" s="8">
        <f t="shared" ref="H843" si="290">SUM(H844:H847)</f>
        <v>99039.224239999996</v>
      </c>
      <c r="I843" s="49"/>
      <c r="J843" s="49"/>
      <c r="K843" s="49"/>
      <c r="L843" s="49"/>
      <c r="M843" s="49"/>
      <c r="N843" s="49"/>
      <c r="O843" s="49"/>
      <c r="P843" s="75"/>
      <c r="Q843" s="49"/>
      <c r="R843" s="49"/>
      <c r="S843" s="49"/>
      <c r="T843" s="49"/>
    </row>
    <row r="844" spans="1:20" ht="15.95" customHeight="1" x14ac:dyDescent="0.2">
      <c r="A844" s="35"/>
      <c r="B844" s="25" t="s">
        <v>0</v>
      </c>
      <c r="C844" s="6">
        <f t="shared" si="285"/>
        <v>69089.100000000006</v>
      </c>
      <c r="D844" s="8">
        <f>0+20000</f>
        <v>20000</v>
      </c>
      <c r="E844" s="8">
        <f>0+49089.1</f>
        <v>49089.1</v>
      </c>
      <c r="F844" s="8"/>
      <c r="G844" s="8"/>
      <c r="H844" s="8"/>
      <c r="I844" s="49"/>
      <c r="J844" s="49"/>
      <c r="K844" s="49"/>
      <c r="L844" s="49"/>
      <c r="M844" s="49"/>
      <c r="N844" s="49"/>
      <c r="O844" s="49"/>
      <c r="P844" s="75"/>
      <c r="Q844" s="49"/>
      <c r="R844" s="49"/>
      <c r="S844" s="49"/>
      <c r="T844" s="49"/>
    </row>
    <row r="845" spans="1:20" ht="15.95" customHeight="1" x14ac:dyDescent="0.2">
      <c r="A845" s="35"/>
      <c r="B845" s="25" t="s">
        <v>1</v>
      </c>
      <c r="C845" s="6">
        <f>D845+E845+F845+G845+H845</f>
        <v>276617.12685320002</v>
      </c>
      <c r="D845" s="8">
        <f>27813.47114-498.174+17409.577</f>
        <v>44724.87414</v>
      </c>
      <c r="E845" s="8">
        <f>31888.511158-718.072+718.072</f>
        <v>31888.511158000001</v>
      </c>
      <c r="F845" s="8">
        <f>36299.78212-842</f>
        <v>35457.782120000003</v>
      </c>
      <c r="G845" s="8">
        <v>67487.519679999998</v>
      </c>
      <c r="H845" s="8">
        <v>97058.439755200001</v>
      </c>
      <c r="I845" s="49"/>
      <c r="J845" s="49"/>
      <c r="K845" s="49"/>
      <c r="L845" s="49"/>
      <c r="M845" s="49"/>
      <c r="N845" s="49"/>
      <c r="O845" s="49"/>
      <c r="P845" s="75"/>
      <c r="Q845" s="49"/>
      <c r="R845" s="49"/>
      <c r="S845" s="49"/>
      <c r="T845" s="49"/>
    </row>
    <row r="846" spans="1:20" ht="15.95" customHeight="1" x14ac:dyDescent="0.2">
      <c r="A846" s="35"/>
      <c r="B846" s="25" t="s">
        <v>2</v>
      </c>
      <c r="C846" s="6">
        <f t="shared" ref="C846:C847" si="291">D846+E846+F846+G846+H846</f>
        <v>5622.0969267999999</v>
      </c>
      <c r="D846" s="8">
        <f>567.62186-10.3898+346.12932</f>
        <v>903.36137999999994</v>
      </c>
      <c r="E846" s="8">
        <f>650.785942-14.90898+1.43902</f>
        <v>637.31598199999996</v>
      </c>
      <c r="F846" s="8">
        <f>740.81188-17.47312</f>
        <v>723.33875999999998</v>
      </c>
      <c r="G846" s="8">
        <v>1377.2963199999999</v>
      </c>
      <c r="H846" s="8">
        <v>1980.7844848</v>
      </c>
      <c r="I846" s="49"/>
      <c r="J846" s="49"/>
      <c r="K846" s="49"/>
      <c r="L846" s="49"/>
      <c r="M846" s="49"/>
      <c r="N846" s="49"/>
      <c r="O846" s="49"/>
      <c r="P846" s="75"/>
      <c r="Q846" s="49"/>
      <c r="R846" s="49"/>
      <c r="S846" s="49"/>
      <c r="T846" s="49"/>
    </row>
    <row r="847" spans="1:20" ht="15.95" customHeight="1" x14ac:dyDescent="0.2">
      <c r="A847" s="36"/>
      <c r="B847" s="25" t="s">
        <v>3</v>
      </c>
      <c r="C847" s="6">
        <f t="shared" si="291"/>
        <v>0</v>
      </c>
      <c r="D847" s="8"/>
      <c r="E847" s="8"/>
      <c r="F847" s="8"/>
      <c r="G847" s="8"/>
      <c r="H847" s="8"/>
      <c r="I847" s="49"/>
      <c r="J847" s="49"/>
      <c r="K847" s="49"/>
      <c r="L847" s="49"/>
      <c r="M847" s="49"/>
      <c r="N847" s="49"/>
      <c r="O847" s="49"/>
      <c r="P847" s="75"/>
      <c r="Q847" s="49"/>
      <c r="R847" s="49"/>
      <c r="S847" s="49"/>
      <c r="T847" s="49"/>
    </row>
    <row r="848" spans="1:20" ht="15.95" customHeight="1" x14ac:dyDescent="0.2">
      <c r="A848" s="34" t="s">
        <v>199</v>
      </c>
      <c r="B848" s="37" t="s">
        <v>57</v>
      </c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8"/>
    </row>
    <row r="849" spans="1:20" ht="15.95" customHeight="1" x14ac:dyDescent="0.2">
      <c r="A849" s="35" t="s">
        <v>74</v>
      </c>
      <c r="B849" s="54" t="s">
        <v>149</v>
      </c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</row>
    <row r="850" spans="1:20" ht="48" customHeight="1" x14ac:dyDescent="0.2">
      <c r="A850" s="35"/>
      <c r="B850" s="57" t="s">
        <v>516</v>
      </c>
      <c r="C850" s="58"/>
      <c r="D850" s="58"/>
      <c r="E850" s="58"/>
      <c r="F850" s="58"/>
      <c r="G850" s="58"/>
      <c r="H850" s="59"/>
      <c r="I850" s="49"/>
      <c r="J850" s="49" t="s">
        <v>20</v>
      </c>
      <c r="K850" s="49" t="s">
        <v>47</v>
      </c>
      <c r="L850" s="49" t="s">
        <v>276</v>
      </c>
      <c r="M850" s="49" t="s">
        <v>69</v>
      </c>
      <c r="N850" s="49" t="s">
        <v>173</v>
      </c>
      <c r="O850" s="49" t="s">
        <v>173</v>
      </c>
      <c r="P850" s="75" t="s">
        <v>430</v>
      </c>
      <c r="Q850" s="49" t="s">
        <v>7</v>
      </c>
      <c r="R850" s="49" t="s">
        <v>69</v>
      </c>
      <c r="S850" s="49" t="s">
        <v>25</v>
      </c>
      <c r="T850" s="49"/>
    </row>
    <row r="851" spans="1:20" ht="15.95" customHeight="1" x14ac:dyDescent="0.2">
      <c r="A851" s="35"/>
      <c r="B851" s="25" t="s">
        <v>5</v>
      </c>
      <c r="C851" s="6">
        <f t="shared" ref="C851:C852" si="292">D851+E851+F851+G851+H851</f>
        <v>10204.081630000001</v>
      </c>
      <c r="D851" s="8">
        <f t="shared" ref="D851:F851" si="293">SUM(D852:D855)</f>
        <v>10204.081630000001</v>
      </c>
      <c r="E851" s="8">
        <f t="shared" si="293"/>
        <v>0</v>
      </c>
      <c r="F851" s="8">
        <f t="shared" si="293"/>
        <v>0</v>
      </c>
      <c r="G851" s="8">
        <f t="shared" ref="G851" si="294">SUM(G852:G855)</f>
        <v>0</v>
      </c>
      <c r="H851" s="8">
        <f t="shared" ref="H851" si="295">SUM(H852:H855)</f>
        <v>0</v>
      </c>
      <c r="I851" s="49"/>
      <c r="J851" s="49"/>
      <c r="K851" s="49"/>
      <c r="L851" s="49"/>
      <c r="M851" s="49"/>
      <c r="N851" s="49"/>
      <c r="O851" s="49"/>
      <c r="P851" s="75"/>
      <c r="Q851" s="49"/>
      <c r="R851" s="49"/>
      <c r="S851" s="49"/>
      <c r="T851" s="49"/>
    </row>
    <row r="852" spans="1:20" ht="15.95" customHeight="1" x14ac:dyDescent="0.2">
      <c r="A852" s="35"/>
      <c r="B852" s="25" t="s">
        <v>0</v>
      </c>
      <c r="C852" s="6">
        <f t="shared" si="292"/>
        <v>0</v>
      </c>
      <c r="D852" s="8"/>
      <c r="E852" s="8"/>
      <c r="F852" s="8"/>
      <c r="G852" s="8"/>
      <c r="H852" s="8"/>
      <c r="I852" s="49"/>
      <c r="J852" s="49"/>
      <c r="K852" s="49"/>
      <c r="L852" s="49"/>
      <c r="M852" s="49"/>
      <c r="N852" s="49"/>
      <c r="O852" s="49"/>
      <c r="P852" s="75"/>
      <c r="Q852" s="49"/>
      <c r="R852" s="49"/>
      <c r="S852" s="49"/>
      <c r="T852" s="49"/>
    </row>
    <row r="853" spans="1:20" ht="15.95" customHeight="1" x14ac:dyDescent="0.2">
      <c r="A853" s="35"/>
      <c r="B853" s="25" t="s">
        <v>1</v>
      </c>
      <c r="C853" s="6">
        <f>D853+E853+F853+G853+H853</f>
        <v>10000</v>
      </c>
      <c r="D853" s="8">
        <v>10000</v>
      </c>
      <c r="E853" s="8"/>
      <c r="F853" s="8"/>
      <c r="G853" s="8"/>
      <c r="H853" s="8"/>
      <c r="I853" s="49"/>
      <c r="J853" s="49"/>
      <c r="K853" s="49"/>
      <c r="L853" s="49"/>
      <c r="M853" s="49"/>
      <c r="N853" s="49"/>
      <c r="O853" s="49"/>
      <c r="P853" s="75"/>
      <c r="Q853" s="49"/>
      <c r="R853" s="49"/>
      <c r="S853" s="49"/>
      <c r="T853" s="49"/>
    </row>
    <row r="854" spans="1:20" ht="15.95" customHeight="1" x14ac:dyDescent="0.2">
      <c r="A854" s="35"/>
      <c r="B854" s="25" t="s">
        <v>2</v>
      </c>
      <c r="C854" s="6">
        <f t="shared" ref="C854:C855" si="296">D854+E854+F854+G854+H854</f>
        <v>204.08162999999999</v>
      </c>
      <c r="D854" s="8">
        <v>204.08162999999999</v>
      </c>
      <c r="E854" s="8"/>
      <c r="F854" s="8"/>
      <c r="G854" s="8"/>
      <c r="H854" s="8"/>
      <c r="I854" s="49"/>
      <c r="J854" s="49"/>
      <c r="K854" s="49"/>
      <c r="L854" s="49"/>
      <c r="M854" s="49"/>
      <c r="N854" s="49"/>
      <c r="O854" s="49"/>
      <c r="P854" s="75"/>
      <c r="Q854" s="49"/>
      <c r="R854" s="49"/>
      <c r="S854" s="49"/>
      <c r="T854" s="49"/>
    </row>
    <row r="855" spans="1:20" ht="15.95" customHeight="1" x14ac:dyDescent="0.2">
      <c r="A855" s="36"/>
      <c r="B855" s="25" t="s">
        <v>3</v>
      </c>
      <c r="C855" s="6">
        <f t="shared" si="296"/>
        <v>0</v>
      </c>
      <c r="D855" s="8"/>
      <c r="E855" s="8"/>
      <c r="F855" s="8"/>
      <c r="G855" s="8"/>
      <c r="H855" s="8"/>
      <c r="I855" s="49"/>
      <c r="J855" s="49"/>
      <c r="K855" s="49"/>
      <c r="L855" s="49"/>
      <c r="M855" s="49"/>
      <c r="N855" s="49"/>
      <c r="O855" s="49"/>
      <c r="P855" s="75"/>
      <c r="Q855" s="49"/>
      <c r="R855" s="49"/>
      <c r="S855" s="49"/>
      <c r="T855" s="49"/>
    </row>
    <row r="856" spans="1:20" ht="15.95" customHeight="1" x14ac:dyDescent="0.2">
      <c r="A856" s="34" t="s">
        <v>200</v>
      </c>
      <c r="B856" s="37" t="s">
        <v>57</v>
      </c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8"/>
    </row>
    <row r="857" spans="1:20" ht="15.95" customHeight="1" x14ac:dyDescent="0.2">
      <c r="A857" s="35" t="s">
        <v>74</v>
      </c>
      <c r="B857" s="54" t="s">
        <v>149</v>
      </c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</row>
    <row r="858" spans="1:20" ht="39.950000000000003" customHeight="1" x14ac:dyDescent="0.2">
      <c r="A858" s="35"/>
      <c r="B858" s="57" t="s">
        <v>517</v>
      </c>
      <c r="C858" s="58"/>
      <c r="D858" s="58"/>
      <c r="E858" s="58"/>
      <c r="F858" s="58"/>
      <c r="G858" s="58"/>
      <c r="H858" s="59"/>
      <c r="I858" s="49" t="s">
        <v>23</v>
      </c>
      <c r="J858" s="49"/>
      <c r="K858" s="49" t="s">
        <v>47</v>
      </c>
      <c r="L858" s="49" t="s">
        <v>277</v>
      </c>
      <c r="M858" s="49" t="s">
        <v>383</v>
      </c>
      <c r="N858" s="49" t="s">
        <v>384</v>
      </c>
      <c r="O858" s="49" t="s">
        <v>383</v>
      </c>
      <c r="P858" s="75" t="s">
        <v>431</v>
      </c>
      <c r="Q858" s="49" t="s">
        <v>7</v>
      </c>
      <c r="R858" s="49" t="s">
        <v>383</v>
      </c>
      <c r="S858" s="49" t="s">
        <v>25</v>
      </c>
      <c r="T858" s="49"/>
    </row>
    <row r="859" spans="1:20" ht="15.95" customHeight="1" x14ac:dyDescent="0.2">
      <c r="A859" s="35"/>
      <c r="B859" s="25" t="s">
        <v>5</v>
      </c>
      <c r="C859" s="6">
        <f t="shared" ref="C859:C860" si="297">D859+E859+F859+G859+H859</f>
        <v>89446.938770000008</v>
      </c>
      <c r="D859" s="8">
        <f t="shared" ref="D859" si="298">SUM(D860:D863)</f>
        <v>10204.081630000001</v>
      </c>
      <c r="E859" s="8">
        <f t="shared" ref="E859:F859" si="299">SUM(E860:E863)</f>
        <v>79242.857140000007</v>
      </c>
      <c r="F859" s="8">
        <f t="shared" si="299"/>
        <v>0</v>
      </c>
      <c r="G859" s="8">
        <f t="shared" ref="G859" si="300">SUM(G860:G863)</f>
        <v>0</v>
      </c>
      <c r="H859" s="8">
        <f t="shared" ref="H859" si="301">SUM(H860:H863)</f>
        <v>0</v>
      </c>
      <c r="I859" s="49"/>
      <c r="J859" s="49"/>
      <c r="K859" s="49"/>
      <c r="L859" s="49"/>
      <c r="M859" s="49"/>
      <c r="N859" s="49"/>
      <c r="O859" s="49"/>
      <c r="P859" s="75"/>
      <c r="Q859" s="49"/>
      <c r="R859" s="49"/>
      <c r="S859" s="49"/>
      <c r="T859" s="49"/>
    </row>
    <row r="860" spans="1:20" ht="15.95" customHeight="1" x14ac:dyDescent="0.2">
      <c r="A860" s="35"/>
      <c r="B860" s="25" t="s">
        <v>0</v>
      </c>
      <c r="C860" s="6">
        <f t="shared" si="297"/>
        <v>0</v>
      </c>
      <c r="D860" s="8"/>
      <c r="E860" s="8"/>
      <c r="F860" s="8"/>
      <c r="G860" s="8"/>
      <c r="H860" s="8"/>
      <c r="I860" s="49"/>
      <c r="J860" s="49"/>
      <c r="K860" s="49"/>
      <c r="L860" s="49"/>
      <c r="M860" s="49"/>
      <c r="N860" s="49"/>
      <c r="O860" s="49"/>
      <c r="P860" s="75"/>
      <c r="Q860" s="49"/>
      <c r="R860" s="49"/>
      <c r="S860" s="49"/>
      <c r="T860" s="49"/>
    </row>
    <row r="861" spans="1:20" ht="15.95" customHeight="1" x14ac:dyDescent="0.2">
      <c r="A861" s="35"/>
      <c r="B861" s="25" t="s">
        <v>1</v>
      </c>
      <c r="C861" s="6">
        <f>D861+E861+F861+G861+H861</f>
        <v>87658</v>
      </c>
      <c r="D861" s="8">
        <v>10000</v>
      </c>
      <c r="E861" s="8">
        <v>77658</v>
      </c>
      <c r="F861" s="8"/>
      <c r="G861" s="8"/>
      <c r="H861" s="8"/>
      <c r="I861" s="49"/>
      <c r="J861" s="49"/>
      <c r="K861" s="49"/>
      <c r="L861" s="49"/>
      <c r="M861" s="49"/>
      <c r="N861" s="49"/>
      <c r="O861" s="49"/>
      <c r="P861" s="75"/>
      <c r="Q861" s="49"/>
      <c r="R861" s="49"/>
      <c r="S861" s="49"/>
      <c r="T861" s="49"/>
    </row>
    <row r="862" spans="1:20" ht="15.95" customHeight="1" x14ac:dyDescent="0.2">
      <c r="A862" s="35"/>
      <c r="B862" s="25" t="s">
        <v>2</v>
      </c>
      <c r="C862" s="6">
        <f t="shared" ref="C862:C863" si="302">D862+E862+F862+G862+H862</f>
        <v>1788.93877</v>
      </c>
      <c r="D862" s="8">
        <v>204.08162999999999</v>
      </c>
      <c r="E862" s="8">
        <v>1584.8571400000001</v>
      </c>
      <c r="F862" s="8"/>
      <c r="G862" s="8"/>
      <c r="H862" s="8"/>
      <c r="I862" s="49"/>
      <c r="J862" s="49"/>
      <c r="K862" s="49"/>
      <c r="L862" s="49"/>
      <c r="M862" s="49"/>
      <c r="N862" s="49"/>
      <c r="O862" s="49"/>
      <c r="P862" s="75"/>
      <c r="Q862" s="49"/>
      <c r="R862" s="49"/>
      <c r="S862" s="49"/>
      <c r="T862" s="49"/>
    </row>
    <row r="863" spans="1:20" ht="15.95" customHeight="1" x14ac:dyDescent="0.2">
      <c r="A863" s="36"/>
      <c r="B863" s="25" t="s">
        <v>3</v>
      </c>
      <c r="C863" s="6">
        <f t="shared" si="302"/>
        <v>0</v>
      </c>
      <c r="D863" s="8"/>
      <c r="E863" s="8"/>
      <c r="F863" s="8"/>
      <c r="G863" s="8"/>
      <c r="H863" s="8"/>
      <c r="I863" s="49"/>
      <c r="J863" s="49"/>
      <c r="K863" s="49"/>
      <c r="L863" s="49"/>
      <c r="M863" s="49"/>
      <c r="N863" s="49"/>
      <c r="O863" s="49"/>
      <c r="P863" s="75"/>
      <c r="Q863" s="49"/>
      <c r="R863" s="49"/>
      <c r="S863" s="49"/>
      <c r="T863" s="49"/>
    </row>
    <row r="864" spans="1:20" ht="15.95" customHeight="1" x14ac:dyDescent="0.2">
      <c r="A864" s="34" t="s">
        <v>201</v>
      </c>
      <c r="B864" s="37" t="s">
        <v>57</v>
      </c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8"/>
    </row>
    <row r="865" spans="1:20" ht="15.95" customHeight="1" x14ac:dyDescent="0.2">
      <c r="A865" s="35" t="s">
        <v>74</v>
      </c>
      <c r="B865" s="54" t="s">
        <v>149</v>
      </c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</row>
    <row r="866" spans="1:20" ht="39.950000000000003" customHeight="1" x14ac:dyDescent="0.2">
      <c r="A866" s="35"/>
      <c r="B866" s="57" t="s">
        <v>518</v>
      </c>
      <c r="C866" s="58"/>
      <c r="D866" s="58"/>
      <c r="E866" s="58"/>
      <c r="F866" s="58"/>
      <c r="G866" s="58"/>
      <c r="H866" s="59"/>
      <c r="I866" s="49"/>
      <c r="J866" s="49" t="s">
        <v>20</v>
      </c>
      <c r="K866" s="43" t="s">
        <v>456</v>
      </c>
      <c r="L866" s="49" t="s">
        <v>278</v>
      </c>
      <c r="M866" s="49" t="s">
        <v>254</v>
      </c>
      <c r="N866" s="49" t="s">
        <v>57</v>
      </c>
      <c r="O866" s="49" t="s">
        <v>65</v>
      </c>
      <c r="P866" s="75" t="s">
        <v>432</v>
      </c>
      <c r="Q866" s="49" t="s">
        <v>33</v>
      </c>
      <c r="R866" s="49" t="s">
        <v>8</v>
      </c>
      <c r="S866" s="49" t="s">
        <v>25</v>
      </c>
      <c r="T866" s="49"/>
    </row>
    <row r="867" spans="1:20" ht="15.95" customHeight="1" x14ac:dyDescent="0.2">
      <c r="A867" s="35"/>
      <c r="B867" s="25" t="s">
        <v>5</v>
      </c>
      <c r="C867" s="6">
        <f t="shared" ref="C867:C868" si="303">D867+E867+F867+G867+H867</f>
        <v>5000</v>
      </c>
      <c r="D867" s="8">
        <f t="shared" ref="D867:F867" si="304">SUM(D868:D871)</f>
        <v>5000</v>
      </c>
      <c r="E867" s="8">
        <f t="shared" si="304"/>
        <v>0</v>
      </c>
      <c r="F867" s="8">
        <f t="shared" si="304"/>
        <v>0</v>
      </c>
      <c r="G867" s="8">
        <f t="shared" ref="G867" si="305">SUM(G868:G871)</f>
        <v>0</v>
      </c>
      <c r="H867" s="8">
        <f t="shared" ref="H867" si="306">SUM(H868:H871)</f>
        <v>0</v>
      </c>
      <c r="I867" s="49"/>
      <c r="J867" s="49"/>
      <c r="K867" s="44"/>
      <c r="L867" s="49"/>
      <c r="M867" s="49"/>
      <c r="N867" s="49"/>
      <c r="O867" s="49"/>
      <c r="P867" s="75"/>
      <c r="Q867" s="49"/>
      <c r="R867" s="49"/>
      <c r="S867" s="49"/>
      <c r="T867" s="49"/>
    </row>
    <row r="868" spans="1:20" ht="15.95" customHeight="1" x14ac:dyDescent="0.2">
      <c r="A868" s="35"/>
      <c r="B868" s="25" t="s">
        <v>0</v>
      </c>
      <c r="C868" s="6">
        <f t="shared" si="303"/>
        <v>0</v>
      </c>
      <c r="D868" s="8"/>
      <c r="E868" s="8"/>
      <c r="F868" s="8"/>
      <c r="G868" s="8"/>
      <c r="H868" s="8"/>
      <c r="I868" s="49"/>
      <c r="J868" s="49"/>
      <c r="K868" s="44"/>
      <c r="L868" s="49"/>
      <c r="M868" s="49"/>
      <c r="N868" s="49"/>
      <c r="O868" s="49"/>
      <c r="P868" s="75"/>
      <c r="Q868" s="49"/>
      <c r="R868" s="49"/>
      <c r="S868" s="49"/>
      <c r="T868" s="49"/>
    </row>
    <row r="869" spans="1:20" ht="15.95" customHeight="1" x14ac:dyDescent="0.2">
      <c r="A869" s="35"/>
      <c r="B869" s="25" t="s">
        <v>1</v>
      </c>
      <c r="C869" s="6">
        <f>D869+E869+F869+G869+H869</f>
        <v>5000</v>
      </c>
      <c r="D869" s="8">
        <v>5000</v>
      </c>
      <c r="E869" s="8"/>
      <c r="F869" s="8"/>
      <c r="G869" s="8"/>
      <c r="H869" s="8"/>
      <c r="I869" s="49"/>
      <c r="J869" s="49"/>
      <c r="K869" s="44"/>
      <c r="L869" s="49"/>
      <c r="M869" s="49"/>
      <c r="N869" s="49"/>
      <c r="O869" s="49"/>
      <c r="P869" s="75"/>
      <c r="Q869" s="49"/>
      <c r="R869" s="49"/>
      <c r="S869" s="49"/>
      <c r="T869" s="49"/>
    </row>
    <row r="870" spans="1:20" ht="15.95" customHeight="1" x14ac:dyDescent="0.2">
      <c r="A870" s="35"/>
      <c r="B870" s="25" t="s">
        <v>2</v>
      </c>
      <c r="C870" s="6">
        <f t="shared" ref="C870:C871" si="307">D870+E870+F870+G870+H870</f>
        <v>0</v>
      </c>
      <c r="D870" s="8"/>
      <c r="E870" s="8"/>
      <c r="F870" s="8"/>
      <c r="G870" s="8"/>
      <c r="H870" s="8"/>
      <c r="I870" s="49"/>
      <c r="J870" s="49"/>
      <c r="K870" s="44"/>
      <c r="L870" s="49"/>
      <c r="M870" s="49"/>
      <c r="N870" s="49"/>
      <c r="O870" s="49"/>
      <c r="P870" s="75"/>
      <c r="Q870" s="49"/>
      <c r="R870" s="49"/>
      <c r="S870" s="49"/>
      <c r="T870" s="49"/>
    </row>
    <row r="871" spans="1:20" ht="15.95" customHeight="1" x14ac:dyDescent="0.2">
      <c r="A871" s="36"/>
      <c r="B871" s="25" t="s">
        <v>3</v>
      </c>
      <c r="C871" s="6">
        <f t="shared" si="307"/>
        <v>0</v>
      </c>
      <c r="D871" s="8"/>
      <c r="E871" s="8"/>
      <c r="F871" s="8"/>
      <c r="G871" s="8"/>
      <c r="H871" s="8"/>
      <c r="I871" s="49"/>
      <c r="J871" s="49"/>
      <c r="K871" s="45"/>
      <c r="L871" s="49"/>
      <c r="M871" s="49"/>
      <c r="N871" s="49"/>
      <c r="O871" s="49"/>
      <c r="P871" s="75"/>
      <c r="Q871" s="49"/>
      <c r="R871" s="49"/>
      <c r="S871" s="49"/>
      <c r="T871" s="49"/>
    </row>
    <row r="872" spans="1:20" ht="15.95" customHeight="1" x14ac:dyDescent="0.2">
      <c r="A872" s="34" t="s">
        <v>202</v>
      </c>
      <c r="B872" s="42" t="s">
        <v>57</v>
      </c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8"/>
    </row>
    <row r="873" spans="1:20" ht="15.95" customHeight="1" x14ac:dyDescent="0.2">
      <c r="A873" s="35" t="s">
        <v>74</v>
      </c>
      <c r="B873" s="56" t="s">
        <v>149</v>
      </c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</row>
    <row r="874" spans="1:20" ht="39.950000000000003" customHeight="1" x14ac:dyDescent="0.2">
      <c r="A874" s="35"/>
      <c r="B874" s="42" t="s">
        <v>412</v>
      </c>
      <c r="C874" s="37"/>
      <c r="D874" s="37"/>
      <c r="E874" s="37"/>
      <c r="F874" s="37"/>
      <c r="G874" s="37"/>
      <c r="H874" s="38"/>
      <c r="I874" s="43" t="s">
        <v>24</v>
      </c>
      <c r="J874" s="43"/>
      <c r="K874" s="43" t="s">
        <v>456</v>
      </c>
      <c r="L874" s="43" t="s">
        <v>279</v>
      </c>
      <c r="M874" s="43" t="s">
        <v>57</v>
      </c>
      <c r="N874" s="43" t="s">
        <v>57</v>
      </c>
      <c r="O874" s="43" t="s">
        <v>65</v>
      </c>
      <c r="P874" s="43" t="s">
        <v>433</v>
      </c>
      <c r="Q874" s="43" t="s">
        <v>33</v>
      </c>
      <c r="R874" s="43" t="s">
        <v>8</v>
      </c>
      <c r="S874" s="43" t="s">
        <v>34</v>
      </c>
      <c r="T874" s="43" t="s">
        <v>495</v>
      </c>
    </row>
    <row r="875" spans="1:20" ht="15.95" customHeight="1" x14ac:dyDescent="0.2">
      <c r="A875" s="35"/>
      <c r="B875" s="23" t="s">
        <v>5</v>
      </c>
      <c r="C875" s="6">
        <f t="shared" ref="C875:C876" si="308">D875+E875+F875+G875+H875</f>
        <v>90000</v>
      </c>
      <c r="D875" s="6">
        <f t="shared" ref="D875:F875" si="309">SUM(D876:D879)</f>
        <v>90000</v>
      </c>
      <c r="E875" s="6">
        <f t="shared" si="309"/>
        <v>0</v>
      </c>
      <c r="F875" s="6">
        <f t="shared" si="309"/>
        <v>0</v>
      </c>
      <c r="G875" s="6">
        <f t="shared" ref="G875" si="310">SUM(G876:G879)</f>
        <v>0</v>
      </c>
      <c r="H875" s="6">
        <f t="shared" ref="H875" si="311">SUM(H876:H879)</f>
        <v>0</v>
      </c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</row>
    <row r="876" spans="1:20" ht="15.95" customHeight="1" x14ac:dyDescent="0.2">
      <c r="A876" s="35"/>
      <c r="B876" s="23" t="s">
        <v>0</v>
      </c>
      <c r="C876" s="6">
        <f t="shared" si="308"/>
        <v>0</v>
      </c>
      <c r="D876" s="8"/>
      <c r="E876" s="8"/>
      <c r="F876" s="8"/>
      <c r="G876" s="8"/>
      <c r="H876" s="8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</row>
    <row r="877" spans="1:20" ht="15.95" customHeight="1" x14ac:dyDescent="0.2">
      <c r="A877" s="35"/>
      <c r="B877" s="23" t="s">
        <v>1</v>
      </c>
      <c r="C877" s="6">
        <f>D877+E877+F877+G877+H877</f>
        <v>90000</v>
      </c>
      <c r="D877" s="8">
        <v>90000</v>
      </c>
      <c r="E877" s="8"/>
      <c r="F877" s="8"/>
      <c r="G877" s="8"/>
      <c r="H877" s="8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</row>
    <row r="878" spans="1:20" ht="15.95" customHeight="1" x14ac:dyDescent="0.2">
      <c r="A878" s="35"/>
      <c r="B878" s="23" t="s">
        <v>2</v>
      </c>
      <c r="C878" s="6">
        <f t="shared" ref="C878:C879" si="312">D878+E878+F878+G878+H878</f>
        <v>0</v>
      </c>
      <c r="D878" s="8"/>
      <c r="E878" s="8"/>
      <c r="F878" s="8"/>
      <c r="G878" s="8"/>
      <c r="H878" s="8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</row>
    <row r="879" spans="1:20" ht="15.95" customHeight="1" x14ac:dyDescent="0.2">
      <c r="A879" s="36"/>
      <c r="B879" s="23" t="s">
        <v>3</v>
      </c>
      <c r="C879" s="6">
        <f t="shared" si="312"/>
        <v>0</v>
      </c>
      <c r="D879" s="8"/>
      <c r="E879" s="8"/>
      <c r="F879" s="8"/>
      <c r="G879" s="8"/>
      <c r="H879" s="8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</row>
    <row r="880" spans="1:20" ht="15.95" customHeight="1" x14ac:dyDescent="0.2">
      <c r="A880" s="34" t="s">
        <v>203</v>
      </c>
      <c r="B880" s="42" t="s">
        <v>57</v>
      </c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8"/>
    </row>
    <row r="881" spans="1:20" ht="15.95" customHeight="1" x14ac:dyDescent="0.2">
      <c r="A881" s="35" t="s">
        <v>74</v>
      </c>
      <c r="B881" s="56" t="s">
        <v>149</v>
      </c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</row>
    <row r="882" spans="1:20" ht="39.950000000000003" customHeight="1" x14ac:dyDescent="0.2">
      <c r="A882" s="35"/>
      <c r="B882" s="42" t="s">
        <v>519</v>
      </c>
      <c r="C882" s="37"/>
      <c r="D882" s="37"/>
      <c r="E882" s="37"/>
      <c r="F882" s="37"/>
      <c r="G882" s="37"/>
      <c r="H882" s="38"/>
      <c r="I882" s="43" t="s">
        <v>52</v>
      </c>
      <c r="J882" s="43" t="s">
        <v>20</v>
      </c>
      <c r="K882" s="43" t="s">
        <v>456</v>
      </c>
      <c r="L882" s="43" t="s">
        <v>255</v>
      </c>
      <c r="M882" s="43" t="s">
        <v>57</v>
      </c>
      <c r="N882" s="43" t="s">
        <v>57</v>
      </c>
      <c r="O882" s="43" t="s">
        <v>65</v>
      </c>
      <c r="P882" s="43" t="s">
        <v>434</v>
      </c>
      <c r="Q882" s="43" t="s">
        <v>33</v>
      </c>
      <c r="R882" s="43" t="s">
        <v>62</v>
      </c>
      <c r="S882" s="43" t="s">
        <v>25</v>
      </c>
      <c r="T882" s="43"/>
    </row>
    <row r="883" spans="1:20" ht="15.95" customHeight="1" x14ac:dyDescent="0.2">
      <c r="A883" s="35"/>
      <c r="B883" s="23" t="s">
        <v>5</v>
      </c>
      <c r="C883" s="6">
        <f t="shared" ref="C883:C884" si="313">D883+E883+F883+G883+H883</f>
        <v>59171.543570000002</v>
      </c>
      <c r="D883" s="6">
        <f t="shared" ref="D883:F883" si="314">SUM(D884:D887)</f>
        <v>2413.7892499999998</v>
      </c>
      <c r="E883" s="6">
        <f t="shared" si="314"/>
        <v>0</v>
      </c>
      <c r="F883" s="6">
        <f t="shared" si="314"/>
        <v>0</v>
      </c>
      <c r="G883" s="6">
        <f t="shared" ref="G883" si="315">SUM(G884:G887)</f>
        <v>56757.75432</v>
      </c>
      <c r="H883" s="6">
        <f t="shared" ref="H883" si="316">SUM(H884:H887)</f>
        <v>0</v>
      </c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</row>
    <row r="884" spans="1:20" ht="15.95" customHeight="1" x14ac:dyDescent="0.2">
      <c r="A884" s="35"/>
      <c r="B884" s="23" t="s">
        <v>0</v>
      </c>
      <c r="C884" s="6">
        <f t="shared" si="313"/>
        <v>0</v>
      </c>
      <c r="D884" s="8"/>
      <c r="E884" s="8"/>
      <c r="F884" s="8"/>
      <c r="G884" s="8"/>
      <c r="H884" s="8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</row>
    <row r="885" spans="1:20" ht="15.95" customHeight="1" x14ac:dyDescent="0.2">
      <c r="A885" s="35"/>
      <c r="B885" s="23" t="s">
        <v>1</v>
      </c>
      <c r="C885" s="6">
        <f>D885+E885+F885+G885+H885</f>
        <v>59171.543570000002</v>
      </c>
      <c r="D885" s="8">
        <v>2413.7892499999998</v>
      </c>
      <c r="E885" s="8"/>
      <c r="F885" s="8"/>
      <c r="G885" s="8">
        <v>56757.75432</v>
      </c>
      <c r="H885" s="8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</row>
    <row r="886" spans="1:20" ht="15.95" customHeight="1" x14ac:dyDescent="0.2">
      <c r="A886" s="35"/>
      <c r="B886" s="23" t="s">
        <v>2</v>
      </c>
      <c r="C886" s="6">
        <f t="shared" ref="C886:C887" si="317">D886+E886+F886+G886+H886</f>
        <v>0</v>
      </c>
      <c r="D886" s="8"/>
      <c r="E886" s="8"/>
      <c r="F886" s="8"/>
      <c r="G886" s="8"/>
      <c r="H886" s="8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</row>
    <row r="887" spans="1:20" ht="15.95" customHeight="1" x14ac:dyDescent="0.2">
      <c r="A887" s="36"/>
      <c r="B887" s="23" t="s">
        <v>3</v>
      </c>
      <c r="C887" s="6">
        <f t="shared" si="317"/>
        <v>0</v>
      </c>
      <c r="D887" s="8"/>
      <c r="E887" s="8"/>
      <c r="F887" s="8"/>
      <c r="G887" s="8"/>
      <c r="H887" s="8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</row>
    <row r="888" spans="1:20" ht="15.95" customHeight="1" x14ac:dyDescent="0.2">
      <c r="A888" s="34" t="s">
        <v>204</v>
      </c>
      <c r="B888" s="42" t="s">
        <v>57</v>
      </c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8"/>
    </row>
    <row r="889" spans="1:20" ht="15.95" customHeight="1" x14ac:dyDescent="0.2">
      <c r="A889" s="35" t="s">
        <v>74</v>
      </c>
      <c r="B889" s="56" t="s">
        <v>149</v>
      </c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</row>
    <row r="890" spans="1:20" ht="39.950000000000003" customHeight="1" x14ac:dyDescent="0.2">
      <c r="A890" s="35"/>
      <c r="B890" s="42" t="s">
        <v>520</v>
      </c>
      <c r="C890" s="37"/>
      <c r="D890" s="37"/>
      <c r="E890" s="37"/>
      <c r="F890" s="37"/>
      <c r="G890" s="37"/>
      <c r="H890" s="38"/>
      <c r="I890" s="43"/>
      <c r="J890" s="43" t="s">
        <v>20</v>
      </c>
      <c r="K890" s="43" t="s">
        <v>457</v>
      </c>
      <c r="L890" s="43" t="s">
        <v>280</v>
      </c>
      <c r="M890" s="43" t="s">
        <v>167</v>
      </c>
      <c r="N890" s="43" t="s">
        <v>256</v>
      </c>
      <c r="O890" s="43" t="s">
        <v>256</v>
      </c>
      <c r="P890" s="43"/>
      <c r="Q890" s="43" t="s">
        <v>522</v>
      </c>
      <c r="R890" s="43" t="s">
        <v>167</v>
      </c>
      <c r="S890" s="43" t="s">
        <v>25</v>
      </c>
      <c r="T890" s="43"/>
    </row>
    <row r="891" spans="1:20" ht="15.95" customHeight="1" x14ac:dyDescent="0.2">
      <c r="A891" s="35"/>
      <c r="B891" s="23" t="s">
        <v>5</v>
      </c>
      <c r="C891" s="6">
        <f t="shared" ref="C891:C892" si="318">D891+E891+F891+G891+H891</f>
        <v>6000</v>
      </c>
      <c r="D891" s="6">
        <f t="shared" ref="D891:F891" si="319">SUM(D892:D895)</f>
        <v>6000</v>
      </c>
      <c r="E891" s="6">
        <f t="shared" si="319"/>
        <v>0</v>
      </c>
      <c r="F891" s="6">
        <f t="shared" si="319"/>
        <v>0</v>
      </c>
      <c r="G891" s="6">
        <f t="shared" ref="G891" si="320">SUM(G892:G895)</f>
        <v>0</v>
      </c>
      <c r="H891" s="6">
        <f t="shared" ref="H891" si="321">SUM(H892:H895)</f>
        <v>0</v>
      </c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</row>
    <row r="892" spans="1:20" ht="15.95" customHeight="1" x14ac:dyDescent="0.2">
      <c r="A892" s="35"/>
      <c r="B892" s="23" t="s">
        <v>0</v>
      </c>
      <c r="C892" s="6">
        <f t="shared" si="318"/>
        <v>0</v>
      </c>
      <c r="D892" s="8"/>
      <c r="E892" s="8"/>
      <c r="F892" s="8"/>
      <c r="G892" s="8"/>
      <c r="H892" s="8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</row>
    <row r="893" spans="1:20" ht="15.95" customHeight="1" x14ac:dyDescent="0.2">
      <c r="A893" s="35"/>
      <c r="B893" s="23" t="s">
        <v>1</v>
      </c>
      <c r="C893" s="6">
        <f>D893+E893+F893+G893+H893</f>
        <v>5880</v>
      </c>
      <c r="D893" s="8">
        <v>5880</v>
      </c>
      <c r="E893" s="8"/>
      <c r="F893" s="8"/>
      <c r="G893" s="8"/>
      <c r="H893" s="8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</row>
    <row r="894" spans="1:20" ht="15.95" customHeight="1" x14ac:dyDescent="0.2">
      <c r="A894" s="35"/>
      <c r="B894" s="23" t="s">
        <v>2</v>
      </c>
      <c r="C894" s="6">
        <f>D894+E894+F894+G894+H894</f>
        <v>120</v>
      </c>
      <c r="D894" s="8">
        <v>120</v>
      </c>
      <c r="E894" s="8"/>
      <c r="F894" s="8"/>
      <c r="G894" s="8"/>
      <c r="H894" s="8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</row>
    <row r="895" spans="1:20" ht="15.95" customHeight="1" x14ac:dyDescent="0.2">
      <c r="A895" s="36"/>
      <c r="B895" s="23" t="s">
        <v>3</v>
      </c>
      <c r="C895" s="6">
        <f t="shared" ref="C895" si="322">D895+E895+F895+G895+H895</f>
        <v>0</v>
      </c>
      <c r="D895" s="8"/>
      <c r="E895" s="8"/>
      <c r="F895" s="8"/>
      <c r="G895" s="8"/>
      <c r="H895" s="8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</row>
    <row r="896" spans="1:20" ht="15.95" customHeight="1" x14ac:dyDescent="0.2">
      <c r="A896" s="34" t="s">
        <v>205</v>
      </c>
      <c r="B896" s="42" t="s">
        <v>57</v>
      </c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8"/>
    </row>
    <row r="897" spans="1:20" ht="15.95" customHeight="1" x14ac:dyDescent="0.2">
      <c r="A897" s="35" t="s">
        <v>74</v>
      </c>
      <c r="B897" s="56" t="s">
        <v>149</v>
      </c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</row>
    <row r="898" spans="1:20" ht="39.950000000000003" customHeight="1" x14ac:dyDescent="0.2">
      <c r="A898" s="35"/>
      <c r="B898" s="42" t="s">
        <v>521</v>
      </c>
      <c r="C898" s="37"/>
      <c r="D898" s="37"/>
      <c r="E898" s="37"/>
      <c r="F898" s="37"/>
      <c r="G898" s="37"/>
      <c r="H898" s="38"/>
      <c r="I898" s="43" t="s">
        <v>24</v>
      </c>
      <c r="J898" s="43" t="s">
        <v>20</v>
      </c>
      <c r="K898" s="43" t="s">
        <v>47</v>
      </c>
      <c r="L898" s="43"/>
      <c r="M898" s="43" t="s">
        <v>63</v>
      </c>
      <c r="N898" s="43" t="s">
        <v>413</v>
      </c>
      <c r="O898" s="43" t="s">
        <v>413</v>
      </c>
      <c r="P898" s="43"/>
      <c r="Q898" s="43" t="s">
        <v>7</v>
      </c>
      <c r="R898" s="43" t="s">
        <v>63</v>
      </c>
      <c r="S898" s="43" t="s">
        <v>25</v>
      </c>
      <c r="T898" s="43"/>
    </row>
    <row r="899" spans="1:20" ht="15.95" customHeight="1" x14ac:dyDescent="0.2">
      <c r="A899" s="35"/>
      <c r="B899" s="23" t="s">
        <v>5</v>
      </c>
      <c r="C899" s="6">
        <f t="shared" ref="C899:C900" si="323">D899+E899+F899+G899+H899</f>
        <v>18204.081630000001</v>
      </c>
      <c r="D899" s="6">
        <f t="shared" ref="D899:H899" si="324">SUM(D900:D903)</f>
        <v>18204.081630000001</v>
      </c>
      <c r="E899" s="6">
        <f t="shared" si="324"/>
        <v>0</v>
      </c>
      <c r="F899" s="6">
        <f t="shared" si="324"/>
        <v>0</v>
      </c>
      <c r="G899" s="6">
        <f t="shared" si="324"/>
        <v>0</v>
      </c>
      <c r="H899" s="6">
        <f t="shared" si="324"/>
        <v>0</v>
      </c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</row>
    <row r="900" spans="1:20" ht="15.95" customHeight="1" x14ac:dyDescent="0.2">
      <c r="A900" s="35"/>
      <c r="B900" s="23" t="s">
        <v>0</v>
      </c>
      <c r="C900" s="6">
        <f t="shared" si="323"/>
        <v>0</v>
      </c>
      <c r="D900" s="8"/>
      <c r="E900" s="8"/>
      <c r="F900" s="8"/>
      <c r="G900" s="8"/>
      <c r="H900" s="8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</row>
    <row r="901" spans="1:20" ht="15.95" customHeight="1" x14ac:dyDescent="0.2">
      <c r="A901" s="35"/>
      <c r="B901" s="23" t="s">
        <v>1</v>
      </c>
      <c r="C901" s="6">
        <f>D901+E901+F901+G901+H901</f>
        <v>18000</v>
      </c>
      <c r="D901" s="8">
        <v>18000</v>
      </c>
      <c r="E901" s="8"/>
      <c r="F901" s="8"/>
      <c r="G901" s="8"/>
      <c r="H901" s="8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</row>
    <row r="902" spans="1:20" ht="15.95" customHeight="1" x14ac:dyDescent="0.2">
      <c r="A902" s="35"/>
      <c r="B902" s="23" t="s">
        <v>2</v>
      </c>
      <c r="C902" s="6">
        <f t="shared" ref="C902:C903" si="325">D902+E902+F902+G902+H902</f>
        <v>204.08162999999999</v>
      </c>
      <c r="D902" s="8">
        <v>204.08162999999999</v>
      </c>
      <c r="E902" s="8"/>
      <c r="F902" s="8"/>
      <c r="G902" s="8"/>
      <c r="H902" s="8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</row>
    <row r="903" spans="1:20" ht="15.95" customHeight="1" x14ac:dyDescent="0.2">
      <c r="A903" s="36"/>
      <c r="B903" s="23" t="s">
        <v>3</v>
      </c>
      <c r="C903" s="6">
        <f t="shared" si="325"/>
        <v>0</v>
      </c>
      <c r="D903" s="8"/>
      <c r="E903" s="8"/>
      <c r="F903" s="8"/>
      <c r="G903" s="8"/>
      <c r="H903" s="8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</row>
    <row r="904" spans="1:20" ht="15.95" customHeight="1" x14ac:dyDescent="0.2">
      <c r="A904" s="34" t="s">
        <v>206</v>
      </c>
      <c r="B904" s="42" t="s">
        <v>57</v>
      </c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8"/>
    </row>
    <row r="905" spans="1:20" ht="15.95" customHeight="1" x14ac:dyDescent="0.2">
      <c r="A905" s="35"/>
      <c r="B905" s="56" t="s">
        <v>149</v>
      </c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</row>
    <row r="906" spans="1:20" ht="39.950000000000003" customHeight="1" x14ac:dyDescent="0.2">
      <c r="A906" s="35"/>
      <c r="B906" s="42" t="s">
        <v>297</v>
      </c>
      <c r="C906" s="37"/>
      <c r="D906" s="37"/>
      <c r="E906" s="37"/>
      <c r="F906" s="37"/>
      <c r="G906" s="37"/>
      <c r="H906" s="38"/>
      <c r="I906" s="43" t="s">
        <v>23</v>
      </c>
      <c r="J906" s="43"/>
      <c r="K906" s="43" t="s">
        <v>458</v>
      </c>
      <c r="L906" s="43" t="s">
        <v>298</v>
      </c>
      <c r="M906" s="43" t="s">
        <v>69</v>
      </c>
      <c r="N906" s="43" t="s">
        <v>57</v>
      </c>
      <c r="O906" s="43" t="s">
        <v>414</v>
      </c>
      <c r="P906" s="43" t="s">
        <v>299</v>
      </c>
      <c r="Q906" s="43" t="s">
        <v>7</v>
      </c>
      <c r="R906" s="43" t="s">
        <v>69</v>
      </c>
      <c r="S906" s="43" t="s">
        <v>34</v>
      </c>
      <c r="T906" s="43" t="s">
        <v>496</v>
      </c>
    </row>
    <row r="907" spans="1:20" ht="15.95" customHeight="1" x14ac:dyDescent="0.2">
      <c r="A907" s="35"/>
      <c r="B907" s="23" t="s">
        <v>5</v>
      </c>
      <c r="C907" s="6">
        <f t="shared" ref="C907:C908" si="326">D907+E907+F907+G907+H907</f>
        <v>363686.6</v>
      </c>
      <c r="D907" s="6">
        <f t="shared" ref="D907:H907" si="327">D908+D909+D910+D911+D912</f>
        <v>363686.6</v>
      </c>
      <c r="E907" s="6">
        <f t="shared" si="327"/>
        <v>0</v>
      </c>
      <c r="F907" s="6">
        <f t="shared" si="327"/>
        <v>0</v>
      </c>
      <c r="G907" s="6">
        <f t="shared" si="327"/>
        <v>0</v>
      </c>
      <c r="H907" s="6">
        <f t="shared" si="327"/>
        <v>0</v>
      </c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</row>
    <row r="908" spans="1:20" ht="15.95" customHeight="1" x14ac:dyDescent="0.2">
      <c r="A908" s="35"/>
      <c r="B908" s="23" t="s">
        <v>0</v>
      </c>
      <c r="C908" s="6">
        <f t="shared" si="326"/>
        <v>0</v>
      </c>
      <c r="D908" s="8"/>
      <c r="E908" s="8"/>
      <c r="F908" s="8"/>
      <c r="G908" s="8"/>
      <c r="H908" s="8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</row>
    <row r="909" spans="1:20" ht="15.95" customHeight="1" x14ac:dyDescent="0.2">
      <c r="A909" s="35"/>
      <c r="B909" s="23" t="s">
        <v>1</v>
      </c>
      <c r="C909" s="6">
        <f>D909+E909+F909+G909+H909</f>
        <v>38000</v>
      </c>
      <c r="D909" s="8">
        <v>38000</v>
      </c>
      <c r="E909" s="8"/>
      <c r="F909" s="8"/>
      <c r="G909" s="8"/>
      <c r="H909" s="8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</row>
    <row r="910" spans="1:20" ht="15.95" customHeight="1" x14ac:dyDescent="0.2">
      <c r="A910" s="35"/>
      <c r="B910" s="23" t="s">
        <v>2</v>
      </c>
      <c r="C910" s="6">
        <f t="shared" ref="C910:C912" si="328">D910+E910+F910+G910+H910</f>
        <v>64305.203999999998</v>
      </c>
      <c r="D910" s="8">
        <v>64305.203999999998</v>
      </c>
      <c r="E910" s="8"/>
      <c r="F910" s="8"/>
      <c r="G910" s="8"/>
      <c r="H910" s="8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</row>
    <row r="911" spans="1:20" ht="45" customHeight="1" x14ac:dyDescent="0.2">
      <c r="A911" s="35"/>
      <c r="B911" s="23" t="s">
        <v>459</v>
      </c>
      <c r="C911" s="6">
        <f t="shared" si="328"/>
        <v>68394.186000000002</v>
      </c>
      <c r="D911" s="8">
        <v>68394.186000000002</v>
      </c>
      <c r="E911" s="8"/>
      <c r="F911" s="8"/>
      <c r="G911" s="8"/>
      <c r="H911" s="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</row>
    <row r="912" spans="1:20" ht="39.950000000000003" customHeight="1" x14ac:dyDescent="0.2">
      <c r="A912" s="36"/>
      <c r="B912" s="23" t="s">
        <v>230</v>
      </c>
      <c r="C912" s="6">
        <f t="shared" si="328"/>
        <v>192987.21</v>
      </c>
      <c r="D912" s="8">
        <v>192987.21</v>
      </c>
      <c r="E912" s="8"/>
      <c r="F912" s="8"/>
      <c r="G912" s="8"/>
      <c r="H912" s="4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</row>
    <row r="913" spans="1:20" ht="15.95" customHeight="1" x14ac:dyDescent="0.2">
      <c r="A913" s="34" t="s">
        <v>524</v>
      </c>
      <c r="B913" s="42" t="s">
        <v>57</v>
      </c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8"/>
    </row>
    <row r="914" spans="1:20" ht="15.95" customHeight="1" x14ac:dyDescent="0.2">
      <c r="A914" s="35"/>
      <c r="B914" s="56" t="s">
        <v>149</v>
      </c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</row>
    <row r="915" spans="1:20" ht="38.1" customHeight="1" x14ac:dyDescent="0.2">
      <c r="A915" s="35"/>
      <c r="B915" s="42" t="s">
        <v>525</v>
      </c>
      <c r="C915" s="37"/>
      <c r="D915" s="37"/>
      <c r="E915" s="37"/>
      <c r="F915" s="37"/>
      <c r="G915" s="37"/>
      <c r="H915" s="38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</row>
    <row r="916" spans="1:20" ht="15.95" customHeight="1" x14ac:dyDescent="0.2">
      <c r="A916" s="35"/>
      <c r="B916" s="23" t="s">
        <v>5</v>
      </c>
      <c r="C916" s="6">
        <f t="shared" ref="C916:C917" si="329">D916+E916+F916+G916+H916</f>
        <v>84751.487370000003</v>
      </c>
      <c r="D916" s="6">
        <f t="shared" ref="D916:H916" si="330">SUM(D917:D920)</f>
        <v>0</v>
      </c>
      <c r="E916" s="6">
        <f t="shared" si="330"/>
        <v>0</v>
      </c>
      <c r="F916" s="6">
        <f t="shared" si="330"/>
        <v>84751.487370000003</v>
      </c>
      <c r="G916" s="6">
        <f t="shared" si="330"/>
        <v>0</v>
      </c>
      <c r="H916" s="6">
        <f t="shared" si="330"/>
        <v>0</v>
      </c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</row>
    <row r="917" spans="1:20" ht="15.95" customHeight="1" x14ac:dyDescent="0.2">
      <c r="A917" s="35"/>
      <c r="B917" s="23" t="s">
        <v>0</v>
      </c>
      <c r="C917" s="6">
        <f t="shared" si="329"/>
        <v>83907.8</v>
      </c>
      <c r="D917" s="8">
        <f>0+49319.2-49319.2</f>
        <v>0</v>
      </c>
      <c r="E917" s="8">
        <f>0+71089.1-71089.1</f>
        <v>0</v>
      </c>
      <c r="F917" s="8">
        <f>0+83907.8</f>
        <v>83907.8</v>
      </c>
      <c r="G917" s="8"/>
      <c r="H917" s="8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</row>
    <row r="918" spans="1:20" ht="15.95" customHeight="1" x14ac:dyDescent="0.2">
      <c r="A918" s="35"/>
      <c r="B918" s="23" t="s">
        <v>1</v>
      </c>
      <c r="C918" s="6">
        <f>D918+E918+F918+G918+H918</f>
        <v>842</v>
      </c>
      <c r="D918" s="8">
        <f>0+498.174-498.174</f>
        <v>0</v>
      </c>
      <c r="E918" s="8">
        <f>0+718.072-718.072</f>
        <v>0</v>
      </c>
      <c r="F918" s="8">
        <f>0+842</f>
        <v>842</v>
      </c>
      <c r="G918" s="8"/>
      <c r="H918" s="8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</row>
    <row r="919" spans="1:20" ht="15.95" customHeight="1" x14ac:dyDescent="0.2">
      <c r="A919" s="35"/>
      <c r="B919" s="23" t="s">
        <v>2</v>
      </c>
      <c r="C919" s="6">
        <f t="shared" ref="C919:C920" si="331">D919+E919+F919+G919+H919</f>
        <v>1.68737</v>
      </c>
      <c r="D919" s="8">
        <f>0+0.99834-0.99834</f>
        <v>0</v>
      </c>
      <c r="E919" s="8">
        <f>0+1.43902-1.43902</f>
        <v>0</v>
      </c>
      <c r="F919" s="8">
        <f>0+1.68737</f>
        <v>1.68737</v>
      </c>
      <c r="G919" s="8"/>
      <c r="H919" s="8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</row>
    <row r="920" spans="1:20" ht="15.95" customHeight="1" x14ac:dyDescent="0.2">
      <c r="A920" s="36"/>
      <c r="B920" s="23" t="s">
        <v>3</v>
      </c>
      <c r="C920" s="6">
        <f t="shared" si="331"/>
        <v>0</v>
      </c>
      <c r="D920" s="8"/>
      <c r="E920" s="8"/>
      <c r="F920" s="8"/>
      <c r="G920" s="8"/>
      <c r="H920" s="8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</row>
    <row r="921" spans="1:20" ht="15.95" customHeight="1" x14ac:dyDescent="0.2">
      <c r="A921" s="78" t="s">
        <v>90</v>
      </c>
      <c r="B921" s="54" t="s">
        <v>127</v>
      </c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</row>
    <row r="922" spans="1:20" ht="15.95" customHeight="1" x14ac:dyDescent="0.2">
      <c r="A922" s="79"/>
      <c r="B922" s="22" t="s">
        <v>5</v>
      </c>
      <c r="C922" s="3">
        <f>SUM(C923:C926)</f>
        <v>2955600.2037500003</v>
      </c>
      <c r="D922" s="3">
        <f>SUM(D923:D926)</f>
        <v>2020943.92955</v>
      </c>
      <c r="E922" s="3">
        <f t="shared" ref="E922" si="332">SUM(E923:E926)</f>
        <v>98556.436200000011</v>
      </c>
      <c r="F922" s="3">
        <f t="shared" ref="F922" si="333">SUM(F923:F926)</f>
        <v>62413.17</v>
      </c>
      <c r="G922" s="3">
        <f t="shared" ref="G922:H922" si="334">SUM(G923:G926)</f>
        <v>773686.66799999995</v>
      </c>
      <c r="H922" s="3">
        <f t="shared" si="334"/>
        <v>0</v>
      </c>
      <c r="I922" s="60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2"/>
    </row>
    <row r="923" spans="1:20" ht="15.95" customHeight="1" x14ac:dyDescent="0.2">
      <c r="A923" s="79"/>
      <c r="B923" s="22" t="s">
        <v>0</v>
      </c>
      <c r="C923" s="3">
        <f>D923+E923+F923+G923+H923</f>
        <v>2335002.335</v>
      </c>
      <c r="D923" s="3">
        <f>D931+D939+D947+D955+D963+D971+D979+D987+D995+D1003+D1011+D1019+D1027+D1035+D1043+D1051+D1059+D1067+D1075+D1083+D1091+D1099+D1107+D1115</f>
        <v>1600000</v>
      </c>
      <c r="E923" s="3">
        <f t="shared" ref="E923:H923" si="335">E931+E939+E947+E955+E963+E971+E979+E987+E995+E1003+E1011+E1019+E1027+E1035+E1043+E1051+E1059+E1067+E1075+E1083+E1091+E1099+E1107+E1115</f>
        <v>0</v>
      </c>
      <c r="F923" s="3">
        <f t="shared" si="335"/>
        <v>0</v>
      </c>
      <c r="G923" s="3">
        <f t="shared" si="335"/>
        <v>735002.33499999996</v>
      </c>
      <c r="H923" s="3">
        <f t="shared" si="335"/>
        <v>0</v>
      </c>
      <c r="I923" s="63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5"/>
    </row>
    <row r="924" spans="1:20" ht="15.95" customHeight="1" x14ac:dyDescent="0.2">
      <c r="A924" s="79"/>
      <c r="B924" s="22" t="s">
        <v>1</v>
      </c>
      <c r="C924" s="3">
        <f>D924+E924+F924+G924+H924</f>
        <v>619020.66875000007</v>
      </c>
      <c r="D924" s="3">
        <f>D932+D940+D948+D956+D964+D972+D980+D988+D996+D1004+D1012+D1020+D1028+D1036+D1044+D1052+D1060+D1068+D1076+D1084+D1092+D1100+D1108+D1116</f>
        <v>419366.72955000005</v>
      </c>
      <c r="E924" s="3">
        <f t="shared" ref="D924:H926" si="336">E932+E940+E948+E956+E964+E972+E980+E988+E996+E1004+E1012+E1020+E1028+E1036+E1044+E1052+E1060+E1068+E1076+E1084+E1092+E1100+E1108+E1116</f>
        <v>98556.436200000011</v>
      </c>
      <c r="F924" s="3">
        <f t="shared" si="336"/>
        <v>62413.17</v>
      </c>
      <c r="G924" s="3">
        <f t="shared" si="336"/>
        <v>38684.332999999999</v>
      </c>
      <c r="H924" s="3">
        <f t="shared" si="336"/>
        <v>0</v>
      </c>
      <c r="I924" s="63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5"/>
    </row>
    <row r="925" spans="1:20" ht="15.95" customHeight="1" x14ac:dyDescent="0.2">
      <c r="A925" s="79"/>
      <c r="B925" s="22" t="s">
        <v>2</v>
      </c>
      <c r="C925" s="3">
        <f t="shared" ref="C925:C926" si="337">D925+E925+F925+G925+H925</f>
        <v>1577.2</v>
      </c>
      <c r="D925" s="3">
        <f t="shared" si="336"/>
        <v>1577.2</v>
      </c>
      <c r="E925" s="3">
        <f t="shared" si="336"/>
        <v>0</v>
      </c>
      <c r="F925" s="3">
        <f t="shared" si="336"/>
        <v>0</v>
      </c>
      <c r="G925" s="3">
        <f t="shared" si="336"/>
        <v>0</v>
      </c>
      <c r="H925" s="3">
        <f t="shared" si="336"/>
        <v>0</v>
      </c>
      <c r="I925" s="63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5"/>
    </row>
    <row r="926" spans="1:20" ht="15.95" customHeight="1" x14ac:dyDescent="0.2">
      <c r="A926" s="80"/>
      <c r="B926" s="22" t="s">
        <v>3</v>
      </c>
      <c r="C926" s="3">
        <f t="shared" si="337"/>
        <v>0</v>
      </c>
      <c r="D926" s="3">
        <f t="shared" si="336"/>
        <v>0</v>
      </c>
      <c r="E926" s="3">
        <f t="shared" si="336"/>
        <v>0</v>
      </c>
      <c r="F926" s="3">
        <f t="shared" si="336"/>
        <v>0</v>
      </c>
      <c r="G926" s="3">
        <f t="shared" si="336"/>
        <v>0</v>
      </c>
      <c r="H926" s="3">
        <f t="shared" si="336"/>
        <v>0</v>
      </c>
      <c r="I926" s="66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8"/>
    </row>
    <row r="927" spans="1:20" ht="15.95" customHeight="1" x14ac:dyDescent="0.2">
      <c r="A927" s="34" t="s">
        <v>207</v>
      </c>
      <c r="B927" s="37" t="s">
        <v>92</v>
      </c>
      <c r="C927" s="37" t="s">
        <v>92</v>
      </c>
      <c r="D927" s="37"/>
      <c r="E927" s="37"/>
      <c r="F927" s="37"/>
      <c r="G927" s="37" t="s">
        <v>92</v>
      </c>
      <c r="H927" s="37"/>
      <c r="I927" s="37" t="s">
        <v>92</v>
      </c>
      <c r="J927" s="37" t="s">
        <v>92</v>
      </c>
      <c r="K927" s="37" t="s">
        <v>92</v>
      </c>
      <c r="L927" s="37" t="s">
        <v>92</v>
      </c>
      <c r="M927" s="37" t="s">
        <v>92</v>
      </c>
      <c r="N927" s="37" t="s">
        <v>92</v>
      </c>
      <c r="O927" s="37" t="s">
        <v>92</v>
      </c>
      <c r="P927" s="37" t="s">
        <v>92</v>
      </c>
      <c r="Q927" s="37" t="s">
        <v>92</v>
      </c>
      <c r="R927" s="37" t="s">
        <v>92</v>
      </c>
      <c r="S927" s="37" t="s">
        <v>92</v>
      </c>
      <c r="T927" s="38" t="s">
        <v>92</v>
      </c>
    </row>
    <row r="928" spans="1:20" ht="15.95" customHeight="1" x14ac:dyDescent="0.2">
      <c r="A928" s="35" t="s">
        <v>74</v>
      </c>
      <c r="B928" s="54" t="s">
        <v>128</v>
      </c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</row>
    <row r="929" spans="1:20" ht="38.1" customHeight="1" x14ac:dyDescent="0.2">
      <c r="A929" s="35"/>
      <c r="B929" s="57" t="s">
        <v>259</v>
      </c>
      <c r="C929" s="58"/>
      <c r="D929" s="58"/>
      <c r="E929" s="58"/>
      <c r="F929" s="58"/>
      <c r="G929" s="58"/>
      <c r="H929" s="59"/>
      <c r="I929" s="49" t="s">
        <v>419</v>
      </c>
      <c r="J929" s="49"/>
      <c r="K929" s="49" t="s">
        <v>42</v>
      </c>
      <c r="L929" s="49" t="s">
        <v>408</v>
      </c>
      <c r="M929" s="49" t="s">
        <v>93</v>
      </c>
      <c r="N929" s="49" t="s">
        <v>150</v>
      </c>
      <c r="O929" s="49" t="s">
        <v>93</v>
      </c>
      <c r="P929" s="75" t="s">
        <v>435</v>
      </c>
      <c r="Q929" s="49" t="s">
        <v>33</v>
      </c>
      <c r="R929" s="49" t="s">
        <v>38</v>
      </c>
      <c r="S929" s="49" t="s">
        <v>25</v>
      </c>
      <c r="T929" s="49"/>
    </row>
    <row r="930" spans="1:20" ht="15.95" customHeight="1" x14ac:dyDescent="0.2">
      <c r="A930" s="35"/>
      <c r="B930" s="25" t="s">
        <v>5</v>
      </c>
      <c r="C930" s="6">
        <f>D930+E930+F930+G930+H930</f>
        <v>813686.66799999995</v>
      </c>
      <c r="D930" s="8">
        <f t="shared" ref="D930" si="338">SUM(D931:D934)</f>
        <v>0</v>
      </c>
      <c r="E930" s="8">
        <f t="shared" ref="E930" si="339">SUM(E931:E934)</f>
        <v>0</v>
      </c>
      <c r="F930" s="8">
        <f t="shared" ref="F930" si="340">SUM(F931:F934)</f>
        <v>40000</v>
      </c>
      <c r="G930" s="8">
        <f t="shared" ref="G930" si="341">SUM(G931:G934)</f>
        <v>773686.66799999995</v>
      </c>
      <c r="H930" s="8">
        <f t="shared" ref="H930" si="342">SUM(H931:H934)</f>
        <v>0</v>
      </c>
      <c r="I930" s="49"/>
      <c r="J930" s="49"/>
      <c r="K930" s="49"/>
      <c r="L930" s="49"/>
      <c r="M930" s="49"/>
      <c r="N930" s="49"/>
      <c r="O930" s="49"/>
      <c r="P930" s="75"/>
      <c r="Q930" s="49"/>
      <c r="R930" s="49"/>
      <c r="S930" s="49"/>
      <c r="T930" s="49"/>
    </row>
    <row r="931" spans="1:20" ht="15.95" customHeight="1" x14ac:dyDescent="0.2">
      <c r="A931" s="35"/>
      <c r="B931" s="25" t="s">
        <v>0</v>
      </c>
      <c r="C931" s="6">
        <f>D931+E931+F931+G931+H931</f>
        <v>735002.33499999996</v>
      </c>
      <c r="D931" s="8"/>
      <c r="E931" s="8"/>
      <c r="F931" s="8">
        <f>760000-760000</f>
        <v>0</v>
      </c>
      <c r="G931" s="8">
        <v>735002.33499999996</v>
      </c>
      <c r="H931" s="8"/>
      <c r="I931" s="49"/>
      <c r="J931" s="49"/>
      <c r="K931" s="49"/>
      <c r="L931" s="49"/>
      <c r="M931" s="49"/>
      <c r="N931" s="49"/>
      <c r="O931" s="49"/>
      <c r="P931" s="75"/>
      <c r="Q931" s="49"/>
      <c r="R931" s="49"/>
      <c r="S931" s="49"/>
      <c r="T931" s="49"/>
    </row>
    <row r="932" spans="1:20" ht="15.95" customHeight="1" x14ac:dyDescent="0.2">
      <c r="A932" s="35"/>
      <c r="B932" s="25" t="s">
        <v>1</v>
      </c>
      <c r="C932" s="6">
        <f>D932+E932+F932+G932+H932</f>
        <v>78684.332999999999</v>
      </c>
      <c r="D932" s="8"/>
      <c r="E932" s="8"/>
      <c r="F932" s="8">
        <v>40000</v>
      </c>
      <c r="G932" s="8">
        <v>38684.332999999999</v>
      </c>
      <c r="H932" s="8"/>
      <c r="I932" s="49"/>
      <c r="J932" s="49"/>
      <c r="K932" s="49"/>
      <c r="L932" s="49"/>
      <c r="M932" s="49"/>
      <c r="N932" s="49"/>
      <c r="O932" s="49"/>
      <c r="P932" s="75"/>
      <c r="Q932" s="49"/>
      <c r="R932" s="49"/>
      <c r="S932" s="49"/>
      <c r="T932" s="49"/>
    </row>
    <row r="933" spans="1:20" ht="15.95" customHeight="1" x14ac:dyDescent="0.2">
      <c r="A933" s="35"/>
      <c r="B933" s="25" t="s">
        <v>2</v>
      </c>
      <c r="C933" s="6">
        <f>D933+E933+F933+G933+H933</f>
        <v>0</v>
      </c>
      <c r="D933" s="8"/>
      <c r="E933" s="8"/>
      <c r="F933" s="8"/>
      <c r="G933" s="8"/>
      <c r="H933" s="8"/>
      <c r="I933" s="49"/>
      <c r="J933" s="49"/>
      <c r="K933" s="49"/>
      <c r="L933" s="49"/>
      <c r="M933" s="49"/>
      <c r="N933" s="49"/>
      <c r="O933" s="49"/>
      <c r="P933" s="75"/>
      <c r="Q933" s="49"/>
      <c r="R933" s="49"/>
      <c r="S933" s="49"/>
      <c r="T933" s="49"/>
    </row>
    <row r="934" spans="1:20" ht="15.95" customHeight="1" x14ac:dyDescent="0.2">
      <c r="A934" s="36"/>
      <c r="B934" s="25" t="s">
        <v>3</v>
      </c>
      <c r="C934" s="6">
        <f>D934+E934+F934+G934+H934</f>
        <v>0</v>
      </c>
      <c r="D934" s="8"/>
      <c r="E934" s="8"/>
      <c r="F934" s="8"/>
      <c r="G934" s="8"/>
      <c r="H934" s="8"/>
      <c r="I934" s="49"/>
      <c r="J934" s="49"/>
      <c r="K934" s="49"/>
      <c r="L934" s="49"/>
      <c r="M934" s="49"/>
      <c r="N934" s="49"/>
      <c r="O934" s="49"/>
      <c r="P934" s="75"/>
      <c r="Q934" s="49"/>
      <c r="R934" s="49"/>
      <c r="S934" s="49"/>
      <c r="T934" s="49"/>
    </row>
    <row r="935" spans="1:20" ht="15.95" customHeight="1" x14ac:dyDescent="0.2">
      <c r="A935" s="34" t="s">
        <v>208</v>
      </c>
      <c r="B935" s="37" t="s">
        <v>92</v>
      </c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8"/>
    </row>
    <row r="936" spans="1:20" ht="15.95" customHeight="1" x14ac:dyDescent="0.2">
      <c r="A936" s="35" t="s">
        <v>74</v>
      </c>
      <c r="B936" s="54" t="s">
        <v>128</v>
      </c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</row>
    <row r="937" spans="1:20" ht="38.1" customHeight="1" x14ac:dyDescent="0.2">
      <c r="A937" s="35"/>
      <c r="B937" s="57" t="s">
        <v>170</v>
      </c>
      <c r="C937" s="58"/>
      <c r="D937" s="58"/>
      <c r="E937" s="58"/>
      <c r="F937" s="58"/>
      <c r="G937" s="58"/>
      <c r="H937" s="59"/>
      <c r="I937" s="49" t="s">
        <v>461</v>
      </c>
      <c r="J937" s="49"/>
      <c r="K937" s="49" t="s">
        <v>42</v>
      </c>
      <c r="L937" s="49" t="s">
        <v>151</v>
      </c>
      <c r="M937" s="49" t="s">
        <v>93</v>
      </c>
      <c r="N937" s="49" t="s">
        <v>150</v>
      </c>
      <c r="O937" s="49" t="s">
        <v>93</v>
      </c>
      <c r="P937" s="75" t="s">
        <v>436</v>
      </c>
      <c r="Q937" s="49" t="s">
        <v>33</v>
      </c>
      <c r="R937" s="49" t="s">
        <v>38</v>
      </c>
      <c r="S937" s="49" t="s">
        <v>34</v>
      </c>
      <c r="T937" s="49" t="s">
        <v>497</v>
      </c>
    </row>
    <row r="938" spans="1:20" ht="15.95" customHeight="1" x14ac:dyDescent="0.2">
      <c r="A938" s="35"/>
      <c r="B938" s="25" t="s">
        <v>5</v>
      </c>
      <c r="C938" s="6">
        <f>D938+E938+F938+G938+H938</f>
        <v>27413.17</v>
      </c>
      <c r="D938" s="8">
        <f t="shared" ref="D938" si="343">SUM(D939:D942)</f>
        <v>5000</v>
      </c>
      <c r="E938" s="8">
        <f t="shared" ref="E938" si="344">SUM(E939:E942)</f>
        <v>0</v>
      </c>
      <c r="F938" s="8">
        <f t="shared" ref="F938" si="345">SUM(F939:F942)</f>
        <v>22413.17</v>
      </c>
      <c r="G938" s="8">
        <f t="shared" ref="G938" si="346">SUM(G939:G942)</f>
        <v>0</v>
      </c>
      <c r="H938" s="8">
        <f t="shared" ref="H938" si="347">SUM(H939:H942)</f>
        <v>0</v>
      </c>
      <c r="I938" s="49"/>
      <c r="J938" s="49"/>
      <c r="K938" s="49"/>
      <c r="L938" s="49"/>
      <c r="M938" s="49"/>
      <c r="N938" s="49"/>
      <c r="O938" s="49"/>
      <c r="P938" s="75"/>
      <c r="Q938" s="49"/>
      <c r="R938" s="49"/>
      <c r="S938" s="49"/>
      <c r="T938" s="49"/>
    </row>
    <row r="939" spans="1:20" ht="15.95" customHeight="1" x14ac:dyDescent="0.2">
      <c r="A939" s="35"/>
      <c r="B939" s="25" t="s">
        <v>0</v>
      </c>
      <c r="C939" s="6">
        <f>D939+E939+F939+G939+H939</f>
        <v>0</v>
      </c>
      <c r="D939" s="8"/>
      <c r="E939" s="8">
        <f>450000-450000</f>
        <v>0</v>
      </c>
      <c r="F939" s="8">
        <f>425850.28-425850.28</f>
        <v>0</v>
      </c>
      <c r="G939" s="8"/>
      <c r="H939" s="8"/>
      <c r="I939" s="49"/>
      <c r="J939" s="49"/>
      <c r="K939" s="49"/>
      <c r="L939" s="49"/>
      <c r="M939" s="49"/>
      <c r="N939" s="49"/>
      <c r="O939" s="49"/>
      <c r="P939" s="75"/>
      <c r="Q939" s="49"/>
      <c r="R939" s="49"/>
      <c r="S939" s="49"/>
      <c r="T939" s="49"/>
    </row>
    <row r="940" spans="1:20" ht="15.95" customHeight="1" x14ac:dyDescent="0.2">
      <c r="A940" s="35"/>
      <c r="B940" s="25" t="s">
        <v>1</v>
      </c>
      <c r="C940" s="6">
        <f>D940+E940+F940+G940+H940</f>
        <v>27413.17</v>
      </c>
      <c r="D940" s="8">
        <v>5000</v>
      </c>
      <c r="E940" s="8">
        <v>0</v>
      </c>
      <c r="F940" s="8">
        <v>22413.17</v>
      </c>
      <c r="G940" s="8"/>
      <c r="H940" s="8"/>
      <c r="I940" s="49"/>
      <c r="J940" s="49"/>
      <c r="K940" s="49"/>
      <c r="L940" s="49"/>
      <c r="M940" s="49"/>
      <c r="N940" s="49"/>
      <c r="O940" s="49"/>
      <c r="P940" s="75"/>
      <c r="Q940" s="49"/>
      <c r="R940" s="49"/>
      <c r="S940" s="49"/>
      <c r="T940" s="49"/>
    </row>
    <row r="941" spans="1:20" ht="15.95" customHeight="1" x14ac:dyDescent="0.2">
      <c r="A941" s="35"/>
      <c r="B941" s="25" t="s">
        <v>2</v>
      </c>
      <c r="C941" s="6">
        <f>D941+E941+F941+G941+H941</f>
        <v>0</v>
      </c>
      <c r="D941" s="8"/>
      <c r="E941" s="8"/>
      <c r="F941" s="8"/>
      <c r="G941" s="8"/>
      <c r="H941" s="8"/>
      <c r="I941" s="49"/>
      <c r="J941" s="49"/>
      <c r="K941" s="49"/>
      <c r="L941" s="49"/>
      <c r="M941" s="49"/>
      <c r="N941" s="49"/>
      <c r="O941" s="49"/>
      <c r="P941" s="75"/>
      <c r="Q941" s="49"/>
      <c r="R941" s="49"/>
      <c r="S941" s="49"/>
      <c r="T941" s="49"/>
    </row>
    <row r="942" spans="1:20" ht="15.95" customHeight="1" x14ac:dyDescent="0.2">
      <c r="A942" s="36"/>
      <c r="B942" s="25" t="s">
        <v>3</v>
      </c>
      <c r="C942" s="6">
        <f>D942+E942+F942+G942+H942</f>
        <v>0</v>
      </c>
      <c r="D942" s="8"/>
      <c r="E942" s="8"/>
      <c r="F942" s="8"/>
      <c r="G942" s="8"/>
      <c r="H942" s="8"/>
      <c r="I942" s="49"/>
      <c r="J942" s="49"/>
      <c r="K942" s="49"/>
      <c r="L942" s="49"/>
      <c r="M942" s="49"/>
      <c r="N942" s="49"/>
      <c r="O942" s="49"/>
      <c r="P942" s="75"/>
      <c r="Q942" s="49"/>
      <c r="R942" s="49"/>
      <c r="S942" s="49"/>
      <c r="T942" s="49"/>
    </row>
    <row r="943" spans="1:20" ht="15.95" customHeight="1" x14ac:dyDescent="0.2">
      <c r="A943" s="34" t="s">
        <v>209</v>
      </c>
      <c r="B943" s="37" t="s">
        <v>92</v>
      </c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8"/>
    </row>
    <row r="944" spans="1:20" ht="15.95" customHeight="1" x14ac:dyDescent="0.2">
      <c r="A944" s="35" t="s">
        <v>74</v>
      </c>
      <c r="B944" s="39" t="s">
        <v>128</v>
      </c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6"/>
    </row>
    <row r="945" spans="1:20" ht="38.1" customHeight="1" x14ac:dyDescent="0.2">
      <c r="A945" s="35"/>
      <c r="B945" s="84" t="s">
        <v>152</v>
      </c>
      <c r="C945" s="85"/>
      <c r="D945" s="85"/>
      <c r="E945" s="85"/>
      <c r="F945" s="85"/>
      <c r="G945" s="85"/>
      <c r="H945" s="86"/>
      <c r="I945" s="43" t="s">
        <v>462</v>
      </c>
      <c r="J945" s="43"/>
      <c r="K945" s="43" t="s">
        <v>42</v>
      </c>
      <c r="L945" s="43" t="s">
        <v>153</v>
      </c>
      <c r="M945" s="43" t="s">
        <v>93</v>
      </c>
      <c r="N945" s="43" t="s">
        <v>150</v>
      </c>
      <c r="O945" s="43" t="s">
        <v>93</v>
      </c>
      <c r="P945" s="46" t="s">
        <v>437</v>
      </c>
      <c r="Q945" s="43" t="s">
        <v>33</v>
      </c>
      <c r="R945" s="43" t="s">
        <v>38</v>
      </c>
      <c r="S945" s="43" t="s">
        <v>35</v>
      </c>
      <c r="T945" s="43" t="s">
        <v>498</v>
      </c>
    </row>
    <row r="946" spans="1:20" ht="15.95" customHeight="1" x14ac:dyDescent="0.2">
      <c r="A946" s="35"/>
      <c r="B946" s="25" t="s">
        <v>5</v>
      </c>
      <c r="C946" s="6">
        <f>D946+E946+F946+G946+H946</f>
        <v>480182.45299999998</v>
      </c>
      <c r="D946" s="8">
        <f t="shared" ref="D946:F946" si="348">SUM(D947:D950)</f>
        <v>480182.45299999998</v>
      </c>
      <c r="E946" s="8">
        <f t="shared" si="348"/>
        <v>0</v>
      </c>
      <c r="F946" s="8">
        <f t="shared" si="348"/>
        <v>0</v>
      </c>
      <c r="G946" s="8">
        <f t="shared" ref="G946" si="349">SUM(G947:G950)</f>
        <v>0</v>
      </c>
      <c r="H946" s="8">
        <f t="shared" ref="H946" si="350">SUM(H947:H950)</f>
        <v>0</v>
      </c>
      <c r="I946" s="44"/>
      <c r="J946" s="44"/>
      <c r="K946" s="44"/>
      <c r="L946" s="44"/>
      <c r="M946" s="44"/>
      <c r="N946" s="44"/>
      <c r="O946" s="44"/>
      <c r="P946" s="47"/>
      <c r="Q946" s="44"/>
      <c r="R946" s="44"/>
      <c r="S946" s="44"/>
      <c r="T946" s="44"/>
    </row>
    <row r="947" spans="1:20" ht="15.95" customHeight="1" x14ac:dyDescent="0.2">
      <c r="A947" s="35"/>
      <c r="B947" s="25" t="s">
        <v>0</v>
      </c>
      <c r="C947" s="6">
        <f>D947+E947+F947+G947+H947</f>
        <v>440000</v>
      </c>
      <c r="D947" s="8">
        <f>462000-22000</f>
        <v>440000</v>
      </c>
      <c r="E947" s="8"/>
      <c r="F947" s="8"/>
      <c r="G947" s="8"/>
      <c r="H947" s="8"/>
      <c r="I947" s="44"/>
      <c r="J947" s="44"/>
      <c r="K947" s="44"/>
      <c r="L947" s="44"/>
      <c r="M947" s="44"/>
      <c r="N947" s="44"/>
      <c r="O947" s="44"/>
      <c r="P947" s="47"/>
      <c r="Q947" s="44"/>
      <c r="R947" s="44"/>
      <c r="S947" s="44"/>
      <c r="T947" s="44"/>
    </row>
    <row r="948" spans="1:20" ht="15.95" customHeight="1" x14ac:dyDescent="0.2">
      <c r="A948" s="35"/>
      <c r="B948" s="25" t="s">
        <v>1</v>
      </c>
      <c r="C948" s="6">
        <f>D948+E948+F948+G948+H948</f>
        <v>40182.453000000001</v>
      </c>
      <c r="D948" s="8">
        <v>40182.453000000001</v>
      </c>
      <c r="E948" s="8"/>
      <c r="F948" s="8"/>
      <c r="G948" s="8"/>
      <c r="H948" s="8"/>
      <c r="I948" s="44"/>
      <c r="J948" s="44"/>
      <c r="K948" s="44"/>
      <c r="L948" s="44"/>
      <c r="M948" s="44"/>
      <c r="N948" s="44"/>
      <c r="O948" s="44"/>
      <c r="P948" s="47"/>
      <c r="Q948" s="44"/>
      <c r="R948" s="44"/>
      <c r="S948" s="44"/>
      <c r="T948" s="44"/>
    </row>
    <row r="949" spans="1:20" ht="15.95" customHeight="1" x14ac:dyDescent="0.2">
      <c r="A949" s="35"/>
      <c r="B949" s="25" t="s">
        <v>2</v>
      </c>
      <c r="C949" s="6">
        <f>D949+E949+F949+G949+H949</f>
        <v>0</v>
      </c>
      <c r="D949" s="8"/>
      <c r="E949" s="8"/>
      <c r="F949" s="8"/>
      <c r="G949" s="8"/>
      <c r="H949" s="8"/>
      <c r="I949" s="44"/>
      <c r="J949" s="44"/>
      <c r="K949" s="44"/>
      <c r="L949" s="44"/>
      <c r="M949" s="44"/>
      <c r="N949" s="44"/>
      <c r="O949" s="44"/>
      <c r="P949" s="47"/>
      <c r="Q949" s="44"/>
      <c r="R949" s="44"/>
      <c r="S949" s="44"/>
      <c r="T949" s="44"/>
    </row>
    <row r="950" spans="1:20" ht="15.95" customHeight="1" x14ac:dyDescent="0.2">
      <c r="A950" s="36"/>
      <c r="B950" s="25" t="s">
        <v>3</v>
      </c>
      <c r="C950" s="6">
        <f>D950+E950+F950+G950+H950</f>
        <v>0</v>
      </c>
      <c r="D950" s="8"/>
      <c r="E950" s="8"/>
      <c r="F950" s="8"/>
      <c r="G950" s="8"/>
      <c r="H950" s="8"/>
      <c r="I950" s="45"/>
      <c r="J950" s="45"/>
      <c r="K950" s="45"/>
      <c r="L950" s="45"/>
      <c r="M950" s="45"/>
      <c r="N950" s="45"/>
      <c r="O950" s="45"/>
      <c r="P950" s="48"/>
      <c r="Q950" s="45"/>
      <c r="R950" s="45"/>
      <c r="S950" s="45"/>
      <c r="T950" s="45"/>
    </row>
    <row r="951" spans="1:20" ht="15.95" customHeight="1" x14ac:dyDescent="0.2">
      <c r="A951" s="34" t="s">
        <v>210</v>
      </c>
      <c r="B951" s="37" t="s">
        <v>92</v>
      </c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8"/>
    </row>
    <row r="952" spans="1:20" ht="15.95" customHeight="1" x14ac:dyDescent="0.2">
      <c r="A952" s="35" t="s">
        <v>74</v>
      </c>
      <c r="B952" s="54" t="s">
        <v>128</v>
      </c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</row>
    <row r="953" spans="1:20" ht="38.1" customHeight="1" x14ac:dyDescent="0.2">
      <c r="A953" s="35"/>
      <c r="B953" s="57" t="s">
        <v>154</v>
      </c>
      <c r="C953" s="58"/>
      <c r="D953" s="58"/>
      <c r="E953" s="58"/>
      <c r="F953" s="58"/>
      <c r="G953" s="58"/>
      <c r="H953" s="59"/>
      <c r="I953" s="49" t="s">
        <v>462</v>
      </c>
      <c r="J953" s="49"/>
      <c r="K953" s="49" t="s">
        <v>42</v>
      </c>
      <c r="L953" s="49" t="s">
        <v>257</v>
      </c>
      <c r="M953" s="49" t="s">
        <v>93</v>
      </c>
      <c r="N953" s="49" t="s">
        <v>150</v>
      </c>
      <c r="O953" s="49" t="s">
        <v>93</v>
      </c>
      <c r="P953" s="75" t="s">
        <v>438</v>
      </c>
      <c r="Q953" s="49" t="s">
        <v>33</v>
      </c>
      <c r="R953" s="49" t="s">
        <v>38</v>
      </c>
      <c r="S953" s="49" t="s">
        <v>35</v>
      </c>
      <c r="T953" s="49" t="s">
        <v>499</v>
      </c>
    </row>
    <row r="954" spans="1:20" ht="15.95" customHeight="1" x14ac:dyDescent="0.2">
      <c r="A954" s="35"/>
      <c r="B954" s="25" t="s">
        <v>5</v>
      </c>
      <c r="C954" s="6">
        <f>D954+E954+F954+G954+H954</f>
        <v>405667.125</v>
      </c>
      <c r="D954" s="8">
        <f t="shared" ref="D954:F954" si="351">SUM(D955:D958)</f>
        <v>405667.125</v>
      </c>
      <c r="E954" s="8">
        <f t="shared" si="351"/>
        <v>0</v>
      </c>
      <c r="F954" s="8">
        <f t="shared" si="351"/>
        <v>0</v>
      </c>
      <c r="G954" s="8">
        <f t="shared" ref="G954" si="352">SUM(G955:G958)</f>
        <v>0</v>
      </c>
      <c r="H954" s="8">
        <f t="shared" ref="H954" si="353">SUM(H955:H958)</f>
        <v>0</v>
      </c>
      <c r="I954" s="49"/>
      <c r="J954" s="49"/>
      <c r="K954" s="49"/>
      <c r="L954" s="49"/>
      <c r="M954" s="49"/>
      <c r="N954" s="49"/>
      <c r="O954" s="49"/>
      <c r="P954" s="75"/>
      <c r="Q954" s="49"/>
      <c r="R954" s="49"/>
      <c r="S954" s="49"/>
      <c r="T954" s="49"/>
    </row>
    <row r="955" spans="1:20" ht="15.95" customHeight="1" x14ac:dyDescent="0.2">
      <c r="A955" s="35"/>
      <c r="B955" s="25" t="s">
        <v>0</v>
      </c>
      <c r="C955" s="6">
        <f>D955+E955+F955+G955+H955</f>
        <v>370000</v>
      </c>
      <c r="D955" s="8">
        <f>415000-45000</f>
        <v>370000</v>
      </c>
      <c r="E955" s="8"/>
      <c r="F955" s="8"/>
      <c r="G955" s="8"/>
      <c r="H955" s="8"/>
      <c r="I955" s="49"/>
      <c r="J955" s="49"/>
      <c r="K955" s="49"/>
      <c r="L955" s="49"/>
      <c r="M955" s="49"/>
      <c r="N955" s="49"/>
      <c r="O955" s="49"/>
      <c r="P955" s="75"/>
      <c r="Q955" s="49"/>
      <c r="R955" s="49"/>
      <c r="S955" s="49"/>
      <c r="T955" s="49"/>
    </row>
    <row r="956" spans="1:20" ht="15.95" customHeight="1" x14ac:dyDescent="0.2">
      <c r="A956" s="35"/>
      <c r="B956" s="25" t="s">
        <v>1</v>
      </c>
      <c r="C956" s="6">
        <f>D956+E956+F956+G956+H956</f>
        <v>35667.125</v>
      </c>
      <c r="D956" s="8">
        <v>35667.125</v>
      </c>
      <c r="E956" s="8"/>
      <c r="F956" s="8"/>
      <c r="G956" s="8"/>
      <c r="H956" s="8"/>
      <c r="I956" s="49"/>
      <c r="J956" s="49"/>
      <c r="K956" s="49"/>
      <c r="L956" s="49"/>
      <c r="M956" s="49"/>
      <c r="N956" s="49"/>
      <c r="O956" s="49"/>
      <c r="P956" s="75"/>
      <c r="Q956" s="49"/>
      <c r="R956" s="49"/>
      <c r="S956" s="49"/>
      <c r="T956" s="49"/>
    </row>
    <row r="957" spans="1:20" ht="15.95" customHeight="1" x14ac:dyDescent="0.2">
      <c r="A957" s="35"/>
      <c r="B957" s="25" t="s">
        <v>2</v>
      </c>
      <c r="C957" s="6">
        <f>D957+E957+F957+G957+H957</f>
        <v>0</v>
      </c>
      <c r="D957" s="8"/>
      <c r="E957" s="8"/>
      <c r="F957" s="8"/>
      <c r="G957" s="8"/>
      <c r="H957" s="8"/>
      <c r="I957" s="49"/>
      <c r="J957" s="49"/>
      <c r="K957" s="49"/>
      <c r="L957" s="49"/>
      <c r="M957" s="49"/>
      <c r="N957" s="49"/>
      <c r="O957" s="49"/>
      <c r="P957" s="75"/>
      <c r="Q957" s="49"/>
      <c r="R957" s="49"/>
      <c r="S957" s="49"/>
      <c r="T957" s="49"/>
    </row>
    <row r="958" spans="1:20" ht="15.95" customHeight="1" x14ac:dyDescent="0.2">
      <c r="A958" s="36"/>
      <c r="B958" s="25" t="s">
        <v>3</v>
      </c>
      <c r="C958" s="6">
        <f>D958+E958+F958+G958+H958</f>
        <v>0</v>
      </c>
      <c r="D958" s="8"/>
      <c r="E958" s="8"/>
      <c r="F958" s="8"/>
      <c r="G958" s="8"/>
      <c r="H958" s="8"/>
      <c r="I958" s="49"/>
      <c r="J958" s="49"/>
      <c r="K958" s="49"/>
      <c r="L958" s="49"/>
      <c r="M958" s="49"/>
      <c r="N958" s="49"/>
      <c r="O958" s="49"/>
      <c r="P958" s="75"/>
      <c r="Q958" s="49"/>
      <c r="R958" s="49"/>
      <c r="S958" s="49"/>
      <c r="T958" s="49"/>
    </row>
    <row r="959" spans="1:20" ht="15.95" customHeight="1" x14ac:dyDescent="0.2">
      <c r="A959" s="34" t="s">
        <v>211</v>
      </c>
      <c r="B959" s="37" t="s">
        <v>92</v>
      </c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8"/>
    </row>
    <row r="960" spans="1:20" ht="15.95" customHeight="1" x14ac:dyDescent="0.2">
      <c r="A960" s="35" t="s">
        <v>74</v>
      </c>
      <c r="B960" s="54" t="s">
        <v>128</v>
      </c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</row>
    <row r="961" spans="1:20" ht="38.1" customHeight="1" x14ac:dyDescent="0.2">
      <c r="A961" s="35"/>
      <c r="B961" s="57" t="s">
        <v>155</v>
      </c>
      <c r="C961" s="58"/>
      <c r="D961" s="58"/>
      <c r="E961" s="58"/>
      <c r="F961" s="58"/>
      <c r="G961" s="58"/>
      <c r="H961" s="59"/>
      <c r="I961" s="49" t="s">
        <v>462</v>
      </c>
      <c r="J961" s="49"/>
      <c r="K961" s="49" t="s">
        <v>42</v>
      </c>
      <c r="L961" s="49" t="s">
        <v>258</v>
      </c>
      <c r="M961" s="49" t="s">
        <v>93</v>
      </c>
      <c r="N961" s="49" t="s">
        <v>150</v>
      </c>
      <c r="O961" s="49" t="s">
        <v>93</v>
      </c>
      <c r="P961" s="75" t="s">
        <v>439</v>
      </c>
      <c r="Q961" s="49" t="s">
        <v>33</v>
      </c>
      <c r="R961" s="49" t="s">
        <v>38</v>
      </c>
      <c r="S961" s="49" t="s">
        <v>35</v>
      </c>
      <c r="T961" s="49" t="s">
        <v>500</v>
      </c>
    </row>
    <row r="962" spans="1:20" ht="15.95" customHeight="1" x14ac:dyDescent="0.2">
      <c r="A962" s="35"/>
      <c r="B962" s="25" t="s">
        <v>5</v>
      </c>
      <c r="C962" s="6">
        <f>D962+E962+F962+G962+H962</f>
        <v>472008.25699999998</v>
      </c>
      <c r="D962" s="8">
        <f t="shared" ref="D962:F962" si="354">SUM(D963:D966)</f>
        <v>472008.25699999998</v>
      </c>
      <c r="E962" s="8">
        <f t="shared" si="354"/>
        <v>0</v>
      </c>
      <c r="F962" s="8">
        <f t="shared" si="354"/>
        <v>0</v>
      </c>
      <c r="G962" s="8">
        <f t="shared" ref="G962" si="355">SUM(G963:G966)</f>
        <v>0</v>
      </c>
      <c r="H962" s="8">
        <f t="shared" ref="H962" si="356">SUM(H963:H966)</f>
        <v>0</v>
      </c>
      <c r="I962" s="49"/>
      <c r="J962" s="49"/>
      <c r="K962" s="49"/>
      <c r="L962" s="49"/>
      <c r="M962" s="49"/>
      <c r="N962" s="49"/>
      <c r="O962" s="49"/>
      <c r="P962" s="75"/>
      <c r="Q962" s="49"/>
      <c r="R962" s="49"/>
      <c r="S962" s="49"/>
      <c r="T962" s="49"/>
    </row>
    <row r="963" spans="1:20" ht="15.95" customHeight="1" x14ac:dyDescent="0.2">
      <c r="A963" s="35"/>
      <c r="B963" s="25" t="s">
        <v>0</v>
      </c>
      <c r="C963" s="6">
        <f>D963+E963+F963+G963+H963</f>
        <v>440000</v>
      </c>
      <c r="D963" s="8">
        <f>377000+63000</f>
        <v>440000</v>
      </c>
      <c r="E963" s="8"/>
      <c r="F963" s="8"/>
      <c r="G963" s="8"/>
      <c r="H963" s="8"/>
      <c r="I963" s="49"/>
      <c r="J963" s="49"/>
      <c r="K963" s="49"/>
      <c r="L963" s="49"/>
      <c r="M963" s="49"/>
      <c r="N963" s="49"/>
      <c r="O963" s="49"/>
      <c r="P963" s="75"/>
      <c r="Q963" s="49"/>
      <c r="R963" s="49"/>
      <c r="S963" s="49"/>
      <c r="T963" s="49"/>
    </row>
    <row r="964" spans="1:20" ht="15.95" customHeight="1" x14ac:dyDescent="0.2">
      <c r="A964" s="35"/>
      <c r="B964" s="25" t="s">
        <v>1</v>
      </c>
      <c r="C964" s="6">
        <f>D964+E964+F964+G964+H964</f>
        <v>32008.257000000001</v>
      </c>
      <c r="D964" s="8">
        <v>32008.257000000001</v>
      </c>
      <c r="E964" s="8"/>
      <c r="F964" s="8"/>
      <c r="G964" s="8"/>
      <c r="H964" s="8"/>
      <c r="I964" s="49"/>
      <c r="J964" s="49"/>
      <c r="K964" s="49"/>
      <c r="L964" s="49"/>
      <c r="M964" s="49"/>
      <c r="N964" s="49"/>
      <c r="O964" s="49"/>
      <c r="P964" s="75"/>
      <c r="Q964" s="49"/>
      <c r="R964" s="49"/>
      <c r="S964" s="49"/>
      <c r="T964" s="49"/>
    </row>
    <row r="965" spans="1:20" ht="15.95" customHeight="1" x14ac:dyDescent="0.2">
      <c r="A965" s="35"/>
      <c r="B965" s="25" t="s">
        <v>2</v>
      </c>
      <c r="C965" s="6">
        <f>D965+E965+F965+G965+H965</f>
        <v>0</v>
      </c>
      <c r="D965" s="8"/>
      <c r="E965" s="8"/>
      <c r="F965" s="8"/>
      <c r="G965" s="8"/>
      <c r="H965" s="8"/>
      <c r="I965" s="49"/>
      <c r="J965" s="49"/>
      <c r="K965" s="49"/>
      <c r="L965" s="49"/>
      <c r="M965" s="49"/>
      <c r="N965" s="49"/>
      <c r="O965" s="49"/>
      <c r="P965" s="75"/>
      <c r="Q965" s="49"/>
      <c r="R965" s="49"/>
      <c r="S965" s="49"/>
      <c r="T965" s="49"/>
    </row>
    <row r="966" spans="1:20" ht="15.95" customHeight="1" x14ac:dyDescent="0.2">
      <c r="A966" s="36"/>
      <c r="B966" s="25" t="s">
        <v>3</v>
      </c>
      <c r="C966" s="6">
        <f>D966+E966+F966+G966+H966</f>
        <v>0</v>
      </c>
      <c r="D966" s="8"/>
      <c r="E966" s="8"/>
      <c r="F966" s="8"/>
      <c r="G966" s="8"/>
      <c r="H966" s="8"/>
      <c r="I966" s="49"/>
      <c r="J966" s="49"/>
      <c r="K966" s="49"/>
      <c r="L966" s="49"/>
      <c r="M966" s="49"/>
      <c r="N966" s="49"/>
      <c r="O966" s="49"/>
      <c r="P966" s="75"/>
      <c r="Q966" s="49"/>
      <c r="R966" s="49"/>
      <c r="S966" s="49"/>
      <c r="T966" s="49"/>
    </row>
    <row r="967" spans="1:20" ht="15.95" customHeight="1" x14ac:dyDescent="0.2">
      <c r="A967" s="34" t="s">
        <v>212</v>
      </c>
      <c r="B967" s="37" t="s">
        <v>92</v>
      </c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8"/>
    </row>
    <row r="968" spans="1:20" ht="15.95" customHeight="1" x14ac:dyDescent="0.2">
      <c r="A968" s="35" t="s">
        <v>74</v>
      </c>
      <c r="B968" s="54" t="s">
        <v>128</v>
      </c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</row>
    <row r="969" spans="1:20" ht="38.1" customHeight="1" x14ac:dyDescent="0.2">
      <c r="A969" s="35"/>
      <c r="B969" s="57" t="s">
        <v>156</v>
      </c>
      <c r="C969" s="58"/>
      <c r="D969" s="58"/>
      <c r="E969" s="58"/>
      <c r="F969" s="58"/>
      <c r="G969" s="58"/>
      <c r="H969" s="59"/>
      <c r="I969" s="49" t="s">
        <v>462</v>
      </c>
      <c r="J969" s="49"/>
      <c r="K969" s="49" t="s">
        <v>42</v>
      </c>
      <c r="L969" s="49" t="s">
        <v>157</v>
      </c>
      <c r="M969" s="49" t="s">
        <v>93</v>
      </c>
      <c r="N969" s="49" t="s">
        <v>150</v>
      </c>
      <c r="O969" s="49" t="s">
        <v>93</v>
      </c>
      <c r="P969" s="75" t="s">
        <v>440</v>
      </c>
      <c r="Q969" s="49" t="s">
        <v>33</v>
      </c>
      <c r="R969" s="49" t="s">
        <v>38</v>
      </c>
      <c r="S969" s="49" t="s">
        <v>35</v>
      </c>
      <c r="T969" s="49" t="s">
        <v>501</v>
      </c>
    </row>
    <row r="970" spans="1:20" ht="15.95" customHeight="1" x14ac:dyDescent="0.2">
      <c r="A970" s="35"/>
      <c r="B970" s="25" t="s">
        <v>5</v>
      </c>
      <c r="C970" s="6">
        <f>D970+E970+F970+G970+H970</f>
        <v>378812.62300000002</v>
      </c>
      <c r="D970" s="8">
        <f t="shared" ref="D970:F970" si="357">SUM(D971:D974)</f>
        <v>378812.62300000002</v>
      </c>
      <c r="E970" s="8">
        <f t="shared" si="357"/>
        <v>0</v>
      </c>
      <c r="F970" s="8">
        <f t="shared" si="357"/>
        <v>0</v>
      </c>
      <c r="G970" s="8">
        <f t="shared" ref="G970" si="358">SUM(G971:G974)</f>
        <v>0</v>
      </c>
      <c r="H970" s="8">
        <f t="shared" ref="H970" si="359">SUM(H971:H974)</f>
        <v>0</v>
      </c>
      <c r="I970" s="49"/>
      <c r="J970" s="49"/>
      <c r="K970" s="49"/>
      <c r="L970" s="49"/>
      <c r="M970" s="49"/>
      <c r="N970" s="49"/>
      <c r="O970" s="49"/>
      <c r="P970" s="75"/>
      <c r="Q970" s="49"/>
      <c r="R970" s="49"/>
      <c r="S970" s="49"/>
      <c r="T970" s="49"/>
    </row>
    <row r="971" spans="1:20" ht="15.95" customHeight="1" x14ac:dyDescent="0.2">
      <c r="A971" s="35"/>
      <c r="B971" s="25" t="s">
        <v>0</v>
      </c>
      <c r="C971" s="6">
        <f>D971+E971+F971+G971+H971</f>
        <v>350000</v>
      </c>
      <c r="D971" s="8">
        <f>346000+4000</f>
        <v>350000</v>
      </c>
      <c r="E971" s="8"/>
      <c r="F971" s="8"/>
      <c r="G971" s="8"/>
      <c r="H971" s="8"/>
      <c r="I971" s="49"/>
      <c r="J971" s="49"/>
      <c r="K971" s="49"/>
      <c r="L971" s="49"/>
      <c r="M971" s="49"/>
      <c r="N971" s="49"/>
      <c r="O971" s="49"/>
      <c r="P971" s="75"/>
      <c r="Q971" s="49"/>
      <c r="R971" s="49"/>
      <c r="S971" s="49"/>
      <c r="T971" s="49"/>
    </row>
    <row r="972" spans="1:20" ht="15.95" customHeight="1" x14ac:dyDescent="0.2">
      <c r="A972" s="35"/>
      <c r="B972" s="25" t="s">
        <v>1</v>
      </c>
      <c r="C972" s="6">
        <f>D972+E972+F972+G972+H972</f>
        <v>28812.623</v>
      </c>
      <c r="D972" s="8">
        <v>28812.623</v>
      </c>
      <c r="E972" s="8"/>
      <c r="F972" s="8"/>
      <c r="G972" s="8"/>
      <c r="H972" s="8"/>
      <c r="I972" s="49"/>
      <c r="J972" s="49"/>
      <c r="K972" s="49"/>
      <c r="L972" s="49"/>
      <c r="M972" s="49"/>
      <c r="N972" s="49"/>
      <c r="O972" s="49"/>
      <c r="P972" s="75"/>
      <c r="Q972" s="49"/>
      <c r="R972" s="49"/>
      <c r="S972" s="49"/>
      <c r="T972" s="49"/>
    </row>
    <row r="973" spans="1:20" ht="15.95" customHeight="1" x14ac:dyDescent="0.2">
      <c r="A973" s="35"/>
      <c r="B973" s="25" t="s">
        <v>2</v>
      </c>
      <c r="C973" s="6">
        <f>D973+E973+F973+G973+H973</f>
        <v>0</v>
      </c>
      <c r="D973" s="8"/>
      <c r="E973" s="8"/>
      <c r="F973" s="8"/>
      <c r="G973" s="8"/>
      <c r="H973" s="8"/>
      <c r="I973" s="49"/>
      <c r="J973" s="49"/>
      <c r="K973" s="49"/>
      <c r="L973" s="49"/>
      <c r="M973" s="49"/>
      <c r="N973" s="49"/>
      <c r="O973" s="49"/>
      <c r="P973" s="75"/>
      <c r="Q973" s="49"/>
      <c r="R973" s="49"/>
      <c r="S973" s="49"/>
      <c r="T973" s="49"/>
    </row>
    <row r="974" spans="1:20" ht="15.95" customHeight="1" x14ac:dyDescent="0.2">
      <c r="A974" s="36"/>
      <c r="B974" s="25" t="s">
        <v>3</v>
      </c>
      <c r="C974" s="6">
        <f>D974+E974+F974+G974+H974</f>
        <v>0</v>
      </c>
      <c r="D974" s="8"/>
      <c r="E974" s="8"/>
      <c r="F974" s="8"/>
      <c r="G974" s="8"/>
      <c r="H974" s="8"/>
      <c r="I974" s="49"/>
      <c r="J974" s="49"/>
      <c r="K974" s="49"/>
      <c r="L974" s="49"/>
      <c r="M974" s="49"/>
      <c r="N974" s="49"/>
      <c r="O974" s="49"/>
      <c r="P974" s="75"/>
      <c r="Q974" s="49"/>
      <c r="R974" s="49"/>
      <c r="S974" s="49"/>
      <c r="T974" s="49"/>
    </row>
    <row r="975" spans="1:20" ht="15.95" customHeight="1" x14ac:dyDescent="0.2">
      <c r="A975" s="34" t="s">
        <v>213</v>
      </c>
      <c r="B975" s="37" t="s">
        <v>92</v>
      </c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8"/>
    </row>
    <row r="976" spans="1:20" ht="15.95" customHeight="1" x14ac:dyDescent="0.2">
      <c r="A976" s="35" t="s">
        <v>74</v>
      </c>
      <c r="B976" s="54" t="s">
        <v>128</v>
      </c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</row>
    <row r="977" spans="1:20" ht="45" customHeight="1" x14ac:dyDescent="0.2">
      <c r="A977" s="35"/>
      <c r="B977" s="57" t="s">
        <v>701</v>
      </c>
      <c r="C977" s="58"/>
      <c r="D977" s="58"/>
      <c r="E977" s="58"/>
      <c r="F977" s="58"/>
      <c r="G977" s="58"/>
      <c r="H977" s="59"/>
      <c r="I977" s="49" t="s">
        <v>23</v>
      </c>
      <c r="J977" s="49"/>
      <c r="K977" s="49" t="s">
        <v>42</v>
      </c>
      <c r="L977" s="49">
        <v>3.0341</v>
      </c>
      <c r="M977" s="49" t="s">
        <v>93</v>
      </c>
      <c r="N977" s="49" t="s">
        <v>150</v>
      </c>
      <c r="O977" s="49" t="s">
        <v>93</v>
      </c>
      <c r="P977" s="75" t="s">
        <v>441</v>
      </c>
      <c r="Q977" s="49" t="s">
        <v>33</v>
      </c>
      <c r="R977" s="49" t="s">
        <v>260</v>
      </c>
      <c r="S977" s="49" t="s">
        <v>25</v>
      </c>
      <c r="T977" s="49"/>
    </row>
    <row r="978" spans="1:20" ht="15.95" customHeight="1" x14ac:dyDescent="0.2">
      <c r="A978" s="35"/>
      <c r="B978" s="25" t="s">
        <v>5</v>
      </c>
      <c r="C978" s="6">
        <f>D978+E978+F978+G978+H978</f>
        <v>27377.3658</v>
      </c>
      <c r="D978" s="8">
        <f t="shared" ref="D978" si="360">SUM(D979:D982)</f>
        <v>27377.3658</v>
      </c>
      <c r="E978" s="8">
        <f t="shared" ref="E978:F978" si="361">SUM(E979:E982)</f>
        <v>0</v>
      </c>
      <c r="F978" s="8">
        <f t="shared" si="361"/>
        <v>0</v>
      </c>
      <c r="G978" s="8">
        <f t="shared" ref="G978" si="362">SUM(G979:G982)</f>
        <v>0</v>
      </c>
      <c r="H978" s="8">
        <f t="shared" ref="H978" si="363">SUM(H979:H982)</f>
        <v>0</v>
      </c>
      <c r="I978" s="49"/>
      <c r="J978" s="49"/>
      <c r="K978" s="49"/>
      <c r="L978" s="49"/>
      <c r="M978" s="49"/>
      <c r="N978" s="49"/>
      <c r="O978" s="49"/>
      <c r="P978" s="75"/>
      <c r="Q978" s="49"/>
      <c r="R978" s="49"/>
      <c r="S978" s="49"/>
      <c r="T978" s="49"/>
    </row>
    <row r="979" spans="1:20" ht="15.95" customHeight="1" x14ac:dyDescent="0.2">
      <c r="A979" s="35"/>
      <c r="B979" s="25" t="s">
        <v>0</v>
      </c>
      <c r="C979" s="6">
        <f>D979+E979+F979+G979+H979</f>
        <v>0</v>
      </c>
      <c r="D979" s="8">
        <f>520169.9502-520169.9502</f>
        <v>0</v>
      </c>
      <c r="E979" s="8">
        <f>349233.39-349233.39</f>
        <v>0</v>
      </c>
      <c r="F979" s="8"/>
      <c r="G979" s="8"/>
      <c r="H979" s="8"/>
      <c r="I979" s="49"/>
      <c r="J979" s="49"/>
      <c r="K979" s="49"/>
      <c r="L979" s="49"/>
      <c r="M979" s="49"/>
      <c r="N979" s="49"/>
      <c r="O979" s="49"/>
      <c r="P979" s="75"/>
      <c r="Q979" s="49"/>
      <c r="R979" s="49"/>
      <c r="S979" s="49"/>
      <c r="T979" s="49"/>
    </row>
    <row r="980" spans="1:20" ht="15.95" customHeight="1" x14ac:dyDescent="0.2">
      <c r="A980" s="35"/>
      <c r="B980" s="25" t="s">
        <v>1</v>
      </c>
      <c r="C980" s="6">
        <f>D980+E980+F980+G980+H980</f>
        <v>27377.3658</v>
      </c>
      <c r="D980" s="8">
        <v>27377.3658</v>
      </c>
      <c r="E980" s="8">
        <v>0</v>
      </c>
      <c r="F980" s="8"/>
      <c r="G980" s="8"/>
      <c r="H980" s="8"/>
      <c r="I980" s="49"/>
      <c r="J980" s="49"/>
      <c r="K980" s="49"/>
      <c r="L980" s="49"/>
      <c r="M980" s="49"/>
      <c r="N980" s="49"/>
      <c r="O980" s="49"/>
      <c r="P980" s="75"/>
      <c r="Q980" s="49"/>
      <c r="R980" s="49"/>
      <c r="S980" s="49"/>
      <c r="T980" s="49"/>
    </row>
    <row r="981" spans="1:20" ht="15.95" customHeight="1" x14ac:dyDescent="0.2">
      <c r="A981" s="35"/>
      <c r="B981" s="25" t="s">
        <v>2</v>
      </c>
      <c r="C981" s="6">
        <f>D981+E981+F981+G981+H981</f>
        <v>0</v>
      </c>
      <c r="D981" s="8"/>
      <c r="E981" s="8"/>
      <c r="F981" s="8"/>
      <c r="G981" s="8"/>
      <c r="H981" s="8"/>
      <c r="I981" s="49"/>
      <c r="J981" s="49"/>
      <c r="K981" s="49"/>
      <c r="L981" s="49"/>
      <c r="M981" s="49"/>
      <c r="N981" s="49"/>
      <c r="O981" s="49"/>
      <c r="P981" s="75"/>
      <c r="Q981" s="49"/>
      <c r="R981" s="49"/>
      <c r="S981" s="49"/>
      <c r="T981" s="49"/>
    </row>
    <row r="982" spans="1:20" ht="15.95" customHeight="1" x14ac:dyDescent="0.2">
      <c r="A982" s="36"/>
      <c r="B982" s="25" t="s">
        <v>3</v>
      </c>
      <c r="C982" s="6">
        <f>D982+E982+F982+G982+H982</f>
        <v>0</v>
      </c>
      <c r="D982" s="8"/>
      <c r="E982" s="8"/>
      <c r="F982" s="8"/>
      <c r="G982" s="8"/>
      <c r="H982" s="8"/>
      <c r="I982" s="49"/>
      <c r="J982" s="49"/>
      <c r="K982" s="49"/>
      <c r="L982" s="49"/>
      <c r="M982" s="49"/>
      <c r="N982" s="49"/>
      <c r="O982" s="49"/>
      <c r="P982" s="75"/>
      <c r="Q982" s="49"/>
      <c r="R982" s="49"/>
      <c r="S982" s="49"/>
      <c r="T982" s="49"/>
    </row>
    <row r="983" spans="1:20" ht="15.95" customHeight="1" x14ac:dyDescent="0.2">
      <c r="A983" s="34" t="s">
        <v>214</v>
      </c>
      <c r="B983" s="37" t="s">
        <v>92</v>
      </c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8"/>
    </row>
    <row r="984" spans="1:20" ht="15.95" customHeight="1" x14ac:dyDescent="0.2">
      <c r="A984" s="35" t="s">
        <v>74</v>
      </c>
      <c r="B984" s="54" t="s">
        <v>129</v>
      </c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</row>
    <row r="985" spans="1:20" ht="50.1" customHeight="1" x14ac:dyDescent="0.2">
      <c r="A985" s="35"/>
      <c r="B985" s="57" t="s">
        <v>523</v>
      </c>
      <c r="C985" s="58"/>
      <c r="D985" s="58"/>
      <c r="E985" s="58"/>
      <c r="F985" s="58"/>
      <c r="G985" s="58"/>
      <c r="H985" s="59"/>
      <c r="I985" s="49" t="s">
        <v>20</v>
      </c>
      <c r="J985" s="49"/>
      <c r="K985" s="49" t="s">
        <v>71</v>
      </c>
      <c r="L985" s="49" t="s">
        <v>130</v>
      </c>
      <c r="M985" s="49" t="s">
        <v>92</v>
      </c>
      <c r="N985" s="49" t="s">
        <v>92</v>
      </c>
      <c r="O985" s="49" t="s">
        <v>92</v>
      </c>
      <c r="P985" s="75" t="s">
        <v>442</v>
      </c>
      <c r="Q985" s="49" t="s">
        <v>33</v>
      </c>
      <c r="R985" s="49" t="s">
        <v>8</v>
      </c>
      <c r="S985" s="49" t="s">
        <v>100</v>
      </c>
      <c r="T985" s="49"/>
    </row>
    <row r="986" spans="1:20" ht="15.95" customHeight="1" x14ac:dyDescent="0.2">
      <c r="A986" s="35"/>
      <c r="B986" s="25" t="s">
        <v>5</v>
      </c>
      <c r="C986" s="6">
        <f>D986+E986+F986+G986+H986</f>
        <v>14000</v>
      </c>
      <c r="D986" s="8">
        <f t="shared" ref="D986:F986" si="364">SUM(D987:D990)</f>
        <v>14000</v>
      </c>
      <c r="E986" s="8">
        <f t="shared" si="364"/>
        <v>0</v>
      </c>
      <c r="F986" s="8">
        <f t="shared" si="364"/>
        <v>0</v>
      </c>
      <c r="G986" s="8">
        <f t="shared" ref="G986" si="365">SUM(G987:G990)</f>
        <v>0</v>
      </c>
      <c r="H986" s="8">
        <f t="shared" ref="H986" si="366">SUM(H987:H990)</f>
        <v>0</v>
      </c>
      <c r="I986" s="49"/>
      <c r="J986" s="49"/>
      <c r="K986" s="49"/>
      <c r="L986" s="49"/>
      <c r="M986" s="49"/>
      <c r="N986" s="49"/>
      <c r="O986" s="49"/>
      <c r="P986" s="75"/>
      <c r="Q986" s="49"/>
      <c r="R986" s="49"/>
      <c r="S986" s="49"/>
      <c r="T986" s="49"/>
    </row>
    <row r="987" spans="1:20" ht="15.95" customHeight="1" x14ac:dyDescent="0.2">
      <c r="A987" s="35"/>
      <c r="B987" s="25" t="s">
        <v>0</v>
      </c>
      <c r="C987" s="6">
        <f>D987+E987+F987+G987+H987</f>
        <v>0</v>
      </c>
      <c r="D987" s="8"/>
      <c r="E987" s="8"/>
      <c r="F987" s="8"/>
      <c r="G987" s="8"/>
      <c r="H987" s="8"/>
      <c r="I987" s="49"/>
      <c r="J987" s="49"/>
      <c r="K987" s="49"/>
      <c r="L987" s="49"/>
      <c r="M987" s="49"/>
      <c r="N987" s="49"/>
      <c r="O987" s="49"/>
      <c r="P987" s="75"/>
      <c r="Q987" s="49"/>
      <c r="R987" s="49"/>
      <c r="S987" s="49"/>
      <c r="T987" s="49"/>
    </row>
    <row r="988" spans="1:20" ht="15.95" customHeight="1" x14ac:dyDescent="0.2">
      <c r="A988" s="35"/>
      <c r="B988" s="25" t="s">
        <v>1</v>
      </c>
      <c r="C988" s="6">
        <f>D988+E988+F988+G988+H988</f>
        <v>14000</v>
      </c>
      <c r="D988" s="8">
        <v>14000</v>
      </c>
      <c r="E988" s="8"/>
      <c r="F988" s="8"/>
      <c r="G988" s="8"/>
      <c r="H988" s="8"/>
      <c r="I988" s="49"/>
      <c r="J988" s="49"/>
      <c r="K988" s="49"/>
      <c r="L988" s="49"/>
      <c r="M988" s="49"/>
      <c r="N988" s="49"/>
      <c r="O988" s="49"/>
      <c r="P988" s="75"/>
      <c r="Q988" s="49"/>
      <c r="R988" s="49"/>
      <c r="S988" s="49"/>
      <c r="T988" s="49"/>
    </row>
    <row r="989" spans="1:20" ht="15.95" customHeight="1" x14ac:dyDescent="0.2">
      <c r="A989" s="35"/>
      <c r="B989" s="25" t="s">
        <v>2</v>
      </c>
      <c r="C989" s="6">
        <f>D989+E989+F989+G989+H989</f>
        <v>0</v>
      </c>
      <c r="D989" s="8"/>
      <c r="E989" s="8"/>
      <c r="F989" s="8"/>
      <c r="G989" s="8"/>
      <c r="H989" s="8"/>
      <c r="I989" s="49"/>
      <c r="J989" s="49"/>
      <c r="K989" s="49"/>
      <c r="L989" s="49"/>
      <c r="M989" s="49"/>
      <c r="N989" s="49"/>
      <c r="O989" s="49"/>
      <c r="P989" s="75"/>
      <c r="Q989" s="49"/>
      <c r="R989" s="49"/>
      <c r="S989" s="49"/>
      <c r="T989" s="49"/>
    </row>
    <row r="990" spans="1:20" ht="15.95" customHeight="1" x14ac:dyDescent="0.2">
      <c r="A990" s="36"/>
      <c r="B990" s="25" t="s">
        <v>3</v>
      </c>
      <c r="C990" s="6">
        <f>D990+E990+F990+G990+H990</f>
        <v>0</v>
      </c>
      <c r="D990" s="8"/>
      <c r="E990" s="8"/>
      <c r="F990" s="8"/>
      <c r="G990" s="8"/>
      <c r="H990" s="8"/>
      <c r="I990" s="49"/>
      <c r="J990" s="49"/>
      <c r="K990" s="49"/>
      <c r="L990" s="49"/>
      <c r="M990" s="49"/>
      <c r="N990" s="49"/>
      <c r="O990" s="49"/>
      <c r="P990" s="75"/>
      <c r="Q990" s="49"/>
      <c r="R990" s="49"/>
      <c r="S990" s="49"/>
      <c r="T990" s="49"/>
    </row>
    <row r="991" spans="1:20" ht="15.95" customHeight="1" x14ac:dyDescent="0.2">
      <c r="A991" s="34" t="s">
        <v>215</v>
      </c>
      <c r="B991" s="37" t="s">
        <v>92</v>
      </c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8"/>
    </row>
    <row r="992" spans="1:20" ht="15.95" customHeight="1" x14ac:dyDescent="0.2">
      <c r="A992" s="35" t="s">
        <v>74</v>
      </c>
      <c r="B992" s="54" t="s">
        <v>321</v>
      </c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</row>
    <row r="993" spans="1:20" ht="50.1" customHeight="1" x14ac:dyDescent="0.2">
      <c r="A993" s="35"/>
      <c r="B993" s="57" t="s">
        <v>366</v>
      </c>
      <c r="C993" s="58"/>
      <c r="D993" s="58"/>
      <c r="E993" s="58"/>
      <c r="F993" s="58"/>
      <c r="G993" s="58"/>
      <c r="H993" s="59"/>
      <c r="I993" s="49" t="s">
        <v>23</v>
      </c>
      <c r="J993" s="49"/>
      <c r="K993" s="49" t="s">
        <v>42</v>
      </c>
      <c r="L993" s="49"/>
      <c r="M993" s="49" t="s">
        <v>92</v>
      </c>
      <c r="N993" s="49" t="s">
        <v>92</v>
      </c>
      <c r="O993" s="49" t="s">
        <v>92</v>
      </c>
      <c r="P993" s="75" t="s">
        <v>443</v>
      </c>
      <c r="Q993" s="49" t="s">
        <v>33</v>
      </c>
      <c r="R993" s="49" t="s">
        <v>322</v>
      </c>
      <c r="S993" s="49" t="s">
        <v>25</v>
      </c>
      <c r="T993" s="49"/>
    </row>
    <row r="994" spans="1:20" ht="15.95" customHeight="1" x14ac:dyDescent="0.2">
      <c r="A994" s="35"/>
      <c r="B994" s="25" t="s">
        <v>5</v>
      </c>
      <c r="C994" s="6">
        <f t="shared" ref="C994:C995" si="367">D994+E994+F994+G994+H994</f>
        <v>20000</v>
      </c>
      <c r="D994" s="8">
        <f t="shared" ref="D994:F994" si="368">SUM(D995:D998)</f>
        <v>20000</v>
      </c>
      <c r="E994" s="8">
        <f t="shared" si="368"/>
        <v>0</v>
      </c>
      <c r="F994" s="8">
        <f t="shared" si="368"/>
        <v>0</v>
      </c>
      <c r="G994" s="8">
        <f t="shared" ref="G994:H994" si="369">SUM(G995:G998)</f>
        <v>0</v>
      </c>
      <c r="H994" s="8">
        <f t="shared" si="369"/>
        <v>0</v>
      </c>
      <c r="I994" s="49"/>
      <c r="J994" s="49"/>
      <c r="K994" s="49"/>
      <c r="L994" s="49"/>
      <c r="M994" s="49"/>
      <c r="N994" s="49"/>
      <c r="O994" s="49"/>
      <c r="P994" s="75"/>
      <c r="Q994" s="49"/>
      <c r="R994" s="49"/>
      <c r="S994" s="49"/>
      <c r="T994" s="49"/>
    </row>
    <row r="995" spans="1:20" ht="15.95" customHeight="1" x14ac:dyDescent="0.2">
      <c r="A995" s="35"/>
      <c r="B995" s="25" t="s">
        <v>0</v>
      </c>
      <c r="C995" s="6">
        <f t="shared" si="367"/>
        <v>0</v>
      </c>
      <c r="D995" s="8"/>
      <c r="E995" s="8"/>
      <c r="F995" s="8"/>
      <c r="G995" s="8"/>
      <c r="H995" s="8"/>
      <c r="I995" s="49"/>
      <c r="J995" s="49"/>
      <c r="K995" s="49"/>
      <c r="L995" s="49"/>
      <c r="M995" s="49"/>
      <c r="N995" s="49"/>
      <c r="O995" s="49"/>
      <c r="P995" s="75"/>
      <c r="Q995" s="49"/>
      <c r="R995" s="49"/>
      <c r="S995" s="49"/>
      <c r="T995" s="49"/>
    </row>
    <row r="996" spans="1:20" ht="15.95" customHeight="1" x14ac:dyDescent="0.2">
      <c r="A996" s="35"/>
      <c r="B996" s="25" t="s">
        <v>1</v>
      </c>
      <c r="C996" s="6">
        <f>D996+E996+F996+G996+H996</f>
        <v>20000</v>
      </c>
      <c r="D996" s="8">
        <v>20000</v>
      </c>
      <c r="E996" s="8"/>
      <c r="F996" s="8"/>
      <c r="G996" s="8"/>
      <c r="H996" s="8"/>
      <c r="I996" s="49"/>
      <c r="J996" s="49"/>
      <c r="K996" s="49"/>
      <c r="L996" s="49"/>
      <c r="M996" s="49"/>
      <c r="N996" s="49"/>
      <c r="O996" s="49"/>
      <c r="P996" s="75"/>
      <c r="Q996" s="49"/>
      <c r="R996" s="49"/>
      <c r="S996" s="49"/>
      <c r="T996" s="49"/>
    </row>
    <row r="997" spans="1:20" ht="15.95" customHeight="1" x14ac:dyDescent="0.2">
      <c r="A997" s="35"/>
      <c r="B997" s="25" t="s">
        <v>2</v>
      </c>
      <c r="C997" s="6">
        <f t="shared" ref="C997:C998" si="370">D997+E997+F997+G997+H997</f>
        <v>0</v>
      </c>
      <c r="D997" s="8"/>
      <c r="E997" s="8"/>
      <c r="F997" s="8"/>
      <c r="G997" s="8"/>
      <c r="H997" s="8"/>
      <c r="I997" s="49"/>
      <c r="J997" s="49"/>
      <c r="K997" s="49"/>
      <c r="L997" s="49"/>
      <c r="M997" s="49"/>
      <c r="N997" s="49"/>
      <c r="O997" s="49"/>
      <c r="P997" s="75"/>
      <c r="Q997" s="49"/>
      <c r="R997" s="49"/>
      <c r="S997" s="49"/>
      <c r="T997" s="49"/>
    </row>
    <row r="998" spans="1:20" ht="15.95" customHeight="1" x14ac:dyDescent="0.2">
      <c r="A998" s="36"/>
      <c r="B998" s="25" t="s">
        <v>3</v>
      </c>
      <c r="C998" s="6">
        <f t="shared" si="370"/>
        <v>0</v>
      </c>
      <c r="D998" s="8"/>
      <c r="E998" s="8"/>
      <c r="F998" s="8"/>
      <c r="G998" s="8"/>
      <c r="H998" s="8"/>
      <c r="I998" s="49"/>
      <c r="J998" s="49"/>
      <c r="K998" s="49"/>
      <c r="L998" s="49"/>
      <c r="M998" s="49"/>
      <c r="N998" s="49"/>
      <c r="O998" s="49"/>
      <c r="P998" s="75"/>
      <c r="Q998" s="49"/>
      <c r="R998" s="49"/>
      <c r="S998" s="49"/>
      <c r="T998" s="49"/>
    </row>
    <row r="999" spans="1:20" ht="15.95" customHeight="1" x14ac:dyDescent="0.2">
      <c r="A999" s="34" t="s">
        <v>216</v>
      </c>
      <c r="B999" s="37" t="s">
        <v>92</v>
      </c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8"/>
    </row>
    <row r="1000" spans="1:20" ht="15.95" customHeight="1" x14ac:dyDescent="0.2">
      <c r="A1000" s="35" t="s">
        <v>74</v>
      </c>
      <c r="B1000" s="54" t="s">
        <v>128</v>
      </c>
      <c r="C1000" s="54"/>
      <c r="D1000" s="54"/>
      <c r="E1000" s="54"/>
      <c r="F1000" s="54"/>
      <c r="G1000" s="54"/>
      <c r="H1000" s="54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54"/>
    </row>
    <row r="1001" spans="1:20" ht="50.1" customHeight="1" x14ac:dyDescent="0.2">
      <c r="A1001" s="35"/>
      <c r="B1001" s="57" t="s">
        <v>662</v>
      </c>
      <c r="C1001" s="58"/>
      <c r="D1001" s="58"/>
      <c r="E1001" s="58"/>
      <c r="F1001" s="58"/>
      <c r="G1001" s="58"/>
      <c r="H1001" s="59"/>
      <c r="I1001" s="69" t="s">
        <v>463</v>
      </c>
      <c r="J1001" s="69" t="s">
        <v>23</v>
      </c>
      <c r="K1001" s="69" t="s">
        <v>42</v>
      </c>
      <c r="L1001" s="69" t="s">
        <v>324</v>
      </c>
      <c r="M1001" s="69" t="s">
        <v>93</v>
      </c>
      <c r="N1001" s="43" t="s">
        <v>150</v>
      </c>
      <c r="O1001" s="69" t="s">
        <v>93</v>
      </c>
      <c r="P1001" s="72" t="s">
        <v>325</v>
      </c>
      <c r="Q1001" s="69" t="s">
        <v>33</v>
      </c>
      <c r="R1001" s="69" t="s">
        <v>43</v>
      </c>
      <c r="S1001" s="69" t="s">
        <v>25</v>
      </c>
      <c r="T1001" s="81"/>
    </row>
    <row r="1002" spans="1:20" ht="15.95" customHeight="1" x14ac:dyDescent="0.2">
      <c r="A1002" s="35"/>
      <c r="B1002" s="25" t="s">
        <v>5</v>
      </c>
      <c r="C1002" s="6">
        <f t="shared" ref="C1002:C1003" si="371">D1002+E1002+F1002+G1002+H1002</f>
        <v>53841.845000000001</v>
      </c>
      <c r="D1002" s="8">
        <f t="shared" ref="D1002:F1002" si="372">SUM(D1003:D1006)</f>
        <v>16036.986000000001</v>
      </c>
      <c r="E1002" s="8">
        <f t="shared" si="372"/>
        <v>37804.858999999997</v>
      </c>
      <c r="F1002" s="8">
        <f t="shared" si="372"/>
        <v>0</v>
      </c>
      <c r="G1002" s="8">
        <f t="shared" ref="G1002:H1002" si="373">SUM(G1003:G1006)</f>
        <v>0</v>
      </c>
      <c r="H1002" s="11">
        <f t="shared" si="373"/>
        <v>0</v>
      </c>
      <c r="I1002" s="70"/>
      <c r="J1002" s="70"/>
      <c r="K1002" s="70"/>
      <c r="L1002" s="70"/>
      <c r="M1002" s="70"/>
      <c r="N1002" s="44"/>
      <c r="O1002" s="70"/>
      <c r="P1002" s="73"/>
      <c r="Q1002" s="70"/>
      <c r="R1002" s="70"/>
      <c r="S1002" s="70"/>
      <c r="T1002" s="81"/>
    </row>
    <row r="1003" spans="1:20" ht="15.95" customHeight="1" x14ac:dyDescent="0.2">
      <c r="A1003" s="35"/>
      <c r="B1003" s="25" t="s">
        <v>0</v>
      </c>
      <c r="C1003" s="6">
        <f t="shared" si="371"/>
        <v>0</v>
      </c>
      <c r="D1003" s="8">
        <v>0</v>
      </c>
      <c r="E1003" s="8">
        <f>380000-380000</f>
        <v>0</v>
      </c>
      <c r="F1003" s="8"/>
      <c r="G1003" s="8"/>
      <c r="H1003" s="11"/>
      <c r="I1003" s="70"/>
      <c r="J1003" s="70"/>
      <c r="K1003" s="70"/>
      <c r="L1003" s="70"/>
      <c r="M1003" s="70"/>
      <c r="N1003" s="44"/>
      <c r="O1003" s="70"/>
      <c r="P1003" s="73"/>
      <c r="Q1003" s="70"/>
      <c r="R1003" s="70"/>
      <c r="S1003" s="70"/>
      <c r="T1003" s="81"/>
    </row>
    <row r="1004" spans="1:20" ht="15.95" customHeight="1" x14ac:dyDescent="0.2">
      <c r="A1004" s="35"/>
      <c r="B1004" s="25" t="s">
        <v>1</v>
      </c>
      <c r="C1004" s="6">
        <f>D1004+E1004+F1004+G1004+H1004</f>
        <v>53841.845000000001</v>
      </c>
      <c r="D1004" s="8">
        <v>16036.986000000001</v>
      </c>
      <c r="E1004" s="8">
        <v>37804.858999999997</v>
      </c>
      <c r="F1004" s="8"/>
      <c r="G1004" s="8"/>
      <c r="H1004" s="11"/>
      <c r="I1004" s="70"/>
      <c r="J1004" s="70"/>
      <c r="K1004" s="70"/>
      <c r="L1004" s="70"/>
      <c r="M1004" s="70"/>
      <c r="N1004" s="44"/>
      <c r="O1004" s="70"/>
      <c r="P1004" s="73"/>
      <c r="Q1004" s="70"/>
      <c r="R1004" s="70"/>
      <c r="S1004" s="70"/>
      <c r="T1004" s="81"/>
    </row>
    <row r="1005" spans="1:20" ht="15.95" customHeight="1" x14ac:dyDescent="0.2">
      <c r="A1005" s="35"/>
      <c r="B1005" s="25" t="s">
        <v>2</v>
      </c>
      <c r="C1005" s="6">
        <f t="shared" ref="C1005:C1006" si="374">D1005+E1005+F1005+G1005+H1005</f>
        <v>0</v>
      </c>
      <c r="D1005" s="8"/>
      <c r="E1005" s="8"/>
      <c r="F1005" s="8"/>
      <c r="G1005" s="8"/>
      <c r="H1005" s="11"/>
      <c r="I1005" s="70"/>
      <c r="J1005" s="70"/>
      <c r="K1005" s="70"/>
      <c r="L1005" s="70"/>
      <c r="M1005" s="70"/>
      <c r="N1005" s="44"/>
      <c r="O1005" s="70"/>
      <c r="P1005" s="73"/>
      <c r="Q1005" s="70"/>
      <c r="R1005" s="70"/>
      <c r="S1005" s="70"/>
      <c r="T1005" s="81"/>
    </row>
    <row r="1006" spans="1:20" ht="15.95" customHeight="1" x14ac:dyDescent="0.2">
      <c r="A1006" s="36"/>
      <c r="B1006" s="25" t="s">
        <v>3</v>
      </c>
      <c r="C1006" s="6">
        <f t="shared" si="374"/>
        <v>0</v>
      </c>
      <c r="D1006" s="8"/>
      <c r="E1006" s="8"/>
      <c r="F1006" s="8"/>
      <c r="G1006" s="8"/>
      <c r="H1006" s="11"/>
      <c r="I1006" s="71"/>
      <c r="J1006" s="71"/>
      <c r="K1006" s="71"/>
      <c r="L1006" s="71"/>
      <c r="M1006" s="71"/>
      <c r="N1006" s="45"/>
      <c r="O1006" s="71"/>
      <c r="P1006" s="74"/>
      <c r="Q1006" s="71"/>
      <c r="R1006" s="71"/>
      <c r="S1006" s="71"/>
      <c r="T1006" s="81"/>
    </row>
    <row r="1007" spans="1:20" ht="15.95" customHeight="1" x14ac:dyDescent="0.2">
      <c r="A1007" s="34" t="s">
        <v>217</v>
      </c>
      <c r="B1007" s="37" t="s">
        <v>92</v>
      </c>
      <c r="C1007" s="37"/>
      <c r="D1007" s="37"/>
      <c r="E1007" s="37"/>
      <c r="F1007" s="37"/>
      <c r="G1007" s="37"/>
      <c r="H1007" s="37"/>
      <c r="I1007" s="76"/>
      <c r="J1007" s="76"/>
      <c r="K1007" s="76"/>
      <c r="L1007" s="76"/>
      <c r="M1007" s="76"/>
      <c r="N1007" s="76"/>
      <c r="O1007" s="76"/>
      <c r="P1007" s="76"/>
      <c r="Q1007" s="76"/>
      <c r="R1007" s="76"/>
      <c r="S1007" s="76"/>
      <c r="T1007" s="38"/>
    </row>
    <row r="1008" spans="1:20" ht="15.95" customHeight="1" x14ac:dyDescent="0.2">
      <c r="A1008" s="35" t="s">
        <v>74</v>
      </c>
      <c r="B1008" s="54" t="s">
        <v>128</v>
      </c>
      <c r="C1008" s="54"/>
      <c r="D1008" s="54"/>
      <c r="E1008" s="54"/>
      <c r="F1008" s="54"/>
      <c r="G1008" s="54"/>
      <c r="H1008" s="54"/>
      <c r="I1008" s="77"/>
      <c r="J1008" s="77"/>
      <c r="K1008" s="77"/>
      <c r="L1008" s="77"/>
      <c r="M1008" s="77"/>
      <c r="N1008" s="77"/>
      <c r="O1008" s="77"/>
      <c r="P1008" s="77"/>
      <c r="Q1008" s="77"/>
      <c r="R1008" s="77"/>
      <c r="S1008" s="77"/>
      <c r="T1008" s="77"/>
    </row>
    <row r="1009" spans="1:20" ht="50.1" customHeight="1" x14ac:dyDescent="0.2">
      <c r="A1009" s="35"/>
      <c r="B1009" s="57" t="s">
        <v>327</v>
      </c>
      <c r="C1009" s="58"/>
      <c r="D1009" s="58"/>
      <c r="E1009" s="58"/>
      <c r="F1009" s="58"/>
      <c r="G1009" s="58"/>
      <c r="H1009" s="59"/>
      <c r="I1009" s="43" t="s">
        <v>243</v>
      </c>
      <c r="J1009" s="69"/>
      <c r="K1009" s="69" t="s">
        <v>42</v>
      </c>
      <c r="L1009" s="69" t="s">
        <v>328</v>
      </c>
      <c r="M1009" s="69" t="s">
        <v>93</v>
      </c>
      <c r="N1009" s="43" t="s">
        <v>150</v>
      </c>
      <c r="O1009" s="69" t="s">
        <v>93</v>
      </c>
      <c r="P1009" s="72" t="s">
        <v>444</v>
      </c>
      <c r="Q1009" s="69" t="s">
        <v>33</v>
      </c>
      <c r="R1009" s="69" t="s">
        <v>40</v>
      </c>
      <c r="S1009" s="43" t="s">
        <v>35</v>
      </c>
      <c r="T1009" s="69" t="s">
        <v>502</v>
      </c>
    </row>
    <row r="1010" spans="1:20" ht="15.95" customHeight="1" x14ac:dyDescent="0.2">
      <c r="A1010" s="35"/>
      <c r="B1010" s="25" t="s">
        <v>5</v>
      </c>
      <c r="C1010" s="6">
        <f t="shared" ref="C1010:C1011" si="375">D1010+E1010+F1010+G1010+H1010</f>
        <v>93187.763999999996</v>
      </c>
      <c r="D1010" s="8">
        <f t="shared" ref="D1010:F1010" si="376">SUM(D1011:D1014)</f>
        <v>93187.763999999996</v>
      </c>
      <c r="E1010" s="8">
        <f t="shared" si="376"/>
        <v>0</v>
      </c>
      <c r="F1010" s="8">
        <f t="shared" si="376"/>
        <v>0</v>
      </c>
      <c r="G1010" s="8">
        <f t="shared" ref="G1010:H1010" si="377">SUM(G1011:G1014)</f>
        <v>0</v>
      </c>
      <c r="H1010" s="11">
        <f t="shared" si="377"/>
        <v>0</v>
      </c>
      <c r="I1010" s="44"/>
      <c r="J1010" s="70"/>
      <c r="K1010" s="70"/>
      <c r="L1010" s="70"/>
      <c r="M1010" s="70"/>
      <c r="N1010" s="44"/>
      <c r="O1010" s="70"/>
      <c r="P1010" s="73"/>
      <c r="Q1010" s="70"/>
      <c r="R1010" s="70"/>
      <c r="S1010" s="44"/>
      <c r="T1010" s="70"/>
    </row>
    <row r="1011" spans="1:20" ht="15.95" customHeight="1" x14ac:dyDescent="0.2">
      <c r="A1011" s="35"/>
      <c r="B1011" s="25" t="s">
        <v>0</v>
      </c>
      <c r="C1011" s="6">
        <f t="shared" si="375"/>
        <v>0</v>
      </c>
      <c r="D1011" s="8"/>
      <c r="E1011" s="8"/>
      <c r="F1011" s="8"/>
      <c r="G1011" s="8"/>
      <c r="H1011" s="11"/>
      <c r="I1011" s="44"/>
      <c r="J1011" s="70"/>
      <c r="K1011" s="70"/>
      <c r="L1011" s="70"/>
      <c r="M1011" s="70"/>
      <c r="N1011" s="44"/>
      <c r="O1011" s="70"/>
      <c r="P1011" s="73"/>
      <c r="Q1011" s="70"/>
      <c r="R1011" s="70"/>
      <c r="S1011" s="44"/>
      <c r="T1011" s="70"/>
    </row>
    <row r="1012" spans="1:20" ht="15.95" customHeight="1" x14ac:dyDescent="0.2">
      <c r="A1012" s="35"/>
      <c r="B1012" s="25" t="s">
        <v>1</v>
      </c>
      <c r="C1012" s="6">
        <f>D1012+E1012+F1012+G1012+H1012</f>
        <v>93187.763999999996</v>
      </c>
      <c r="D1012" s="8">
        <v>93187.763999999996</v>
      </c>
      <c r="E1012" s="8"/>
      <c r="F1012" s="8"/>
      <c r="G1012" s="8"/>
      <c r="H1012" s="11"/>
      <c r="I1012" s="44"/>
      <c r="J1012" s="70"/>
      <c r="K1012" s="70"/>
      <c r="L1012" s="70"/>
      <c r="M1012" s="70"/>
      <c r="N1012" s="44"/>
      <c r="O1012" s="70"/>
      <c r="P1012" s="73"/>
      <c r="Q1012" s="70"/>
      <c r="R1012" s="70"/>
      <c r="S1012" s="44"/>
      <c r="T1012" s="70"/>
    </row>
    <row r="1013" spans="1:20" ht="15.95" customHeight="1" x14ac:dyDescent="0.2">
      <c r="A1013" s="35"/>
      <c r="B1013" s="25" t="s">
        <v>2</v>
      </c>
      <c r="C1013" s="6">
        <f t="shared" ref="C1013:C1014" si="378">D1013+E1013+F1013+G1013+H1013</f>
        <v>0</v>
      </c>
      <c r="D1013" s="8"/>
      <c r="E1013" s="8"/>
      <c r="F1013" s="8"/>
      <c r="G1013" s="8"/>
      <c r="H1013" s="11"/>
      <c r="I1013" s="44"/>
      <c r="J1013" s="70"/>
      <c r="K1013" s="70"/>
      <c r="L1013" s="70"/>
      <c r="M1013" s="70"/>
      <c r="N1013" s="44"/>
      <c r="O1013" s="70"/>
      <c r="P1013" s="73"/>
      <c r="Q1013" s="70"/>
      <c r="R1013" s="70"/>
      <c r="S1013" s="44"/>
      <c r="T1013" s="70"/>
    </row>
    <row r="1014" spans="1:20" ht="15.95" customHeight="1" x14ac:dyDescent="0.2">
      <c r="A1014" s="36"/>
      <c r="B1014" s="25" t="s">
        <v>3</v>
      </c>
      <c r="C1014" s="6">
        <f t="shared" si="378"/>
        <v>0</v>
      </c>
      <c r="D1014" s="8"/>
      <c r="E1014" s="8"/>
      <c r="F1014" s="8"/>
      <c r="G1014" s="8"/>
      <c r="H1014" s="11"/>
      <c r="I1014" s="45"/>
      <c r="J1014" s="71"/>
      <c r="K1014" s="71"/>
      <c r="L1014" s="71"/>
      <c r="M1014" s="71"/>
      <c r="N1014" s="45"/>
      <c r="O1014" s="71"/>
      <c r="P1014" s="74"/>
      <c r="Q1014" s="71"/>
      <c r="R1014" s="71"/>
      <c r="S1014" s="45"/>
      <c r="T1014" s="71"/>
    </row>
    <row r="1015" spans="1:20" ht="15.95" customHeight="1" x14ac:dyDescent="0.2">
      <c r="A1015" s="34" t="s">
        <v>320</v>
      </c>
      <c r="B1015" s="37" t="s">
        <v>92</v>
      </c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8"/>
    </row>
    <row r="1016" spans="1:20" ht="15.95" customHeight="1" x14ac:dyDescent="0.2">
      <c r="A1016" s="35" t="s">
        <v>74</v>
      </c>
      <c r="B1016" s="54" t="s">
        <v>128</v>
      </c>
      <c r="C1016" s="54"/>
      <c r="D1016" s="54"/>
      <c r="E1016" s="54"/>
      <c r="F1016" s="54"/>
      <c r="G1016" s="54"/>
      <c r="H1016" s="54"/>
      <c r="I1016" s="77"/>
      <c r="J1016" s="77"/>
      <c r="K1016" s="77"/>
      <c r="L1016" s="77"/>
      <c r="M1016" s="77"/>
      <c r="N1016" s="77"/>
      <c r="O1016" s="77"/>
      <c r="P1016" s="77"/>
      <c r="Q1016" s="77"/>
      <c r="R1016" s="77"/>
      <c r="S1016" s="77"/>
      <c r="T1016" s="77"/>
    </row>
    <row r="1017" spans="1:20" ht="50.1" customHeight="1" x14ac:dyDescent="0.2">
      <c r="A1017" s="35"/>
      <c r="B1017" s="57" t="s">
        <v>330</v>
      </c>
      <c r="C1017" s="58"/>
      <c r="D1017" s="58"/>
      <c r="E1017" s="58"/>
      <c r="F1017" s="58"/>
      <c r="G1017" s="58"/>
      <c r="H1017" s="59"/>
      <c r="I1017" s="43" t="s">
        <v>464</v>
      </c>
      <c r="J1017" s="69"/>
      <c r="K1017" s="69" t="s">
        <v>42</v>
      </c>
      <c r="L1017" s="69" t="s">
        <v>331</v>
      </c>
      <c r="M1017" s="69" t="s">
        <v>93</v>
      </c>
      <c r="N1017" s="43" t="s">
        <v>150</v>
      </c>
      <c r="O1017" s="69" t="s">
        <v>93</v>
      </c>
      <c r="P1017" s="72" t="s">
        <v>445</v>
      </c>
      <c r="Q1017" s="69" t="s">
        <v>33</v>
      </c>
      <c r="R1017" s="69" t="s">
        <v>37</v>
      </c>
      <c r="S1017" s="43" t="s">
        <v>35</v>
      </c>
      <c r="T1017" s="69" t="s">
        <v>503</v>
      </c>
    </row>
    <row r="1018" spans="1:20" ht="15.95" customHeight="1" x14ac:dyDescent="0.2">
      <c r="A1018" s="35"/>
      <c r="B1018" s="25" t="s">
        <v>5</v>
      </c>
      <c r="C1018" s="6">
        <f t="shared" ref="C1018:C1019" si="379">D1018+E1018+F1018+G1018+H1018</f>
        <v>49806.016000000003</v>
      </c>
      <c r="D1018" s="8">
        <f t="shared" ref="D1018:F1018" si="380">SUM(D1019:D1022)</f>
        <v>49806.016000000003</v>
      </c>
      <c r="E1018" s="8">
        <f t="shared" si="380"/>
        <v>0</v>
      </c>
      <c r="F1018" s="8">
        <f t="shared" si="380"/>
        <v>0</v>
      </c>
      <c r="G1018" s="8">
        <f t="shared" ref="G1018:H1018" si="381">SUM(G1019:G1022)</f>
        <v>0</v>
      </c>
      <c r="H1018" s="11">
        <f t="shared" si="381"/>
        <v>0</v>
      </c>
      <c r="I1018" s="44"/>
      <c r="J1018" s="70"/>
      <c r="K1018" s="70"/>
      <c r="L1018" s="70"/>
      <c r="M1018" s="70"/>
      <c r="N1018" s="44"/>
      <c r="O1018" s="70"/>
      <c r="P1018" s="73"/>
      <c r="Q1018" s="70"/>
      <c r="R1018" s="70"/>
      <c r="S1018" s="44"/>
      <c r="T1018" s="70"/>
    </row>
    <row r="1019" spans="1:20" ht="15.95" customHeight="1" x14ac:dyDescent="0.2">
      <c r="A1019" s="35"/>
      <c r="B1019" s="25" t="s">
        <v>0</v>
      </c>
      <c r="C1019" s="6">
        <f t="shared" si="379"/>
        <v>0</v>
      </c>
      <c r="D1019" s="8"/>
      <c r="E1019" s="8"/>
      <c r="F1019" s="8"/>
      <c r="G1019" s="8"/>
      <c r="H1019" s="11"/>
      <c r="I1019" s="44"/>
      <c r="J1019" s="70"/>
      <c r="K1019" s="70"/>
      <c r="L1019" s="70"/>
      <c r="M1019" s="70"/>
      <c r="N1019" s="44"/>
      <c r="O1019" s="70"/>
      <c r="P1019" s="73"/>
      <c r="Q1019" s="70"/>
      <c r="R1019" s="70"/>
      <c r="S1019" s="44"/>
      <c r="T1019" s="70"/>
    </row>
    <row r="1020" spans="1:20" ht="15.95" customHeight="1" x14ac:dyDescent="0.2">
      <c r="A1020" s="35"/>
      <c r="B1020" s="25" t="s">
        <v>1</v>
      </c>
      <c r="C1020" s="6">
        <f>D1020+E1020+F1020+G1020+H1020</f>
        <v>49806.016000000003</v>
      </c>
      <c r="D1020" s="8">
        <v>49806.016000000003</v>
      </c>
      <c r="E1020" s="8"/>
      <c r="F1020" s="8"/>
      <c r="G1020" s="8"/>
      <c r="H1020" s="11"/>
      <c r="I1020" s="44"/>
      <c r="J1020" s="70"/>
      <c r="K1020" s="70"/>
      <c r="L1020" s="70"/>
      <c r="M1020" s="70"/>
      <c r="N1020" s="44"/>
      <c r="O1020" s="70"/>
      <c r="P1020" s="73"/>
      <c r="Q1020" s="70"/>
      <c r="R1020" s="70"/>
      <c r="S1020" s="44"/>
      <c r="T1020" s="70"/>
    </row>
    <row r="1021" spans="1:20" ht="15.95" customHeight="1" x14ac:dyDescent="0.2">
      <c r="A1021" s="35"/>
      <c r="B1021" s="25" t="s">
        <v>2</v>
      </c>
      <c r="C1021" s="6">
        <f t="shared" ref="C1021:C1022" si="382">D1021+E1021+F1021+G1021+H1021</f>
        <v>0</v>
      </c>
      <c r="D1021" s="8"/>
      <c r="E1021" s="8"/>
      <c r="F1021" s="8"/>
      <c r="G1021" s="8"/>
      <c r="H1021" s="11"/>
      <c r="I1021" s="44"/>
      <c r="J1021" s="70"/>
      <c r="K1021" s="70"/>
      <c r="L1021" s="70"/>
      <c r="M1021" s="70"/>
      <c r="N1021" s="44"/>
      <c r="O1021" s="70"/>
      <c r="P1021" s="73"/>
      <c r="Q1021" s="70"/>
      <c r="R1021" s="70"/>
      <c r="S1021" s="44"/>
      <c r="T1021" s="70"/>
    </row>
    <row r="1022" spans="1:20" ht="15.95" customHeight="1" x14ac:dyDescent="0.2">
      <c r="A1022" s="36"/>
      <c r="B1022" s="25" t="s">
        <v>3</v>
      </c>
      <c r="C1022" s="6">
        <f t="shared" si="382"/>
        <v>0</v>
      </c>
      <c r="D1022" s="8"/>
      <c r="E1022" s="8"/>
      <c r="F1022" s="8"/>
      <c r="G1022" s="8"/>
      <c r="H1022" s="11"/>
      <c r="I1022" s="45"/>
      <c r="J1022" s="71"/>
      <c r="K1022" s="71"/>
      <c r="L1022" s="71"/>
      <c r="M1022" s="71"/>
      <c r="N1022" s="45"/>
      <c r="O1022" s="71"/>
      <c r="P1022" s="74"/>
      <c r="Q1022" s="71"/>
      <c r="R1022" s="71"/>
      <c r="S1022" s="45"/>
      <c r="T1022" s="71"/>
    </row>
    <row r="1023" spans="1:20" ht="15.95" customHeight="1" x14ac:dyDescent="0.2">
      <c r="A1023" s="34" t="s">
        <v>323</v>
      </c>
      <c r="B1023" s="37" t="s">
        <v>92</v>
      </c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8"/>
    </row>
    <row r="1024" spans="1:20" ht="15.95" customHeight="1" x14ac:dyDescent="0.2">
      <c r="A1024" s="35" t="s">
        <v>74</v>
      </c>
      <c r="B1024" s="54" t="s">
        <v>128</v>
      </c>
      <c r="C1024" s="54"/>
      <c r="D1024" s="54"/>
      <c r="E1024" s="54"/>
      <c r="F1024" s="54"/>
      <c r="G1024" s="54"/>
      <c r="H1024" s="54"/>
      <c r="I1024" s="77"/>
      <c r="J1024" s="77"/>
      <c r="K1024" s="77"/>
      <c r="L1024" s="77"/>
      <c r="M1024" s="77"/>
      <c r="N1024" s="77"/>
      <c r="O1024" s="77"/>
      <c r="P1024" s="77"/>
      <c r="Q1024" s="77"/>
      <c r="R1024" s="77"/>
      <c r="S1024" s="77"/>
      <c r="T1024" s="77"/>
    </row>
    <row r="1025" spans="1:20" ht="50.1" customHeight="1" x14ac:dyDescent="0.2">
      <c r="A1025" s="35"/>
      <c r="B1025" s="57" t="s">
        <v>717</v>
      </c>
      <c r="C1025" s="58"/>
      <c r="D1025" s="58"/>
      <c r="E1025" s="58"/>
      <c r="F1025" s="58"/>
      <c r="G1025" s="58"/>
      <c r="H1025" s="59"/>
      <c r="I1025" s="43" t="s">
        <v>465</v>
      </c>
      <c r="J1025" s="69" t="s">
        <v>20</v>
      </c>
      <c r="K1025" s="69" t="s">
        <v>42</v>
      </c>
      <c r="L1025" s="69" t="s">
        <v>333</v>
      </c>
      <c r="M1025" s="69" t="s">
        <v>93</v>
      </c>
      <c r="N1025" s="43" t="s">
        <v>150</v>
      </c>
      <c r="O1025" s="69" t="s">
        <v>93</v>
      </c>
      <c r="P1025" s="72" t="s">
        <v>334</v>
      </c>
      <c r="Q1025" s="69" t="s">
        <v>33</v>
      </c>
      <c r="R1025" s="69" t="s">
        <v>37</v>
      </c>
      <c r="S1025" s="43" t="s">
        <v>25</v>
      </c>
      <c r="T1025" s="69"/>
    </row>
    <row r="1026" spans="1:20" ht="15.95" customHeight="1" x14ac:dyDescent="0.2">
      <c r="A1026" s="35"/>
      <c r="B1026" s="25" t="s">
        <v>5</v>
      </c>
      <c r="C1026" s="6">
        <f t="shared" ref="C1026:C1027" si="383">D1026+E1026+F1026+G1026+H1026</f>
        <v>24908.554000000004</v>
      </c>
      <c r="D1026" s="8">
        <f t="shared" ref="D1026:F1026" si="384">SUM(D1027:D1030)</f>
        <v>7110.4</v>
      </c>
      <c r="E1026" s="8">
        <f t="shared" si="384"/>
        <v>17798.154000000002</v>
      </c>
      <c r="F1026" s="8">
        <f t="shared" si="384"/>
        <v>0</v>
      </c>
      <c r="G1026" s="8">
        <f t="shared" ref="G1026:H1026" si="385">SUM(G1027:G1030)</f>
        <v>0</v>
      </c>
      <c r="H1026" s="11">
        <f t="shared" si="385"/>
        <v>0</v>
      </c>
      <c r="I1026" s="44"/>
      <c r="J1026" s="70"/>
      <c r="K1026" s="70"/>
      <c r="L1026" s="70"/>
      <c r="M1026" s="70"/>
      <c r="N1026" s="44"/>
      <c r="O1026" s="70"/>
      <c r="P1026" s="73"/>
      <c r="Q1026" s="70"/>
      <c r="R1026" s="70"/>
      <c r="S1026" s="44"/>
      <c r="T1026" s="70"/>
    </row>
    <row r="1027" spans="1:20" ht="15.95" customHeight="1" x14ac:dyDescent="0.2">
      <c r="A1027" s="35"/>
      <c r="B1027" s="25" t="s">
        <v>0</v>
      </c>
      <c r="C1027" s="6">
        <f t="shared" si="383"/>
        <v>0</v>
      </c>
      <c r="D1027" s="8"/>
      <c r="E1027" s="8"/>
      <c r="F1027" s="8"/>
      <c r="G1027" s="8"/>
      <c r="H1027" s="11"/>
      <c r="I1027" s="44"/>
      <c r="J1027" s="70"/>
      <c r="K1027" s="70"/>
      <c r="L1027" s="70"/>
      <c r="M1027" s="70"/>
      <c r="N1027" s="44"/>
      <c r="O1027" s="70"/>
      <c r="P1027" s="73"/>
      <c r="Q1027" s="70"/>
      <c r="R1027" s="70"/>
      <c r="S1027" s="44"/>
      <c r="T1027" s="70"/>
    </row>
    <row r="1028" spans="1:20" ht="15.95" customHeight="1" x14ac:dyDescent="0.2">
      <c r="A1028" s="35"/>
      <c r="B1028" s="25" t="s">
        <v>1</v>
      </c>
      <c r="C1028" s="6">
        <f>D1028+E1028+F1028+G1028+H1028</f>
        <v>24908.554000000004</v>
      </c>
      <c r="D1028" s="8">
        <v>7110.4</v>
      </c>
      <c r="E1028" s="8">
        <v>17798.154000000002</v>
      </c>
      <c r="F1028" s="8"/>
      <c r="G1028" s="8"/>
      <c r="H1028" s="11"/>
      <c r="I1028" s="44"/>
      <c r="J1028" s="70"/>
      <c r="K1028" s="70"/>
      <c r="L1028" s="70"/>
      <c r="M1028" s="70"/>
      <c r="N1028" s="44"/>
      <c r="O1028" s="70"/>
      <c r="P1028" s="73"/>
      <c r="Q1028" s="70"/>
      <c r="R1028" s="70"/>
      <c r="S1028" s="44"/>
      <c r="T1028" s="70"/>
    </row>
    <row r="1029" spans="1:20" ht="15.95" customHeight="1" x14ac:dyDescent="0.2">
      <c r="A1029" s="35"/>
      <c r="B1029" s="25" t="s">
        <v>2</v>
      </c>
      <c r="C1029" s="6">
        <f t="shared" ref="C1029:C1030" si="386">D1029+E1029+F1029+G1029+H1029</f>
        <v>0</v>
      </c>
      <c r="D1029" s="8"/>
      <c r="E1029" s="8"/>
      <c r="F1029" s="8"/>
      <c r="G1029" s="8"/>
      <c r="H1029" s="11"/>
      <c r="I1029" s="44"/>
      <c r="J1029" s="70"/>
      <c r="K1029" s="70"/>
      <c r="L1029" s="70"/>
      <c r="M1029" s="70"/>
      <c r="N1029" s="44"/>
      <c r="O1029" s="70"/>
      <c r="P1029" s="73"/>
      <c r="Q1029" s="70"/>
      <c r="R1029" s="70"/>
      <c r="S1029" s="44"/>
      <c r="T1029" s="70"/>
    </row>
    <row r="1030" spans="1:20" ht="15.95" customHeight="1" x14ac:dyDescent="0.2">
      <c r="A1030" s="36"/>
      <c r="B1030" s="25" t="s">
        <v>3</v>
      </c>
      <c r="C1030" s="6">
        <f t="shared" si="386"/>
        <v>0</v>
      </c>
      <c r="D1030" s="8"/>
      <c r="E1030" s="8"/>
      <c r="F1030" s="8"/>
      <c r="G1030" s="8"/>
      <c r="H1030" s="11"/>
      <c r="I1030" s="45"/>
      <c r="J1030" s="71"/>
      <c r="K1030" s="71"/>
      <c r="L1030" s="71"/>
      <c r="M1030" s="71"/>
      <c r="N1030" s="45"/>
      <c r="O1030" s="71"/>
      <c r="P1030" s="74"/>
      <c r="Q1030" s="71"/>
      <c r="R1030" s="71"/>
      <c r="S1030" s="45"/>
      <c r="T1030" s="71"/>
    </row>
    <row r="1031" spans="1:20" ht="15.95" customHeight="1" x14ac:dyDescent="0.2">
      <c r="A1031" s="34" t="s">
        <v>326</v>
      </c>
      <c r="B1031" s="37" t="s">
        <v>92</v>
      </c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8"/>
    </row>
    <row r="1032" spans="1:20" ht="15.95" customHeight="1" x14ac:dyDescent="0.2">
      <c r="A1032" s="35" t="s">
        <v>74</v>
      </c>
      <c r="B1032" s="54" t="s">
        <v>128</v>
      </c>
      <c r="C1032" s="54"/>
      <c r="D1032" s="54"/>
      <c r="E1032" s="54"/>
      <c r="F1032" s="54"/>
      <c r="G1032" s="54"/>
      <c r="H1032" s="54"/>
      <c r="I1032" s="77"/>
      <c r="J1032" s="77"/>
      <c r="K1032" s="77"/>
      <c r="L1032" s="77"/>
      <c r="M1032" s="77"/>
      <c r="N1032" s="77"/>
      <c r="O1032" s="77"/>
      <c r="P1032" s="77"/>
      <c r="Q1032" s="77"/>
      <c r="R1032" s="77"/>
      <c r="S1032" s="77"/>
      <c r="T1032" s="77"/>
    </row>
    <row r="1033" spans="1:20" ht="50.1" customHeight="1" x14ac:dyDescent="0.2">
      <c r="A1033" s="35"/>
      <c r="B1033" s="57" t="s">
        <v>336</v>
      </c>
      <c r="C1033" s="58"/>
      <c r="D1033" s="58"/>
      <c r="E1033" s="58"/>
      <c r="F1033" s="58"/>
      <c r="G1033" s="58"/>
      <c r="H1033" s="59"/>
      <c r="I1033" s="43" t="s">
        <v>466</v>
      </c>
      <c r="J1033" s="69"/>
      <c r="K1033" s="69" t="s">
        <v>42</v>
      </c>
      <c r="L1033" s="69" t="s">
        <v>337</v>
      </c>
      <c r="M1033" s="69" t="s">
        <v>93</v>
      </c>
      <c r="N1033" s="43" t="s">
        <v>150</v>
      </c>
      <c r="O1033" s="69" t="s">
        <v>93</v>
      </c>
      <c r="P1033" s="72" t="s">
        <v>446</v>
      </c>
      <c r="Q1033" s="69" t="s">
        <v>33</v>
      </c>
      <c r="R1033" s="69" t="s">
        <v>8</v>
      </c>
      <c r="S1033" s="43" t="s">
        <v>34</v>
      </c>
      <c r="T1033" s="69" t="s">
        <v>504</v>
      </c>
    </row>
    <row r="1034" spans="1:20" ht="15.95" customHeight="1" x14ac:dyDescent="0.2">
      <c r="A1034" s="35"/>
      <c r="B1034" s="25" t="s">
        <v>5</v>
      </c>
      <c r="C1034" s="6">
        <f t="shared" ref="C1034:C1035" si="387">D1034+E1034+F1034+G1034+H1034</f>
        <v>5000</v>
      </c>
      <c r="D1034" s="8">
        <f t="shared" ref="D1034:F1034" si="388">SUM(D1035:D1038)</f>
        <v>5000</v>
      </c>
      <c r="E1034" s="8">
        <f t="shared" si="388"/>
        <v>0</v>
      </c>
      <c r="F1034" s="8">
        <f t="shared" si="388"/>
        <v>0</v>
      </c>
      <c r="G1034" s="8">
        <f t="shared" ref="G1034:H1034" si="389">SUM(G1035:G1038)</f>
        <v>0</v>
      </c>
      <c r="H1034" s="11">
        <f t="shared" si="389"/>
        <v>0</v>
      </c>
      <c r="I1034" s="44"/>
      <c r="J1034" s="70"/>
      <c r="K1034" s="70"/>
      <c r="L1034" s="70"/>
      <c r="M1034" s="70"/>
      <c r="N1034" s="44"/>
      <c r="O1034" s="70"/>
      <c r="P1034" s="73"/>
      <c r="Q1034" s="70"/>
      <c r="R1034" s="70"/>
      <c r="S1034" s="44"/>
      <c r="T1034" s="70"/>
    </row>
    <row r="1035" spans="1:20" ht="15.95" customHeight="1" x14ac:dyDescent="0.2">
      <c r="A1035" s="35"/>
      <c r="B1035" s="25" t="s">
        <v>0</v>
      </c>
      <c r="C1035" s="6">
        <f t="shared" si="387"/>
        <v>0</v>
      </c>
      <c r="D1035" s="8"/>
      <c r="E1035" s="8"/>
      <c r="F1035" s="8"/>
      <c r="G1035" s="8"/>
      <c r="H1035" s="11"/>
      <c r="I1035" s="44"/>
      <c r="J1035" s="70"/>
      <c r="K1035" s="70"/>
      <c r="L1035" s="70"/>
      <c r="M1035" s="70"/>
      <c r="N1035" s="44"/>
      <c r="O1035" s="70"/>
      <c r="P1035" s="73"/>
      <c r="Q1035" s="70"/>
      <c r="R1035" s="70"/>
      <c r="S1035" s="44"/>
      <c r="T1035" s="70"/>
    </row>
    <row r="1036" spans="1:20" ht="15.95" customHeight="1" x14ac:dyDescent="0.2">
      <c r="A1036" s="35"/>
      <c r="B1036" s="25" t="s">
        <v>1</v>
      </c>
      <c r="C1036" s="6">
        <f>D1036+E1036+F1036+G1036+H1036</f>
        <v>5000</v>
      </c>
      <c r="D1036" s="8">
        <v>5000</v>
      </c>
      <c r="E1036" s="8"/>
      <c r="F1036" s="8"/>
      <c r="G1036" s="8"/>
      <c r="H1036" s="11"/>
      <c r="I1036" s="44"/>
      <c r="J1036" s="70"/>
      <c r="K1036" s="70"/>
      <c r="L1036" s="70"/>
      <c r="M1036" s="70"/>
      <c r="N1036" s="44"/>
      <c r="O1036" s="70"/>
      <c r="P1036" s="73"/>
      <c r="Q1036" s="70"/>
      <c r="R1036" s="70"/>
      <c r="S1036" s="44"/>
      <c r="T1036" s="70"/>
    </row>
    <row r="1037" spans="1:20" ht="15.95" customHeight="1" x14ac:dyDescent="0.2">
      <c r="A1037" s="35"/>
      <c r="B1037" s="25" t="s">
        <v>2</v>
      </c>
      <c r="C1037" s="6">
        <f t="shared" ref="C1037:C1038" si="390">D1037+E1037+F1037+G1037+H1037</f>
        <v>0</v>
      </c>
      <c r="D1037" s="8"/>
      <c r="E1037" s="8"/>
      <c r="F1037" s="8"/>
      <c r="G1037" s="8"/>
      <c r="H1037" s="11"/>
      <c r="I1037" s="44"/>
      <c r="J1037" s="70"/>
      <c r="K1037" s="70"/>
      <c r="L1037" s="70"/>
      <c r="M1037" s="70"/>
      <c r="N1037" s="44"/>
      <c r="O1037" s="70"/>
      <c r="P1037" s="73"/>
      <c r="Q1037" s="70"/>
      <c r="R1037" s="70"/>
      <c r="S1037" s="44"/>
      <c r="T1037" s="70"/>
    </row>
    <row r="1038" spans="1:20" ht="15.95" customHeight="1" x14ac:dyDescent="0.2">
      <c r="A1038" s="36"/>
      <c r="B1038" s="25" t="s">
        <v>3</v>
      </c>
      <c r="C1038" s="6">
        <f t="shared" si="390"/>
        <v>0</v>
      </c>
      <c r="D1038" s="8"/>
      <c r="E1038" s="8"/>
      <c r="F1038" s="8"/>
      <c r="G1038" s="8"/>
      <c r="H1038" s="11"/>
      <c r="I1038" s="45"/>
      <c r="J1038" s="71"/>
      <c r="K1038" s="71"/>
      <c r="L1038" s="71"/>
      <c r="M1038" s="71"/>
      <c r="N1038" s="45"/>
      <c r="O1038" s="71"/>
      <c r="P1038" s="74"/>
      <c r="Q1038" s="71"/>
      <c r="R1038" s="71"/>
      <c r="S1038" s="45"/>
      <c r="T1038" s="71"/>
    </row>
    <row r="1039" spans="1:20" ht="15.95" customHeight="1" x14ac:dyDescent="0.2">
      <c r="A1039" s="34" t="s">
        <v>329</v>
      </c>
      <c r="B1039" s="37" t="s">
        <v>92</v>
      </c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8"/>
    </row>
    <row r="1040" spans="1:20" ht="15.95" customHeight="1" x14ac:dyDescent="0.2">
      <c r="A1040" s="35" t="s">
        <v>74</v>
      </c>
      <c r="B1040" s="54" t="s">
        <v>128</v>
      </c>
      <c r="C1040" s="54"/>
      <c r="D1040" s="54"/>
      <c r="E1040" s="54"/>
      <c r="F1040" s="54"/>
      <c r="G1040" s="54"/>
      <c r="H1040" s="54"/>
      <c r="I1040" s="77"/>
      <c r="J1040" s="77"/>
      <c r="K1040" s="77"/>
      <c r="L1040" s="77"/>
      <c r="M1040" s="77"/>
      <c r="N1040" s="77"/>
      <c r="O1040" s="77"/>
      <c r="P1040" s="77"/>
      <c r="Q1040" s="77"/>
      <c r="R1040" s="77"/>
      <c r="S1040" s="77"/>
      <c r="T1040" s="77"/>
    </row>
    <row r="1041" spans="1:20" ht="50.1" customHeight="1" x14ac:dyDescent="0.2">
      <c r="A1041" s="35"/>
      <c r="B1041" s="57" t="s">
        <v>718</v>
      </c>
      <c r="C1041" s="58"/>
      <c r="D1041" s="58"/>
      <c r="E1041" s="58"/>
      <c r="F1041" s="58"/>
      <c r="G1041" s="58"/>
      <c r="H1041" s="59"/>
      <c r="I1041" s="43" t="s">
        <v>467</v>
      </c>
      <c r="J1041" s="69" t="s">
        <v>20</v>
      </c>
      <c r="K1041" s="69" t="s">
        <v>42</v>
      </c>
      <c r="L1041" s="69" t="s">
        <v>339</v>
      </c>
      <c r="M1041" s="69" t="s">
        <v>93</v>
      </c>
      <c r="N1041" s="43" t="s">
        <v>150</v>
      </c>
      <c r="O1041" s="69" t="s">
        <v>93</v>
      </c>
      <c r="P1041" s="72" t="s">
        <v>340</v>
      </c>
      <c r="Q1041" s="69" t="s">
        <v>33</v>
      </c>
      <c r="R1041" s="69" t="s">
        <v>38</v>
      </c>
      <c r="S1041" s="43" t="s">
        <v>25</v>
      </c>
      <c r="T1041" s="69"/>
    </row>
    <row r="1042" spans="1:20" ht="15.95" customHeight="1" x14ac:dyDescent="0.2">
      <c r="A1042" s="35"/>
      <c r="B1042" s="25" t="s">
        <v>5</v>
      </c>
      <c r="C1042" s="6">
        <f t="shared" ref="C1042:C1043" si="391">D1042+E1042+F1042+G1042+H1042</f>
        <v>39516.923000000003</v>
      </c>
      <c r="D1042" s="8">
        <f t="shared" ref="D1042:F1042" si="392">SUM(D1043:D1046)</f>
        <v>21516.923000000003</v>
      </c>
      <c r="E1042" s="8">
        <f t="shared" si="392"/>
        <v>18000</v>
      </c>
      <c r="F1042" s="8">
        <f t="shared" si="392"/>
        <v>0</v>
      </c>
      <c r="G1042" s="8">
        <f t="shared" ref="G1042:H1042" si="393">SUM(G1043:G1046)</f>
        <v>0</v>
      </c>
      <c r="H1042" s="11">
        <f t="shared" si="393"/>
        <v>0</v>
      </c>
      <c r="I1042" s="44"/>
      <c r="J1042" s="70"/>
      <c r="K1042" s="70"/>
      <c r="L1042" s="70"/>
      <c r="M1042" s="70"/>
      <c r="N1042" s="44"/>
      <c r="O1042" s="70"/>
      <c r="P1042" s="73"/>
      <c r="Q1042" s="70"/>
      <c r="R1042" s="70"/>
      <c r="S1042" s="44"/>
      <c r="T1042" s="70"/>
    </row>
    <row r="1043" spans="1:20" ht="15.95" customHeight="1" x14ac:dyDescent="0.2">
      <c r="A1043" s="35"/>
      <c r="B1043" s="25" t="s">
        <v>0</v>
      </c>
      <c r="C1043" s="6">
        <f t="shared" si="391"/>
        <v>0</v>
      </c>
      <c r="D1043" s="8"/>
      <c r="E1043" s="8"/>
      <c r="F1043" s="8"/>
      <c r="G1043" s="8"/>
      <c r="H1043" s="11"/>
      <c r="I1043" s="44"/>
      <c r="J1043" s="70"/>
      <c r="K1043" s="70"/>
      <c r="L1043" s="70"/>
      <c r="M1043" s="70"/>
      <c r="N1043" s="44"/>
      <c r="O1043" s="70"/>
      <c r="P1043" s="73"/>
      <c r="Q1043" s="70"/>
      <c r="R1043" s="70"/>
      <c r="S1043" s="44"/>
      <c r="T1043" s="70"/>
    </row>
    <row r="1044" spans="1:20" ht="15.95" customHeight="1" x14ac:dyDescent="0.2">
      <c r="A1044" s="35"/>
      <c r="B1044" s="25" t="s">
        <v>1</v>
      </c>
      <c r="C1044" s="6">
        <f>D1044+E1044+F1044+G1044+H1044</f>
        <v>39516.923000000003</v>
      </c>
      <c r="D1044" s="8">
        <v>21516.923000000003</v>
      </c>
      <c r="E1044" s="8">
        <v>18000</v>
      </c>
      <c r="F1044" s="8"/>
      <c r="G1044" s="8"/>
      <c r="H1044" s="11"/>
      <c r="I1044" s="44"/>
      <c r="J1044" s="70"/>
      <c r="K1044" s="70"/>
      <c r="L1044" s="70"/>
      <c r="M1044" s="70"/>
      <c r="N1044" s="44"/>
      <c r="O1044" s="70"/>
      <c r="P1044" s="73"/>
      <c r="Q1044" s="70"/>
      <c r="R1044" s="70"/>
      <c r="S1044" s="44"/>
      <c r="T1044" s="70"/>
    </row>
    <row r="1045" spans="1:20" ht="15.95" customHeight="1" x14ac:dyDescent="0.2">
      <c r="A1045" s="35"/>
      <c r="B1045" s="25" t="s">
        <v>2</v>
      </c>
      <c r="C1045" s="6">
        <f t="shared" ref="C1045:C1046" si="394">D1045+E1045+F1045+G1045+H1045</f>
        <v>0</v>
      </c>
      <c r="D1045" s="8"/>
      <c r="E1045" s="8"/>
      <c r="F1045" s="8"/>
      <c r="G1045" s="8"/>
      <c r="H1045" s="11"/>
      <c r="I1045" s="44"/>
      <c r="J1045" s="70"/>
      <c r="K1045" s="70"/>
      <c r="L1045" s="70"/>
      <c r="M1045" s="70"/>
      <c r="N1045" s="44"/>
      <c r="O1045" s="70"/>
      <c r="P1045" s="73"/>
      <c r="Q1045" s="70"/>
      <c r="R1045" s="70"/>
      <c r="S1045" s="44"/>
      <c r="T1045" s="70"/>
    </row>
    <row r="1046" spans="1:20" ht="15.95" customHeight="1" x14ac:dyDescent="0.2">
      <c r="A1046" s="36"/>
      <c r="B1046" s="25" t="s">
        <v>3</v>
      </c>
      <c r="C1046" s="6">
        <f t="shared" si="394"/>
        <v>0</v>
      </c>
      <c r="D1046" s="8"/>
      <c r="E1046" s="8"/>
      <c r="F1046" s="8"/>
      <c r="G1046" s="8"/>
      <c r="H1046" s="11"/>
      <c r="I1046" s="45"/>
      <c r="J1046" s="71"/>
      <c r="K1046" s="71"/>
      <c r="L1046" s="71"/>
      <c r="M1046" s="71"/>
      <c r="N1046" s="45"/>
      <c r="O1046" s="71"/>
      <c r="P1046" s="74"/>
      <c r="Q1046" s="71"/>
      <c r="R1046" s="71"/>
      <c r="S1046" s="45"/>
      <c r="T1046" s="71"/>
    </row>
    <row r="1047" spans="1:20" ht="15.95" customHeight="1" x14ac:dyDescent="0.2">
      <c r="A1047" s="34" t="s">
        <v>332</v>
      </c>
      <c r="B1047" s="37" t="s">
        <v>92</v>
      </c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8"/>
    </row>
    <row r="1048" spans="1:20" ht="15.95" customHeight="1" x14ac:dyDescent="0.2">
      <c r="A1048" s="35" t="s">
        <v>74</v>
      </c>
      <c r="B1048" s="54" t="s">
        <v>509</v>
      </c>
      <c r="C1048" s="54"/>
      <c r="D1048" s="54"/>
      <c r="E1048" s="54"/>
      <c r="F1048" s="54"/>
      <c r="G1048" s="54"/>
      <c r="H1048" s="54"/>
      <c r="I1048" s="77"/>
      <c r="J1048" s="77"/>
      <c r="K1048" s="77"/>
      <c r="L1048" s="77"/>
      <c r="M1048" s="77"/>
      <c r="N1048" s="77"/>
      <c r="O1048" s="77"/>
      <c r="P1048" s="77"/>
      <c r="Q1048" s="77"/>
      <c r="R1048" s="77"/>
      <c r="S1048" s="77"/>
      <c r="T1048" s="77"/>
    </row>
    <row r="1049" spans="1:20" ht="50.1" customHeight="1" x14ac:dyDescent="0.2">
      <c r="A1049" s="35"/>
      <c r="B1049" s="57" t="s">
        <v>663</v>
      </c>
      <c r="C1049" s="58"/>
      <c r="D1049" s="58"/>
      <c r="E1049" s="58"/>
      <c r="F1049" s="58"/>
      <c r="G1049" s="58"/>
      <c r="H1049" s="59"/>
      <c r="I1049" s="43" t="s">
        <v>467</v>
      </c>
      <c r="J1049" s="69" t="s">
        <v>20</v>
      </c>
      <c r="K1049" s="69" t="s">
        <v>42</v>
      </c>
      <c r="L1049" s="69" t="s">
        <v>342</v>
      </c>
      <c r="M1049" s="69" t="s">
        <v>93</v>
      </c>
      <c r="N1049" s="43" t="s">
        <v>150</v>
      </c>
      <c r="O1049" s="69" t="s">
        <v>93</v>
      </c>
      <c r="P1049" s="72" t="s">
        <v>343</v>
      </c>
      <c r="Q1049" s="69" t="s">
        <v>33</v>
      </c>
      <c r="R1049" s="69" t="s">
        <v>8</v>
      </c>
      <c r="S1049" s="43" t="s">
        <v>25</v>
      </c>
      <c r="T1049" s="69"/>
    </row>
    <row r="1050" spans="1:20" ht="15.95" customHeight="1" x14ac:dyDescent="0.2">
      <c r="A1050" s="35"/>
      <c r="B1050" s="25" t="s">
        <v>5</v>
      </c>
      <c r="C1050" s="6">
        <f t="shared" ref="C1050:C1051" si="395">D1050+E1050+F1050+G1050+H1050</f>
        <v>25595.605200000002</v>
      </c>
      <c r="D1050" s="8">
        <f t="shared" ref="D1050:F1050" si="396">SUM(D1051:D1054)</f>
        <v>642.18200000000002</v>
      </c>
      <c r="E1050" s="8">
        <f t="shared" si="396"/>
        <v>24953.423200000001</v>
      </c>
      <c r="F1050" s="8">
        <f t="shared" si="396"/>
        <v>0</v>
      </c>
      <c r="G1050" s="8">
        <f t="shared" ref="G1050:H1050" si="397">SUM(G1051:G1054)</f>
        <v>0</v>
      </c>
      <c r="H1050" s="11">
        <f t="shared" si="397"/>
        <v>0</v>
      </c>
      <c r="I1050" s="44"/>
      <c r="J1050" s="70"/>
      <c r="K1050" s="70"/>
      <c r="L1050" s="70"/>
      <c r="M1050" s="70"/>
      <c r="N1050" s="44"/>
      <c r="O1050" s="70"/>
      <c r="P1050" s="73"/>
      <c r="Q1050" s="70"/>
      <c r="R1050" s="70"/>
      <c r="S1050" s="44"/>
      <c r="T1050" s="70"/>
    </row>
    <row r="1051" spans="1:20" ht="15.95" customHeight="1" x14ac:dyDescent="0.2">
      <c r="A1051" s="35"/>
      <c r="B1051" s="25" t="s">
        <v>0</v>
      </c>
      <c r="C1051" s="6">
        <f t="shared" si="395"/>
        <v>0</v>
      </c>
      <c r="D1051" s="8"/>
      <c r="E1051" s="8"/>
      <c r="F1051" s="8"/>
      <c r="G1051" s="8"/>
      <c r="H1051" s="11"/>
      <c r="I1051" s="44"/>
      <c r="J1051" s="70"/>
      <c r="K1051" s="70"/>
      <c r="L1051" s="70"/>
      <c r="M1051" s="70"/>
      <c r="N1051" s="44"/>
      <c r="O1051" s="70"/>
      <c r="P1051" s="73"/>
      <c r="Q1051" s="70"/>
      <c r="R1051" s="70"/>
      <c r="S1051" s="44"/>
      <c r="T1051" s="70"/>
    </row>
    <row r="1052" spans="1:20" ht="15.95" customHeight="1" x14ac:dyDescent="0.2">
      <c r="A1052" s="35"/>
      <c r="B1052" s="25" t="s">
        <v>1</v>
      </c>
      <c r="C1052" s="6">
        <f>D1052+E1052+F1052+G1052+H1052</f>
        <v>25595.605200000002</v>
      </c>
      <c r="D1052" s="8">
        <v>642.18200000000002</v>
      </c>
      <c r="E1052" s="8">
        <v>24953.423200000001</v>
      </c>
      <c r="F1052" s="8"/>
      <c r="G1052" s="8"/>
      <c r="H1052" s="11"/>
      <c r="I1052" s="44"/>
      <c r="J1052" s="70"/>
      <c r="K1052" s="70"/>
      <c r="L1052" s="70"/>
      <c r="M1052" s="70"/>
      <c r="N1052" s="44"/>
      <c r="O1052" s="70"/>
      <c r="P1052" s="73"/>
      <c r="Q1052" s="70"/>
      <c r="R1052" s="70"/>
      <c r="S1052" s="44"/>
      <c r="T1052" s="70"/>
    </row>
    <row r="1053" spans="1:20" ht="15.95" customHeight="1" x14ac:dyDescent="0.2">
      <c r="A1053" s="35"/>
      <c r="B1053" s="25" t="s">
        <v>2</v>
      </c>
      <c r="C1053" s="6">
        <f t="shared" ref="C1053:C1054" si="398">D1053+E1053+F1053+G1053+H1053</f>
        <v>0</v>
      </c>
      <c r="D1053" s="8"/>
      <c r="E1053" s="8"/>
      <c r="F1053" s="8"/>
      <c r="G1053" s="8"/>
      <c r="H1053" s="11"/>
      <c r="I1053" s="44"/>
      <c r="J1053" s="70"/>
      <c r="K1053" s="70"/>
      <c r="L1053" s="70"/>
      <c r="M1053" s="70"/>
      <c r="N1053" s="44"/>
      <c r="O1053" s="70"/>
      <c r="P1053" s="73"/>
      <c r="Q1053" s="70"/>
      <c r="R1053" s="70"/>
      <c r="S1053" s="44"/>
      <c r="T1053" s="70"/>
    </row>
    <row r="1054" spans="1:20" ht="15.95" customHeight="1" x14ac:dyDescent="0.2">
      <c r="A1054" s="36"/>
      <c r="B1054" s="25" t="s">
        <v>3</v>
      </c>
      <c r="C1054" s="6">
        <f t="shared" si="398"/>
        <v>0</v>
      </c>
      <c r="D1054" s="8"/>
      <c r="E1054" s="8"/>
      <c r="F1054" s="8"/>
      <c r="G1054" s="8"/>
      <c r="H1054" s="11"/>
      <c r="I1054" s="45"/>
      <c r="J1054" s="71"/>
      <c r="K1054" s="71"/>
      <c r="L1054" s="71"/>
      <c r="M1054" s="71"/>
      <c r="N1054" s="45"/>
      <c r="O1054" s="71"/>
      <c r="P1054" s="74"/>
      <c r="Q1054" s="71"/>
      <c r="R1054" s="71"/>
      <c r="S1054" s="45"/>
      <c r="T1054" s="71"/>
    </row>
    <row r="1055" spans="1:20" ht="15.95" customHeight="1" x14ac:dyDescent="0.2">
      <c r="A1055" s="34" t="s">
        <v>335</v>
      </c>
      <c r="B1055" s="37" t="s">
        <v>92</v>
      </c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8"/>
    </row>
    <row r="1056" spans="1:20" ht="15.95" customHeight="1" x14ac:dyDescent="0.2">
      <c r="A1056" s="35" t="s">
        <v>74</v>
      </c>
      <c r="B1056" s="54" t="s">
        <v>128</v>
      </c>
      <c r="C1056" s="54"/>
      <c r="D1056" s="54"/>
      <c r="E1056" s="54"/>
      <c r="F1056" s="54"/>
      <c r="G1056" s="54"/>
      <c r="H1056" s="54"/>
      <c r="I1056" s="77"/>
      <c r="J1056" s="77"/>
      <c r="K1056" s="77"/>
      <c r="L1056" s="77"/>
      <c r="M1056" s="77"/>
      <c r="N1056" s="77"/>
      <c r="O1056" s="77"/>
      <c r="P1056" s="77"/>
      <c r="Q1056" s="77"/>
      <c r="R1056" s="77"/>
      <c r="S1056" s="77"/>
      <c r="T1056" s="77"/>
    </row>
    <row r="1057" spans="1:20" ht="50.1" customHeight="1" x14ac:dyDescent="0.2">
      <c r="A1057" s="35"/>
      <c r="B1057" s="57" t="s">
        <v>385</v>
      </c>
      <c r="C1057" s="58"/>
      <c r="D1057" s="58"/>
      <c r="E1057" s="58"/>
      <c r="F1057" s="58"/>
      <c r="G1057" s="58"/>
      <c r="H1057" s="59"/>
      <c r="I1057" s="43" t="s">
        <v>23</v>
      </c>
      <c r="J1057" s="69" t="s">
        <v>20</v>
      </c>
      <c r="K1057" s="69" t="s">
        <v>11</v>
      </c>
      <c r="L1057" s="69" t="s">
        <v>345</v>
      </c>
      <c r="M1057" s="69" t="s">
        <v>346</v>
      </c>
      <c r="N1057" s="43" t="s">
        <v>346</v>
      </c>
      <c r="O1057" s="69" t="s">
        <v>346</v>
      </c>
      <c r="P1057" s="72" t="s">
        <v>347</v>
      </c>
      <c r="Q1057" s="69" t="s">
        <v>7</v>
      </c>
      <c r="R1057" s="69" t="s">
        <v>38</v>
      </c>
      <c r="S1057" s="43" t="s">
        <v>25</v>
      </c>
      <c r="T1057" s="69"/>
    </row>
    <row r="1058" spans="1:20" ht="15.95" customHeight="1" x14ac:dyDescent="0.2">
      <c r="A1058" s="35"/>
      <c r="B1058" s="25" t="s">
        <v>5</v>
      </c>
      <c r="C1058" s="6">
        <f t="shared" ref="C1058:C1059" si="399">D1058+E1058+F1058+G1058+H1058</f>
        <v>17349.2</v>
      </c>
      <c r="D1058" s="8">
        <f t="shared" ref="D1058:F1058" si="400">SUM(D1059:D1062)</f>
        <v>17349.2</v>
      </c>
      <c r="E1058" s="8">
        <f t="shared" si="400"/>
        <v>0</v>
      </c>
      <c r="F1058" s="8">
        <f t="shared" si="400"/>
        <v>0</v>
      </c>
      <c r="G1058" s="8">
        <f t="shared" ref="G1058:H1058" si="401">SUM(G1059:G1062)</f>
        <v>0</v>
      </c>
      <c r="H1058" s="11">
        <f t="shared" si="401"/>
        <v>0</v>
      </c>
      <c r="I1058" s="44"/>
      <c r="J1058" s="70"/>
      <c r="K1058" s="70"/>
      <c r="L1058" s="70"/>
      <c r="M1058" s="70"/>
      <c r="N1058" s="44"/>
      <c r="O1058" s="70"/>
      <c r="P1058" s="73"/>
      <c r="Q1058" s="70"/>
      <c r="R1058" s="70"/>
      <c r="S1058" s="44"/>
      <c r="T1058" s="70"/>
    </row>
    <row r="1059" spans="1:20" ht="15.95" customHeight="1" x14ac:dyDescent="0.2">
      <c r="A1059" s="35"/>
      <c r="B1059" s="25" t="s">
        <v>0</v>
      </c>
      <c r="C1059" s="6">
        <f t="shared" si="399"/>
        <v>0</v>
      </c>
      <c r="D1059" s="8"/>
      <c r="E1059" s="8"/>
      <c r="F1059" s="8"/>
      <c r="G1059" s="8"/>
      <c r="H1059" s="11"/>
      <c r="I1059" s="44"/>
      <c r="J1059" s="70"/>
      <c r="K1059" s="70"/>
      <c r="L1059" s="70"/>
      <c r="M1059" s="70"/>
      <c r="N1059" s="44"/>
      <c r="O1059" s="70"/>
      <c r="P1059" s="73"/>
      <c r="Q1059" s="70"/>
      <c r="R1059" s="70"/>
      <c r="S1059" s="44"/>
      <c r="T1059" s="70"/>
    </row>
    <row r="1060" spans="1:20" ht="15.95" customHeight="1" x14ac:dyDescent="0.2">
      <c r="A1060" s="35"/>
      <c r="B1060" s="25" t="s">
        <v>1</v>
      </c>
      <c r="C1060" s="6">
        <f>D1060+E1060+F1060+G1060+H1060</f>
        <v>15772</v>
      </c>
      <c r="D1060" s="8">
        <v>15772</v>
      </c>
      <c r="E1060" s="8"/>
      <c r="F1060" s="8"/>
      <c r="G1060" s="8"/>
      <c r="H1060" s="11"/>
      <c r="I1060" s="44"/>
      <c r="J1060" s="70"/>
      <c r="K1060" s="70"/>
      <c r="L1060" s="70"/>
      <c r="M1060" s="70"/>
      <c r="N1060" s="44"/>
      <c r="O1060" s="70"/>
      <c r="P1060" s="73"/>
      <c r="Q1060" s="70"/>
      <c r="R1060" s="70"/>
      <c r="S1060" s="44"/>
      <c r="T1060" s="70"/>
    </row>
    <row r="1061" spans="1:20" ht="15.95" customHeight="1" x14ac:dyDescent="0.2">
      <c r="A1061" s="35"/>
      <c r="B1061" s="25" t="s">
        <v>2</v>
      </c>
      <c r="C1061" s="6">
        <f>D1061+E1061+F1061+G1061+H1061</f>
        <v>1577.2</v>
      </c>
      <c r="D1061" s="8">
        <v>1577.2</v>
      </c>
      <c r="E1061" s="8"/>
      <c r="F1061" s="8"/>
      <c r="G1061" s="8"/>
      <c r="H1061" s="11"/>
      <c r="I1061" s="44"/>
      <c r="J1061" s="70"/>
      <c r="K1061" s="70"/>
      <c r="L1061" s="70"/>
      <c r="M1061" s="70"/>
      <c r="N1061" s="44"/>
      <c r="O1061" s="70"/>
      <c r="P1061" s="73"/>
      <c r="Q1061" s="70"/>
      <c r="R1061" s="70"/>
      <c r="S1061" s="44"/>
      <c r="T1061" s="70"/>
    </row>
    <row r="1062" spans="1:20" ht="15.95" customHeight="1" x14ac:dyDescent="0.2">
      <c r="A1062" s="36"/>
      <c r="B1062" s="25" t="s">
        <v>3</v>
      </c>
      <c r="C1062" s="6">
        <f t="shared" ref="C1062" si="402">D1062+E1062+F1062+G1062+H1062</f>
        <v>0</v>
      </c>
      <c r="D1062" s="8"/>
      <c r="E1062" s="8"/>
      <c r="F1062" s="8"/>
      <c r="G1062" s="8"/>
      <c r="H1062" s="11"/>
      <c r="I1062" s="45"/>
      <c r="J1062" s="71"/>
      <c r="K1062" s="71"/>
      <c r="L1062" s="71"/>
      <c r="M1062" s="71"/>
      <c r="N1062" s="45"/>
      <c r="O1062" s="71"/>
      <c r="P1062" s="74"/>
      <c r="Q1062" s="71"/>
      <c r="R1062" s="71"/>
      <c r="S1062" s="45"/>
      <c r="T1062" s="71"/>
    </row>
    <row r="1063" spans="1:20" ht="15.95" customHeight="1" x14ac:dyDescent="0.2">
      <c r="A1063" s="34" t="s">
        <v>338</v>
      </c>
      <c r="B1063" s="37" t="s">
        <v>92</v>
      </c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8"/>
    </row>
    <row r="1064" spans="1:20" ht="15.95" customHeight="1" x14ac:dyDescent="0.2">
      <c r="A1064" s="35" t="s">
        <v>74</v>
      </c>
      <c r="B1064" s="54" t="s">
        <v>128</v>
      </c>
      <c r="C1064" s="54"/>
      <c r="D1064" s="54"/>
      <c r="E1064" s="54"/>
      <c r="F1064" s="54"/>
      <c r="G1064" s="54"/>
      <c r="H1064" s="54"/>
      <c r="I1064" s="77"/>
      <c r="J1064" s="77"/>
      <c r="K1064" s="77"/>
      <c r="L1064" s="77"/>
      <c r="M1064" s="77"/>
      <c r="N1064" s="77"/>
      <c r="O1064" s="77"/>
      <c r="P1064" s="77"/>
      <c r="Q1064" s="77"/>
      <c r="R1064" s="77"/>
      <c r="S1064" s="77"/>
      <c r="T1064" s="77"/>
    </row>
    <row r="1065" spans="1:20" ht="50.1" customHeight="1" x14ac:dyDescent="0.2">
      <c r="A1065" s="35"/>
      <c r="B1065" s="57" t="s">
        <v>409</v>
      </c>
      <c r="C1065" s="58"/>
      <c r="D1065" s="58"/>
      <c r="E1065" s="58"/>
      <c r="F1065" s="58"/>
      <c r="G1065" s="58"/>
      <c r="H1065" s="59"/>
      <c r="I1065" s="43" t="s">
        <v>467</v>
      </c>
      <c r="J1065" s="69" t="s">
        <v>51</v>
      </c>
      <c r="K1065" s="69" t="s">
        <v>42</v>
      </c>
      <c r="L1065" s="69" t="s">
        <v>349</v>
      </c>
      <c r="M1065" s="69" t="s">
        <v>93</v>
      </c>
      <c r="N1065" s="43" t="s">
        <v>150</v>
      </c>
      <c r="O1065" s="69" t="s">
        <v>93</v>
      </c>
      <c r="P1065" s="72" t="s">
        <v>350</v>
      </c>
      <c r="Q1065" s="69" t="s">
        <v>33</v>
      </c>
      <c r="R1065" s="69" t="s">
        <v>38</v>
      </c>
      <c r="S1065" s="43" t="s">
        <v>25</v>
      </c>
      <c r="T1065" s="69"/>
    </row>
    <row r="1066" spans="1:20" ht="15.95" customHeight="1" x14ac:dyDescent="0.2">
      <c r="A1066" s="35"/>
      <c r="B1066" s="25" t="s">
        <v>5</v>
      </c>
      <c r="C1066" s="6">
        <f t="shared" ref="C1066:C1067" si="403">D1066+E1066+F1066+G1066+H1066</f>
        <v>1035.23353</v>
      </c>
      <c r="D1066" s="8">
        <f t="shared" ref="D1066:F1066" si="404">SUM(D1067:D1070)</f>
        <v>1035.23353</v>
      </c>
      <c r="E1066" s="8">
        <f t="shared" si="404"/>
        <v>0</v>
      </c>
      <c r="F1066" s="8">
        <f t="shared" si="404"/>
        <v>0</v>
      </c>
      <c r="G1066" s="8">
        <f t="shared" ref="G1066:H1066" si="405">SUM(G1067:G1070)</f>
        <v>0</v>
      </c>
      <c r="H1066" s="11">
        <f t="shared" si="405"/>
        <v>0</v>
      </c>
      <c r="I1066" s="44"/>
      <c r="J1066" s="70"/>
      <c r="K1066" s="70"/>
      <c r="L1066" s="70"/>
      <c r="M1066" s="70"/>
      <c r="N1066" s="44"/>
      <c r="O1066" s="70"/>
      <c r="P1066" s="73"/>
      <c r="Q1066" s="70"/>
      <c r="R1066" s="70"/>
      <c r="S1066" s="44"/>
      <c r="T1066" s="70"/>
    </row>
    <row r="1067" spans="1:20" ht="15.95" customHeight="1" x14ac:dyDescent="0.2">
      <c r="A1067" s="35"/>
      <c r="B1067" s="25" t="s">
        <v>0</v>
      </c>
      <c r="C1067" s="6">
        <f t="shared" si="403"/>
        <v>0</v>
      </c>
      <c r="D1067" s="8"/>
      <c r="E1067" s="8"/>
      <c r="F1067" s="8"/>
      <c r="G1067" s="8"/>
      <c r="H1067" s="11"/>
      <c r="I1067" s="44"/>
      <c r="J1067" s="70"/>
      <c r="K1067" s="70"/>
      <c r="L1067" s="70"/>
      <c r="M1067" s="70"/>
      <c r="N1067" s="44"/>
      <c r="O1067" s="70"/>
      <c r="P1067" s="73"/>
      <c r="Q1067" s="70"/>
      <c r="R1067" s="70"/>
      <c r="S1067" s="44"/>
      <c r="T1067" s="70"/>
    </row>
    <row r="1068" spans="1:20" ht="15.95" customHeight="1" x14ac:dyDescent="0.2">
      <c r="A1068" s="35"/>
      <c r="B1068" s="25" t="s">
        <v>1</v>
      </c>
      <c r="C1068" s="6">
        <f>D1068+E1068+F1068+G1068+H1068</f>
        <v>1035.23353</v>
      </c>
      <c r="D1068" s="8">
        <v>1035.23353</v>
      </c>
      <c r="E1068" s="8"/>
      <c r="F1068" s="8"/>
      <c r="G1068" s="8"/>
      <c r="H1068" s="11"/>
      <c r="I1068" s="44"/>
      <c r="J1068" s="70"/>
      <c r="K1068" s="70"/>
      <c r="L1068" s="70"/>
      <c r="M1068" s="70"/>
      <c r="N1068" s="44"/>
      <c r="O1068" s="70"/>
      <c r="P1068" s="73"/>
      <c r="Q1068" s="70"/>
      <c r="R1068" s="70"/>
      <c r="S1068" s="44"/>
      <c r="T1068" s="70"/>
    </row>
    <row r="1069" spans="1:20" ht="15.95" customHeight="1" x14ac:dyDescent="0.2">
      <c r="A1069" s="35"/>
      <c r="B1069" s="25" t="s">
        <v>2</v>
      </c>
      <c r="C1069" s="6">
        <f t="shared" ref="C1069:C1070" si="406">D1069+E1069+F1069+G1069+H1069</f>
        <v>0</v>
      </c>
      <c r="D1069" s="8"/>
      <c r="E1069" s="8"/>
      <c r="F1069" s="8"/>
      <c r="G1069" s="8"/>
      <c r="H1069" s="11"/>
      <c r="I1069" s="44"/>
      <c r="J1069" s="70"/>
      <c r="K1069" s="70"/>
      <c r="L1069" s="70"/>
      <c r="M1069" s="70"/>
      <c r="N1069" s="44"/>
      <c r="O1069" s="70"/>
      <c r="P1069" s="73"/>
      <c r="Q1069" s="70"/>
      <c r="R1069" s="70"/>
      <c r="S1069" s="44"/>
      <c r="T1069" s="70"/>
    </row>
    <row r="1070" spans="1:20" ht="15.95" customHeight="1" x14ac:dyDescent="0.2">
      <c r="A1070" s="36"/>
      <c r="B1070" s="25" t="s">
        <v>3</v>
      </c>
      <c r="C1070" s="6">
        <f t="shared" si="406"/>
        <v>0</v>
      </c>
      <c r="D1070" s="8"/>
      <c r="E1070" s="8"/>
      <c r="F1070" s="8"/>
      <c r="G1070" s="8"/>
      <c r="H1070" s="11"/>
      <c r="I1070" s="45"/>
      <c r="J1070" s="71"/>
      <c r="K1070" s="71"/>
      <c r="L1070" s="71"/>
      <c r="M1070" s="71"/>
      <c r="N1070" s="45"/>
      <c r="O1070" s="71"/>
      <c r="P1070" s="74"/>
      <c r="Q1070" s="71"/>
      <c r="R1070" s="71"/>
      <c r="S1070" s="45"/>
      <c r="T1070" s="71"/>
    </row>
    <row r="1071" spans="1:20" ht="15.95" customHeight="1" x14ac:dyDescent="0.2">
      <c r="A1071" s="34" t="s">
        <v>341</v>
      </c>
      <c r="B1071" s="37" t="s">
        <v>92</v>
      </c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8"/>
    </row>
    <row r="1072" spans="1:20" ht="15.95" customHeight="1" x14ac:dyDescent="0.2">
      <c r="A1072" s="35" t="s">
        <v>74</v>
      </c>
      <c r="B1072" s="54" t="s">
        <v>128</v>
      </c>
      <c r="C1072" s="54"/>
      <c r="D1072" s="54"/>
      <c r="E1072" s="54"/>
      <c r="F1072" s="54"/>
      <c r="G1072" s="54"/>
      <c r="H1072" s="54"/>
      <c r="I1072" s="77"/>
      <c r="J1072" s="77"/>
      <c r="K1072" s="77"/>
      <c r="L1072" s="77"/>
      <c r="M1072" s="77"/>
      <c r="N1072" s="77"/>
      <c r="O1072" s="77"/>
      <c r="P1072" s="77"/>
      <c r="Q1072" s="77"/>
      <c r="R1072" s="77"/>
      <c r="S1072" s="77"/>
      <c r="T1072" s="77"/>
    </row>
    <row r="1073" spans="1:20" ht="50.1" customHeight="1" x14ac:dyDescent="0.2">
      <c r="A1073" s="35"/>
      <c r="B1073" s="57" t="s">
        <v>410</v>
      </c>
      <c r="C1073" s="58"/>
      <c r="D1073" s="58"/>
      <c r="E1073" s="58"/>
      <c r="F1073" s="58"/>
      <c r="G1073" s="58"/>
      <c r="H1073" s="59"/>
      <c r="I1073" s="43" t="s">
        <v>467</v>
      </c>
      <c r="J1073" s="69" t="s">
        <v>51</v>
      </c>
      <c r="K1073" s="69" t="s">
        <v>42</v>
      </c>
      <c r="L1073" s="69" t="s">
        <v>352</v>
      </c>
      <c r="M1073" s="69" t="s">
        <v>93</v>
      </c>
      <c r="N1073" s="43" t="s">
        <v>150</v>
      </c>
      <c r="O1073" s="69" t="s">
        <v>93</v>
      </c>
      <c r="P1073" s="72" t="s">
        <v>353</v>
      </c>
      <c r="Q1073" s="69" t="s">
        <v>33</v>
      </c>
      <c r="R1073" s="69" t="s">
        <v>38</v>
      </c>
      <c r="S1073" s="43" t="s">
        <v>25</v>
      </c>
      <c r="T1073" s="69"/>
    </row>
    <row r="1074" spans="1:20" ht="15.95" customHeight="1" x14ac:dyDescent="0.2">
      <c r="A1074" s="35"/>
      <c r="B1074" s="25" t="s">
        <v>5</v>
      </c>
      <c r="C1074" s="6">
        <f t="shared" ref="C1074:C1075" si="407">D1074+E1074+F1074+G1074+H1074</f>
        <v>1035.23353</v>
      </c>
      <c r="D1074" s="8">
        <f t="shared" ref="D1074:F1074" si="408">SUM(D1075:D1078)</f>
        <v>1035.23353</v>
      </c>
      <c r="E1074" s="8">
        <f t="shared" si="408"/>
        <v>0</v>
      </c>
      <c r="F1074" s="8">
        <f t="shared" si="408"/>
        <v>0</v>
      </c>
      <c r="G1074" s="8">
        <f t="shared" ref="G1074:H1074" si="409">SUM(G1075:G1078)</f>
        <v>0</v>
      </c>
      <c r="H1074" s="11">
        <f t="shared" si="409"/>
        <v>0</v>
      </c>
      <c r="I1074" s="44"/>
      <c r="J1074" s="70"/>
      <c r="K1074" s="70"/>
      <c r="L1074" s="70"/>
      <c r="M1074" s="70"/>
      <c r="N1074" s="44"/>
      <c r="O1074" s="70"/>
      <c r="P1074" s="73"/>
      <c r="Q1074" s="70"/>
      <c r="R1074" s="70"/>
      <c r="S1074" s="44"/>
      <c r="T1074" s="70"/>
    </row>
    <row r="1075" spans="1:20" ht="15.95" customHeight="1" x14ac:dyDescent="0.2">
      <c r="A1075" s="35"/>
      <c r="B1075" s="25" t="s">
        <v>0</v>
      </c>
      <c r="C1075" s="6">
        <f t="shared" si="407"/>
        <v>0</v>
      </c>
      <c r="D1075" s="8"/>
      <c r="E1075" s="8"/>
      <c r="F1075" s="8"/>
      <c r="G1075" s="8"/>
      <c r="H1075" s="11"/>
      <c r="I1075" s="44"/>
      <c r="J1075" s="70"/>
      <c r="K1075" s="70"/>
      <c r="L1075" s="70"/>
      <c r="M1075" s="70"/>
      <c r="N1075" s="44"/>
      <c r="O1075" s="70"/>
      <c r="P1075" s="73"/>
      <c r="Q1075" s="70"/>
      <c r="R1075" s="70"/>
      <c r="S1075" s="44"/>
      <c r="T1075" s="70"/>
    </row>
    <row r="1076" spans="1:20" ht="15.95" customHeight="1" x14ac:dyDescent="0.2">
      <c r="A1076" s="35"/>
      <c r="B1076" s="25" t="s">
        <v>1</v>
      </c>
      <c r="C1076" s="6">
        <f>D1076+E1076+F1076+G1076+H1076</f>
        <v>1035.23353</v>
      </c>
      <c r="D1076" s="8">
        <v>1035.23353</v>
      </c>
      <c r="E1076" s="8"/>
      <c r="F1076" s="8"/>
      <c r="G1076" s="8"/>
      <c r="H1076" s="11"/>
      <c r="I1076" s="44"/>
      <c r="J1076" s="70"/>
      <c r="K1076" s="70"/>
      <c r="L1076" s="70"/>
      <c r="M1076" s="70"/>
      <c r="N1076" s="44"/>
      <c r="O1076" s="70"/>
      <c r="P1076" s="73"/>
      <c r="Q1076" s="70"/>
      <c r="R1076" s="70"/>
      <c r="S1076" s="44"/>
      <c r="T1076" s="70"/>
    </row>
    <row r="1077" spans="1:20" ht="15.95" customHeight="1" x14ac:dyDescent="0.2">
      <c r="A1077" s="35"/>
      <c r="B1077" s="25" t="s">
        <v>2</v>
      </c>
      <c r="C1077" s="6">
        <f t="shared" ref="C1077:C1078" si="410">D1077+E1077+F1077+G1077+H1077</f>
        <v>0</v>
      </c>
      <c r="D1077" s="8"/>
      <c r="E1077" s="8"/>
      <c r="F1077" s="8"/>
      <c r="G1077" s="8"/>
      <c r="H1077" s="11"/>
      <c r="I1077" s="44"/>
      <c r="J1077" s="70"/>
      <c r="K1077" s="70"/>
      <c r="L1077" s="70"/>
      <c r="M1077" s="70"/>
      <c r="N1077" s="44"/>
      <c r="O1077" s="70"/>
      <c r="P1077" s="73"/>
      <c r="Q1077" s="70"/>
      <c r="R1077" s="70"/>
      <c r="S1077" s="44"/>
      <c r="T1077" s="70"/>
    </row>
    <row r="1078" spans="1:20" ht="15.95" customHeight="1" x14ac:dyDescent="0.2">
      <c r="A1078" s="36"/>
      <c r="B1078" s="25" t="s">
        <v>3</v>
      </c>
      <c r="C1078" s="6">
        <f t="shared" si="410"/>
        <v>0</v>
      </c>
      <c r="D1078" s="8"/>
      <c r="E1078" s="8"/>
      <c r="F1078" s="8"/>
      <c r="G1078" s="8"/>
      <c r="H1078" s="11"/>
      <c r="I1078" s="45"/>
      <c r="J1078" s="71"/>
      <c r="K1078" s="71"/>
      <c r="L1078" s="71"/>
      <c r="M1078" s="71"/>
      <c r="N1078" s="45"/>
      <c r="O1078" s="71"/>
      <c r="P1078" s="74"/>
      <c r="Q1078" s="71"/>
      <c r="R1078" s="71"/>
      <c r="S1078" s="45"/>
      <c r="T1078" s="71"/>
    </row>
    <row r="1079" spans="1:20" ht="15.95" customHeight="1" x14ac:dyDescent="0.2">
      <c r="A1079" s="34" t="s">
        <v>344</v>
      </c>
      <c r="B1079" s="37" t="s">
        <v>92</v>
      </c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8"/>
    </row>
    <row r="1080" spans="1:20" ht="15.95" customHeight="1" x14ac:dyDescent="0.2">
      <c r="A1080" s="35" t="s">
        <v>74</v>
      </c>
      <c r="B1080" s="54" t="s">
        <v>128</v>
      </c>
      <c r="C1080" s="54"/>
      <c r="D1080" s="54"/>
      <c r="E1080" s="54"/>
      <c r="F1080" s="54"/>
      <c r="G1080" s="54"/>
      <c r="H1080" s="54"/>
      <c r="I1080" s="77"/>
      <c r="J1080" s="77"/>
      <c r="K1080" s="77"/>
      <c r="L1080" s="77"/>
      <c r="M1080" s="77"/>
      <c r="N1080" s="77"/>
      <c r="O1080" s="77"/>
      <c r="P1080" s="77"/>
      <c r="Q1080" s="77"/>
      <c r="R1080" s="77"/>
      <c r="S1080" s="77"/>
      <c r="T1080" s="77"/>
    </row>
    <row r="1081" spans="1:20" ht="50.1" customHeight="1" x14ac:dyDescent="0.2">
      <c r="A1081" s="35"/>
      <c r="B1081" s="57" t="s">
        <v>367</v>
      </c>
      <c r="C1081" s="58"/>
      <c r="D1081" s="58"/>
      <c r="E1081" s="58"/>
      <c r="F1081" s="58"/>
      <c r="G1081" s="58"/>
      <c r="H1081" s="59"/>
      <c r="I1081" s="43" t="s">
        <v>468</v>
      </c>
      <c r="J1081" s="69" t="s">
        <v>469</v>
      </c>
      <c r="K1081" s="69" t="s">
        <v>42</v>
      </c>
      <c r="L1081" s="69" t="s">
        <v>355</v>
      </c>
      <c r="M1081" s="69" t="s">
        <v>93</v>
      </c>
      <c r="N1081" s="43" t="s">
        <v>150</v>
      </c>
      <c r="O1081" s="69" t="s">
        <v>93</v>
      </c>
      <c r="P1081" s="72" t="s">
        <v>356</v>
      </c>
      <c r="Q1081" s="69" t="s">
        <v>33</v>
      </c>
      <c r="R1081" s="69" t="s">
        <v>43</v>
      </c>
      <c r="S1081" s="43" t="s">
        <v>25</v>
      </c>
      <c r="T1081" s="69"/>
    </row>
    <row r="1082" spans="1:20" ht="15.95" customHeight="1" x14ac:dyDescent="0.2">
      <c r="A1082" s="35"/>
      <c r="B1082" s="25" t="s">
        <v>5</v>
      </c>
      <c r="C1082" s="6">
        <f t="shared" ref="C1082:C1083" si="411">D1082+E1082+F1082+G1082+H1082</f>
        <v>1035.23353</v>
      </c>
      <c r="D1082" s="8">
        <f t="shared" ref="D1082:F1082" si="412">SUM(D1083:D1086)</f>
        <v>1035.23353</v>
      </c>
      <c r="E1082" s="8">
        <f t="shared" si="412"/>
        <v>0</v>
      </c>
      <c r="F1082" s="8">
        <f t="shared" si="412"/>
        <v>0</v>
      </c>
      <c r="G1082" s="8">
        <f t="shared" ref="G1082:H1082" si="413">SUM(G1083:G1086)</f>
        <v>0</v>
      </c>
      <c r="H1082" s="11">
        <f t="shared" si="413"/>
        <v>0</v>
      </c>
      <c r="I1082" s="44"/>
      <c r="J1082" s="70"/>
      <c r="K1082" s="70"/>
      <c r="L1082" s="70"/>
      <c r="M1082" s="70"/>
      <c r="N1082" s="44"/>
      <c r="O1082" s="70"/>
      <c r="P1082" s="73"/>
      <c r="Q1082" s="70"/>
      <c r="R1082" s="70"/>
      <c r="S1082" s="44"/>
      <c r="T1082" s="70"/>
    </row>
    <row r="1083" spans="1:20" ht="15.95" customHeight="1" x14ac:dyDescent="0.2">
      <c r="A1083" s="35"/>
      <c r="B1083" s="25" t="s">
        <v>0</v>
      </c>
      <c r="C1083" s="6">
        <f t="shared" si="411"/>
        <v>0</v>
      </c>
      <c r="D1083" s="8"/>
      <c r="E1083" s="8"/>
      <c r="F1083" s="8"/>
      <c r="G1083" s="8"/>
      <c r="H1083" s="11"/>
      <c r="I1083" s="44"/>
      <c r="J1083" s="70"/>
      <c r="K1083" s="70"/>
      <c r="L1083" s="70"/>
      <c r="M1083" s="70"/>
      <c r="N1083" s="44"/>
      <c r="O1083" s="70"/>
      <c r="P1083" s="73"/>
      <c r="Q1083" s="70"/>
      <c r="R1083" s="70"/>
      <c r="S1083" s="44"/>
      <c r="T1083" s="70"/>
    </row>
    <row r="1084" spans="1:20" ht="15.95" customHeight="1" x14ac:dyDescent="0.2">
      <c r="A1084" s="35"/>
      <c r="B1084" s="25" t="s">
        <v>1</v>
      </c>
      <c r="C1084" s="6">
        <f>D1084+E1084+F1084+G1084+H1084</f>
        <v>1035.23353</v>
      </c>
      <c r="D1084" s="8">
        <v>1035.23353</v>
      </c>
      <c r="E1084" s="8"/>
      <c r="F1084" s="8"/>
      <c r="G1084" s="8"/>
      <c r="H1084" s="11"/>
      <c r="I1084" s="44"/>
      <c r="J1084" s="70"/>
      <c r="K1084" s="70"/>
      <c r="L1084" s="70"/>
      <c r="M1084" s="70"/>
      <c r="N1084" s="44"/>
      <c r="O1084" s="70"/>
      <c r="P1084" s="73"/>
      <c r="Q1084" s="70"/>
      <c r="R1084" s="70"/>
      <c r="S1084" s="44"/>
      <c r="T1084" s="70"/>
    </row>
    <row r="1085" spans="1:20" ht="15.95" customHeight="1" x14ac:dyDescent="0.2">
      <c r="A1085" s="35"/>
      <c r="B1085" s="25" t="s">
        <v>2</v>
      </c>
      <c r="C1085" s="6">
        <f t="shared" ref="C1085:C1086" si="414">D1085+E1085+F1085+G1085+H1085</f>
        <v>0</v>
      </c>
      <c r="D1085" s="8"/>
      <c r="E1085" s="8"/>
      <c r="F1085" s="8"/>
      <c r="G1085" s="8"/>
      <c r="H1085" s="11"/>
      <c r="I1085" s="44"/>
      <c r="J1085" s="70"/>
      <c r="K1085" s="70"/>
      <c r="L1085" s="70"/>
      <c r="M1085" s="70"/>
      <c r="N1085" s="44"/>
      <c r="O1085" s="70"/>
      <c r="P1085" s="73"/>
      <c r="Q1085" s="70"/>
      <c r="R1085" s="70"/>
      <c r="S1085" s="44"/>
      <c r="T1085" s="70"/>
    </row>
    <row r="1086" spans="1:20" ht="15.95" customHeight="1" x14ac:dyDescent="0.2">
      <c r="A1086" s="36"/>
      <c r="B1086" s="25" t="s">
        <v>3</v>
      </c>
      <c r="C1086" s="6">
        <f t="shared" si="414"/>
        <v>0</v>
      </c>
      <c r="D1086" s="8"/>
      <c r="E1086" s="8"/>
      <c r="F1086" s="8"/>
      <c r="G1086" s="8"/>
      <c r="H1086" s="11"/>
      <c r="I1086" s="45"/>
      <c r="J1086" s="71"/>
      <c r="K1086" s="71"/>
      <c r="L1086" s="71"/>
      <c r="M1086" s="71"/>
      <c r="N1086" s="45"/>
      <c r="O1086" s="71"/>
      <c r="P1086" s="74"/>
      <c r="Q1086" s="71"/>
      <c r="R1086" s="71"/>
      <c r="S1086" s="45"/>
      <c r="T1086" s="71"/>
    </row>
    <row r="1087" spans="1:20" ht="15.95" customHeight="1" x14ac:dyDescent="0.2">
      <c r="A1087" s="34" t="s">
        <v>348</v>
      </c>
      <c r="B1087" s="37" t="s">
        <v>92</v>
      </c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8"/>
    </row>
    <row r="1088" spans="1:20" ht="15.95" customHeight="1" x14ac:dyDescent="0.2">
      <c r="A1088" s="35" t="s">
        <v>74</v>
      </c>
      <c r="B1088" s="54" t="s">
        <v>128</v>
      </c>
      <c r="C1088" s="54"/>
      <c r="D1088" s="54"/>
      <c r="E1088" s="54"/>
      <c r="F1088" s="54"/>
      <c r="G1088" s="54"/>
      <c r="H1088" s="54"/>
      <c r="I1088" s="77"/>
      <c r="J1088" s="77"/>
      <c r="K1088" s="77"/>
      <c r="L1088" s="77"/>
      <c r="M1088" s="77"/>
      <c r="N1088" s="77"/>
      <c r="O1088" s="77"/>
      <c r="P1088" s="77"/>
      <c r="Q1088" s="77"/>
      <c r="R1088" s="77"/>
      <c r="S1088" s="77"/>
      <c r="T1088" s="77"/>
    </row>
    <row r="1089" spans="1:20" ht="39.950000000000003" customHeight="1" x14ac:dyDescent="0.2">
      <c r="A1089" s="35"/>
      <c r="B1089" s="57" t="s">
        <v>368</v>
      </c>
      <c r="C1089" s="58"/>
      <c r="D1089" s="58"/>
      <c r="E1089" s="58"/>
      <c r="F1089" s="58"/>
      <c r="G1089" s="58"/>
      <c r="H1089" s="59"/>
      <c r="I1089" s="43" t="s">
        <v>467</v>
      </c>
      <c r="J1089" s="69" t="s">
        <v>51</v>
      </c>
      <c r="K1089" s="69" t="s">
        <v>42</v>
      </c>
      <c r="L1089" s="69" t="s">
        <v>358</v>
      </c>
      <c r="M1089" s="69" t="s">
        <v>93</v>
      </c>
      <c r="N1089" s="43" t="s">
        <v>150</v>
      </c>
      <c r="O1089" s="69" t="s">
        <v>93</v>
      </c>
      <c r="P1089" s="72" t="s">
        <v>359</v>
      </c>
      <c r="Q1089" s="69" t="s">
        <v>33</v>
      </c>
      <c r="R1089" s="69" t="s">
        <v>38</v>
      </c>
      <c r="S1089" s="43" t="s">
        <v>25</v>
      </c>
      <c r="T1089" s="69"/>
    </row>
    <row r="1090" spans="1:20" ht="15.95" customHeight="1" x14ac:dyDescent="0.2">
      <c r="A1090" s="35"/>
      <c r="B1090" s="25" t="s">
        <v>5</v>
      </c>
      <c r="C1090" s="6">
        <f t="shared" ref="C1090:C1091" si="415">D1090+E1090+F1090+G1090+H1090</f>
        <v>1035.2335399999999</v>
      </c>
      <c r="D1090" s="8">
        <f t="shared" ref="D1090:F1090" si="416">SUM(D1091:D1094)</f>
        <v>1035.2335399999999</v>
      </c>
      <c r="E1090" s="8">
        <f t="shared" si="416"/>
        <v>0</v>
      </c>
      <c r="F1090" s="8">
        <f t="shared" si="416"/>
        <v>0</v>
      </c>
      <c r="G1090" s="8">
        <f t="shared" ref="G1090:H1090" si="417">SUM(G1091:G1094)</f>
        <v>0</v>
      </c>
      <c r="H1090" s="11">
        <f t="shared" si="417"/>
        <v>0</v>
      </c>
      <c r="I1090" s="44"/>
      <c r="J1090" s="70"/>
      <c r="K1090" s="70"/>
      <c r="L1090" s="70"/>
      <c r="M1090" s="70"/>
      <c r="N1090" s="44"/>
      <c r="O1090" s="70"/>
      <c r="P1090" s="73"/>
      <c r="Q1090" s="70"/>
      <c r="R1090" s="70"/>
      <c r="S1090" s="44"/>
      <c r="T1090" s="70"/>
    </row>
    <row r="1091" spans="1:20" ht="15.95" customHeight="1" x14ac:dyDescent="0.2">
      <c r="A1091" s="35"/>
      <c r="B1091" s="25" t="s">
        <v>0</v>
      </c>
      <c r="C1091" s="6">
        <f t="shared" si="415"/>
        <v>0</v>
      </c>
      <c r="D1091" s="8"/>
      <c r="E1091" s="8"/>
      <c r="F1091" s="8"/>
      <c r="G1091" s="8"/>
      <c r="H1091" s="11"/>
      <c r="I1091" s="44"/>
      <c r="J1091" s="70"/>
      <c r="K1091" s="70"/>
      <c r="L1091" s="70"/>
      <c r="M1091" s="70"/>
      <c r="N1091" s="44"/>
      <c r="O1091" s="70"/>
      <c r="P1091" s="73"/>
      <c r="Q1091" s="70"/>
      <c r="R1091" s="70"/>
      <c r="S1091" s="44"/>
      <c r="T1091" s="70"/>
    </row>
    <row r="1092" spans="1:20" ht="15.95" customHeight="1" x14ac:dyDescent="0.2">
      <c r="A1092" s="35"/>
      <c r="B1092" s="25" t="s">
        <v>1</v>
      </c>
      <c r="C1092" s="6">
        <f>D1092+E1092+F1092+G1092+H1092</f>
        <v>1035.2335399999999</v>
      </c>
      <c r="D1092" s="8">
        <v>1035.2335399999999</v>
      </c>
      <c r="E1092" s="8"/>
      <c r="F1092" s="8"/>
      <c r="G1092" s="8"/>
      <c r="H1092" s="11"/>
      <c r="I1092" s="44"/>
      <c r="J1092" s="70"/>
      <c r="K1092" s="70"/>
      <c r="L1092" s="70"/>
      <c r="M1092" s="70"/>
      <c r="N1092" s="44"/>
      <c r="O1092" s="70"/>
      <c r="P1092" s="73"/>
      <c r="Q1092" s="70"/>
      <c r="R1092" s="70"/>
      <c r="S1092" s="44"/>
      <c r="T1092" s="70"/>
    </row>
    <row r="1093" spans="1:20" ht="15.95" customHeight="1" x14ac:dyDescent="0.2">
      <c r="A1093" s="35"/>
      <c r="B1093" s="25" t="s">
        <v>2</v>
      </c>
      <c r="C1093" s="6">
        <f t="shared" ref="C1093:C1094" si="418">D1093+E1093+F1093+G1093+H1093</f>
        <v>0</v>
      </c>
      <c r="D1093" s="8"/>
      <c r="E1093" s="8"/>
      <c r="F1093" s="8"/>
      <c r="G1093" s="8"/>
      <c r="H1093" s="11"/>
      <c r="I1093" s="44"/>
      <c r="J1093" s="70"/>
      <c r="K1093" s="70"/>
      <c r="L1093" s="70"/>
      <c r="M1093" s="70"/>
      <c r="N1093" s="44"/>
      <c r="O1093" s="70"/>
      <c r="P1093" s="73"/>
      <c r="Q1093" s="70"/>
      <c r="R1093" s="70"/>
      <c r="S1093" s="44"/>
      <c r="T1093" s="70"/>
    </row>
    <row r="1094" spans="1:20" ht="15.95" customHeight="1" x14ac:dyDescent="0.2">
      <c r="A1094" s="36"/>
      <c r="B1094" s="25" t="s">
        <v>3</v>
      </c>
      <c r="C1094" s="6">
        <f t="shared" si="418"/>
        <v>0</v>
      </c>
      <c r="D1094" s="8"/>
      <c r="E1094" s="8"/>
      <c r="F1094" s="8"/>
      <c r="G1094" s="8"/>
      <c r="H1094" s="11"/>
      <c r="I1094" s="45"/>
      <c r="J1094" s="71"/>
      <c r="K1094" s="71"/>
      <c r="L1094" s="71"/>
      <c r="M1094" s="71"/>
      <c r="N1094" s="45"/>
      <c r="O1094" s="71"/>
      <c r="P1094" s="74"/>
      <c r="Q1094" s="71"/>
      <c r="R1094" s="71"/>
      <c r="S1094" s="45"/>
      <c r="T1094" s="71"/>
    </row>
    <row r="1095" spans="1:20" ht="15.95" customHeight="1" x14ac:dyDescent="0.2">
      <c r="A1095" s="34" t="s">
        <v>351</v>
      </c>
      <c r="B1095" s="37" t="s">
        <v>92</v>
      </c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8"/>
    </row>
    <row r="1096" spans="1:20" ht="15.95" customHeight="1" x14ac:dyDescent="0.2">
      <c r="A1096" s="35" t="s">
        <v>74</v>
      </c>
      <c r="B1096" s="54" t="s">
        <v>128</v>
      </c>
      <c r="C1096" s="54"/>
      <c r="D1096" s="54"/>
      <c r="E1096" s="54"/>
      <c r="F1096" s="54"/>
      <c r="G1096" s="54"/>
      <c r="H1096" s="54"/>
      <c r="I1096" s="77"/>
      <c r="J1096" s="77"/>
      <c r="K1096" s="77"/>
      <c r="L1096" s="77"/>
      <c r="M1096" s="77"/>
      <c r="N1096" s="77"/>
      <c r="O1096" s="77"/>
      <c r="P1096" s="77"/>
      <c r="Q1096" s="77"/>
      <c r="R1096" s="77"/>
      <c r="S1096" s="77"/>
      <c r="T1096" s="77"/>
    </row>
    <row r="1097" spans="1:20" ht="39.950000000000003" customHeight="1" x14ac:dyDescent="0.2">
      <c r="A1097" s="35"/>
      <c r="B1097" s="57" t="s">
        <v>369</v>
      </c>
      <c r="C1097" s="58"/>
      <c r="D1097" s="58"/>
      <c r="E1097" s="58"/>
      <c r="F1097" s="58"/>
      <c r="G1097" s="58"/>
      <c r="H1097" s="59"/>
      <c r="I1097" s="43" t="s">
        <v>468</v>
      </c>
      <c r="J1097" s="69" t="s">
        <v>51</v>
      </c>
      <c r="K1097" s="69" t="s">
        <v>42</v>
      </c>
      <c r="L1097" s="69" t="s">
        <v>360</v>
      </c>
      <c r="M1097" s="69" t="s">
        <v>93</v>
      </c>
      <c r="N1097" s="43" t="s">
        <v>150</v>
      </c>
      <c r="O1097" s="69" t="s">
        <v>93</v>
      </c>
      <c r="P1097" s="72" t="s">
        <v>361</v>
      </c>
      <c r="Q1097" s="69" t="s">
        <v>33</v>
      </c>
      <c r="R1097" s="69" t="s">
        <v>37</v>
      </c>
      <c r="S1097" s="43" t="s">
        <v>25</v>
      </c>
      <c r="T1097" s="69"/>
    </row>
    <row r="1098" spans="1:20" ht="15.95" customHeight="1" x14ac:dyDescent="0.2">
      <c r="A1098" s="35"/>
      <c r="B1098" s="25" t="s">
        <v>5</v>
      </c>
      <c r="C1098" s="6">
        <f t="shared" ref="C1098:C1099" si="419">D1098+E1098+F1098+G1098+H1098</f>
        <v>1035.2335399999999</v>
      </c>
      <c r="D1098" s="8">
        <f t="shared" ref="D1098:F1098" si="420">SUM(D1099:D1102)</f>
        <v>1035.2335399999999</v>
      </c>
      <c r="E1098" s="8">
        <f t="shared" si="420"/>
        <v>0</v>
      </c>
      <c r="F1098" s="8">
        <f t="shared" si="420"/>
        <v>0</v>
      </c>
      <c r="G1098" s="8">
        <f t="shared" ref="G1098:H1098" si="421">SUM(G1099:G1102)</f>
        <v>0</v>
      </c>
      <c r="H1098" s="11">
        <f t="shared" si="421"/>
        <v>0</v>
      </c>
      <c r="I1098" s="44"/>
      <c r="J1098" s="70"/>
      <c r="K1098" s="70"/>
      <c r="L1098" s="70"/>
      <c r="M1098" s="70"/>
      <c r="N1098" s="44"/>
      <c r="O1098" s="70"/>
      <c r="P1098" s="73"/>
      <c r="Q1098" s="70"/>
      <c r="R1098" s="70"/>
      <c r="S1098" s="44"/>
      <c r="T1098" s="70"/>
    </row>
    <row r="1099" spans="1:20" ht="15.95" customHeight="1" x14ac:dyDescent="0.2">
      <c r="A1099" s="35"/>
      <c r="B1099" s="25" t="s">
        <v>0</v>
      </c>
      <c r="C1099" s="6">
        <f t="shared" si="419"/>
        <v>0</v>
      </c>
      <c r="D1099" s="8"/>
      <c r="E1099" s="8"/>
      <c r="F1099" s="8"/>
      <c r="G1099" s="8"/>
      <c r="H1099" s="11"/>
      <c r="I1099" s="44"/>
      <c r="J1099" s="70"/>
      <c r="K1099" s="70"/>
      <c r="L1099" s="70"/>
      <c r="M1099" s="70"/>
      <c r="N1099" s="44"/>
      <c r="O1099" s="70"/>
      <c r="P1099" s="73"/>
      <c r="Q1099" s="70"/>
      <c r="R1099" s="70"/>
      <c r="S1099" s="44"/>
      <c r="T1099" s="70"/>
    </row>
    <row r="1100" spans="1:20" ht="15.95" customHeight="1" x14ac:dyDescent="0.2">
      <c r="A1100" s="35"/>
      <c r="B1100" s="25" t="s">
        <v>1</v>
      </c>
      <c r="C1100" s="6">
        <f>D1100+E1100+F1100+G1100+H1100</f>
        <v>1035.2335399999999</v>
      </c>
      <c r="D1100" s="8">
        <v>1035.2335399999999</v>
      </c>
      <c r="E1100" s="8"/>
      <c r="F1100" s="8"/>
      <c r="G1100" s="8"/>
      <c r="H1100" s="11"/>
      <c r="I1100" s="44"/>
      <c r="J1100" s="70"/>
      <c r="K1100" s="70"/>
      <c r="L1100" s="70"/>
      <c r="M1100" s="70"/>
      <c r="N1100" s="44"/>
      <c r="O1100" s="70"/>
      <c r="P1100" s="73"/>
      <c r="Q1100" s="70"/>
      <c r="R1100" s="70"/>
      <c r="S1100" s="44"/>
      <c r="T1100" s="70"/>
    </row>
    <row r="1101" spans="1:20" ht="15.95" customHeight="1" x14ac:dyDescent="0.2">
      <c r="A1101" s="35"/>
      <c r="B1101" s="25" t="s">
        <v>2</v>
      </c>
      <c r="C1101" s="6">
        <f t="shared" ref="C1101:C1102" si="422">D1101+E1101+F1101+G1101+H1101</f>
        <v>0</v>
      </c>
      <c r="D1101" s="8"/>
      <c r="E1101" s="8"/>
      <c r="F1101" s="8"/>
      <c r="G1101" s="8"/>
      <c r="H1101" s="11"/>
      <c r="I1101" s="44"/>
      <c r="J1101" s="70"/>
      <c r="K1101" s="70"/>
      <c r="L1101" s="70"/>
      <c r="M1101" s="70"/>
      <c r="N1101" s="44"/>
      <c r="O1101" s="70"/>
      <c r="P1101" s="73"/>
      <c r="Q1101" s="70"/>
      <c r="R1101" s="70"/>
      <c r="S1101" s="44"/>
      <c r="T1101" s="70"/>
    </row>
    <row r="1102" spans="1:20" ht="15.95" customHeight="1" x14ac:dyDescent="0.2">
      <c r="A1102" s="36"/>
      <c r="B1102" s="25" t="s">
        <v>3</v>
      </c>
      <c r="C1102" s="6">
        <f t="shared" si="422"/>
        <v>0</v>
      </c>
      <c r="D1102" s="8"/>
      <c r="E1102" s="8"/>
      <c r="F1102" s="8"/>
      <c r="G1102" s="8"/>
      <c r="H1102" s="11"/>
      <c r="I1102" s="45"/>
      <c r="J1102" s="71"/>
      <c r="K1102" s="71"/>
      <c r="L1102" s="71"/>
      <c r="M1102" s="71"/>
      <c r="N1102" s="45"/>
      <c r="O1102" s="71"/>
      <c r="P1102" s="74"/>
      <c r="Q1102" s="71"/>
      <c r="R1102" s="71"/>
      <c r="S1102" s="45"/>
      <c r="T1102" s="71"/>
    </row>
    <row r="1103" spans="1:20" ht="15.95" customHeight="1" x14ac:dyDescent="0.2">
      <c r="A1103" s="34" t="s">
        <v>354</v>
      </c>
      <c r="B1103" s="37" t="s">
        <v>92</v>
      </c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8"/>
    </row>
    <row r="1104" spans="1:20" ht="15.95" customHeight="1" x14ac:dyDescent="0.2">
      <c r="A1104" s="35" t="s">
        <v>74</v>
      </c>
      <c r="B1104" s="54" t="s">
        <v>128</v>
      </c>
      <c r="C1104" s="54"/>
      <c r="D1104" s="54"/>
      <c r="E1104" s="54"/>
      <c r="F1104" s="54"/>
      <c r="G1104" s="54"/>
      <c r="H1104" s="54"/>
      <c r="I1104" s="77"/>
      <c r="J1104" s="77"/>
      <c r="K1104" s="77"/>
      <c r="L1104" s="77"/>
      <c r="M1104" s="77"/>
      <c r="N1104" s="77"/>
      <c r="O1104" s="77"/>
      <c r="P1104" s="77"/>
      <c r="Q1104" s="77"/>
      <c r="R1104" s="77"/>
      <c r="S1104" s="77"/>
      <c r="T1104" s="77"/>
    </row>
    <row r="1105" spans="1:20" ht="39.950000000000003" customHeight="1" x14ac:dyDescent="0.2">
      <c r="A1105" s="35"/>
      <c r="B1105" s="57" t="s">
        <v>370</v>
      </c>
      <c r="C1105" s="58"/>
      <c r="D1105" s="58"/>
      <c r="E1105" s="58"/>
      <c r="F1105" s="58"/>
      <c r="G1105" s="58"/>
      <c r="H1105" s="59"/>
      <c r="I1105" s="43" t="s">
        <v>467</v>
      </c>
      <c r="J1105" s="69" t="s">
        <v>54</v>
      </c>
      <c r="K1105" s="69" t="s">
        <v>42</v>
      </c>
      <c r="L1105" s="69" t="s">
        <v>362</v>
      </c>
      <c r="M1105" s="69" t="s">
        <v>93</v>
      </c>
      <c r="N1105" s="43" t="s">
        <v>150</v>
      </c>
      <c r="O1105" s="69" t="s">
        <v>93</v>
      </c>
      <c r="P1105" s="72" t="s">
        <v>363</v>
      </c>
      <c r="Q1105" s="69" t="s">
        <v>33</v>
      </c>
      <c r="R1105" s="69" t="s">
        <v>48</v>
      </c>
      <c r="S1105" s="43" t="s">
        <v>25</v>
      </c>
      <c r="T1105" s="69"/>
    </row>
    <row r="1106" spans="1:20" ht="15.95" customHeight="1" x14ac:dyDescent="0.2">
      <c r="A1106" s="35"/>
      <c r="B1106" s="25" t="s">
        <v>5</v>
      </c>
      <c r="C1106" s="6">
        <f t="shared" ref="C1106:C1107" si="423">D1106+E1106+F1106+G1106+H1106</f>
        <v>1035.2335399999999</v>
      </c>
      <c r="D1106" s="8">
        <f t="shared" ref="D1106:F1106" si="424">SUM(D1107:D1110)</f>
        <v>1035.2335399999999</v>
      </c>
      <c r="E1106" s="8">
        <f t="shared" si="424"/>
        <v>0</v>
      </c>
      <c r="F1106" s="8">
        <f t="shared" si="424"/>
        <v>0</v>
      </c>
      <c r="G1106" s="8">
        <f t="shared" ref="G1106:H1106" si="425">SUM(G1107:G1110)</f>
        <v>0</v>
      </c>
      <c r="H1106" s="11">
        <f t="shared" si="425"/>
        <v>0</v>
      </c>
      <c r="I1106" s="44"/>
      <c r="J1106" s="70"/>
      <c r="K1106" s="70"/>
      <c r="L1106" s="70"/>
      <c r="M1106" s="70"/>
      <c r="N1106" s="44"/>
      <c r="O1106" s="70"/>
      <c r="P1106" s="73"/>
      <c r="Q1106" s="70"/>
      <c r="R1106" s="70"/>
      <c r="S1106" s="44"/>
      <c r="T1106" s="70"/>
    </row>
    <row r="1107" spans="1:20" ht="15.95" customHeight="1" x14ac:dyDescent="0.2">
      <c r="A1107" s="35"/>
      <c r="B1107" s="25" t="s">
        <v>0</v>
      </c>
      <c r="C1107" s="6">
        <f t="shared" si="423"/>
        <v>0</v>
      </c>
      <c r="D1107" s="8"/>
      <c r="E1107" s="8"/>
      <c r="F1107" s="8"/>
      <c r="G1107" s="8"/>
      <c r="H1107" s="11"/>
      <c r="I1107" s="44"/>
      <c r="J1107" s="70"/>
      <c r="K1107" s="70"/>
      <c r="L1107" s="70"/>
      <c r="M1107" s="70"/>
      <c r="N1107" s="44"/>
      <c r="O1107" s="70"/>
      <c r="P1107" s="73"/>
      <c r="Q1107" s="70"/>
      <c r="R1107" s="70"/>
      <c r="S1107" s="44"/>
      <c r="T1107" s="70"/>
    </row>
    <row r="1108" spans="1:20" ht="15.95" customHeight="1" x14ac:dyDescent="0.2">
      <c r="A1108" s="35"/>
      <c r="B1108" s="25" t="s">
        <v>1</v>
      </c>
      <c r="C1108" s="6">
        <f>D1108+E1108+F1108+G1108+H1108</f>
        <v>1035.2335399999999</v>
      </c>
      <c r="D1108" s="8">
        <v>1035.2335399999999</v>
      </c>
      <c r="E1108" s="8"/>
      <c r="F1108" s="8"/>
      <c r="G1108" s="8"/>
      <c r="H1108" s="11"/>
      <c r="I1108" s="44"/>
      <c r="J1108" s="70"/>
      <c r="K1108" s="70"/>
      <c r="L1108" s="70"/>
      <c r="M1108" s="70"/>
      <c r="N1108" s="44"/>
      <c r="O1108" s="70"/>
      <c r="P1108" s="73"/>
      <c r="Q1108" s="70"/>
      <c r="R1108" s="70"/>
      <c r="S1108" s="44"/>
      <c r="T1108" s="70"/>
    </row>
    <row r="1109" spans="1:20" ht="15.95" customHeight="1" x14ac:dyDescent="0.2">
      <c r="A1109" s="35"/>
      <c r="B1109" s="25" t="s">
        <v>2</v>
      </c>
      <c r="C1109" s="6">
        <f t="shared" ref="C1109:C1110" si="426">D1109+E1109+F1109+G1109+H1109</f>
        <v>0</v>
      </c>
      <c r="D1109" s="8"/>
      <c r="E1109" s="8"/>
      <c r="F1109" s="8"/>
      <c r="G1109" s="8"/>
      <c r="H1109" s="11"/>
      <c r="I1109" s="44"/>
      <c r="J1109" s="70"/>
      <c r="K1109" s="70"/>
      <c r="L1109" s="70"/>
      <c r="M1109" s="70"/>
      <c r="N1109" s="44"/>
      <c r="O1109" s="70"/>
      <c r="P1109" s="73"/>
      <c r="Q1109" s="70"/>
      <c r="R1109" s="70"/>
      <c r="S1109" s="44"/>
      <c r="T1109" s="70"/>
    </row>
    <row r="1110" spans="1:20" ht="15.95" customHeight="1" x14ac:dyDescent="0.2">
      <c r="A1110" s="36"/>
      <c r="B1110" s="25" t="s">
        <v>3</v>
      </c>
      <c r="C1110" s="6">
        <f t="shared" si="426"/>
        <v>0</v>
      </c>
      <c r="D1110" s="8"/>
      <c r="E1110" s="8"/>
      <c r="F1110" s="8"/>
      <c r="G1110" s="8"/>
      <c r="H1110" s="11"/>
      <c r="I1110" s="45"/>
      <c r="J1110" s="71"/>
      <c r="K1110" s="71"/>
      <c r="L1110" s="71"/>
      <c r="M1110" s="71"/>
      <c r="N1110" s="45"/>
      <c r="O1110" s="71"/>
      <c r="P1110" s="74"/>
      <c r="Q1110" s="71"/>
      <c r="R1110" s="71"/>
      <c r="S1110" s="45"/>
      <c r="T1110" s="71"/>
    </row>
    <row r="1111" spans="1:20" ht="15.95" customHeight="1" x14ac:dyDescent="0.2">
      <c r="A1111" s="34" t="s">
        <v>357</v>
      </c>
      <c r="B1111" s="37" t="s">
        <v>92</v>
      </c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8"/>
    </row>
    <row r="1112" spans="1:20" ht="15.95" customHeight="1" x14ac:dyDescent="0.2">
      <c r="A1112" s="35" t="s">
        <v>74</v>
      </c>
      <c r="B1112" s="54" t="s">
        <v>128</v>
      </c>
      <c r="C1112" s="54"/>
      <c r="D1112" s="54"/>
      <c r="E1112" s="54"/>
      <c r="F1112" s="54"/>
      <c r="G1112" s="54"/>
      <c r="H1112" s="54"/>
      <c r="I1112" s="77"/>
      <c r="J1112" s="77"/>
      <c r="K1112" s="77"/>
      <c r="L1112" s="77"/>
      <c r="M1112" s="77"/>
      <c r="N1112" s="77"/>
      <c r="O1112" s="77"/>
      <c r="P1112" s="77"/>
      <c r="Q1112" s="77"/>
      <c r="R1112" s="77"/>
      <c r="S1112" s="77"/>
      <c r="T1112" s="77"/>
    </row>
    <row r="1113" spans="1:20" ht="39.950000000000003" customHeight="1" x14ac:dyDescent="0.2">
      <c r="A1113" s="35"/>
      <c r="B1113" s="57" t="s">
        <v>371</v>
      </c>
      <c r="C1113" s="58"/>
      <c r="D1113" s="58"/>
      <c r="E1113" s="58"/>
      <c r="F1113" s="58"/>
      <c r="G1113" s="58"/>
      <c r="H1113" s="59"/>
      <c r="I1113" s="43" t="s">
        <v>468</v>
      </c>
      <c r="J1113" s="69" t="s">
        <v>51</v>
      </c>
      <c r="K1113" s="69" t="s">
        <v>42</v>
      </c>
      <c r="L1113" s="69" t="s">
        <v>364</v>
      </c>
      <c r="M1113" s="69" t="s">
        <v>93</v>
      </c>
      <c r="N1113" s="43" t="s">
        <v>150</v>
      </c>
      <c r="O1113" s="69" t="s">
        <v>93</v>
      </c>
      <c r="P1113" s="72" t="s">
        <v>365</v>
      </c>
      <c r="Q1113" s="69" t="s">
        <v>33</v>
      </c>
      <c r="R1113" s="69" t="s">
        <v>48</v>
      </c>
      <c r="S1113" s="43" t="s">
        <v>25</v>
      </c>
      <c r="T1113" s="69"/>
    </row>
    <row r="1114" spans="1:20" ht="15.95" customHeight="1" x14ac:dyDescent="0.2">
      <c r="A1114" s="35"/>
      <c r="B1114" s="25" t="s">
        <v>5</v>
      </c>
      <c r="C1114" s="6">
        <f t="shared" ref="C1114:C1115" si="427">D1114+E1114+F1114+G1114+H1114</f>
        <v>1035.2335399999999</v>
      </c>
      <c r="D1114" s="8">
        <f t="shared" ref="D1114:F1114" si="428">SUM(D1115:D1118)</f>
        <v>1035.2335399999999</v>
      </c>
      <c r="E1114" s="8">
        <f t="shared" si="428"/>
        <v>0</v>
      </c>
      <c r="F1114" s="8">
        <f t="shared" si="428"/>
        <v>0</v>
      </c>
      <c r="G1114" s="8">
        <f t="shared" ref="G1114:H1114" si="429">SUM(G1115:G1118)</f>
        <v>0</v>
      </c>
      <c r="H1114" s="11">
        <f t="shared" si="429"/>
        <v>0</v>
      </c>
      <c r="I1114" s="44"/>
      <c r="J1114" s="70"/>
      <c r="K1114" s="70"/>
      <c r="L1114" s="70"/>
      <c r="M1114" s="70"/>
      <c r="N1114" s="44"/>
      <c r="O1114" s="70"/>
      <c r="P1114" s="73"/>
      <c r="Q1114" s="70"/>
      <c r="R1114" s="70"/>
      <c r="S1114" s="44"/>
      <c r="T1114" s="70"/>
    </row>
    <row r="1115" spans="1:20" ht="15.95" customHeight="1" x14ac:dyDescent="0.2">
      <c r="A1115" s="35"/>
      <c r="B1115" s="25" t="s">
        <v>0</v>
      </c>
      <c r="C1115" s="6">
        <f t="shared" si="427"/>
        <v>0</v>
      </c>
      <c r="D1115" s="8"/>
      <c r="E1115" s="8"/>
      <c r="F1115" s="8"/>
      <c r="G1115" s="8"/>
      <c r="H1115" s="11"/>
      <c r="I1115" s="44"/>
      <c r="J1115" s="70"/>
      <c r="K1115" s="70"/>
      <c r="L1115" s="70"/>
      <c r="M1115" s="70"/>
      <c r="N1115" s="44"/>
      <c r="O1115" s="70"/>
      <c r="P1115" s="73"/>
      <c r="Q1115" s="70"/>
      <c r="R1115" s="70"/>
      <c r="S1115" s="44"/>
      <c r="T1115" s="70"/>
    </row>
    <row r="1116" spans="1:20" ht="15.95" customHeight="1" x14ac:dyDescent="0.2">
      <c r="A1116" s="35"/>
      <c r="B1116" s="25" t="s">
        <v>1</v>
      </c>
      <c r="C1116" s="6">
        <f>D1116+E1116+F1116+G1116+H1116</f>
        <v>1035.2335399999999</v>
      </c>
      <c r="D1116" s="8">
        <v>1035.2335399999999</v>
      </c>
      <c r="E1116" s="8"/>
      <c r="F1116" s="8"/>
      <c r="G1116" s="8"/>
      <c r="H1116" s="11"/>
      <c r="I1116" s="44"/>
      <c r="J1116" s="70"/>
      <c r="K1116" s="70"/>
      <c r="L1116" s="70"/>
      <c r="M1116" s="70"/>
      <c r="N1116" s="44"/>
      <c r="O1116" s="70"/>
      <c r="P1116" s="73"/>
      <c r="Q1116" s="70"/>
      <c r="R1116" s="70"/>
      <c r="S1116" s="44"/>
      <c r="T1116" s="70"/>
    </row>
    <row r="1117" spans="1:20" ht="15.95" customHeight="1" x14ac:dyDescent="0.2">
      <c r="A1117" s="35"/>
      <c r="B1117" s="25" t="s">
        <v>2</v>
      </c>
      <c r="C1117" s="6">
        <f t="shared" ref="C1117:C1118" si="430">D1117+E1117+F1117+G1117+H1117</f>
        <v>0</v>
      </c>
      <c r="D1117" s="8"/>
      <c r="E1117" s="8"/>
      <c r="F1117" s="8"/>
      <c r="G1117" s="8"/>
      <c r="H1117" s="11"/>
      <c r="I1117" s="44"/>
      <c r="J1117" s="70"/>
      <c r="K1117" s="70"/>
      <c r="L1117" s="70"/>
      <c r="M1117" s="70"/>
      <c r="N1117" s="44"/>
      <c r="O1117" s="70"/>
      <c r="P1117" s="73"/>
      <c r="Q1117" s="70"/>
      <c r="R1117" s="70"/>
      <c r="S1117" s="44"/>
      <c r="T1117" s="70"/>
    </row>
    <row r="1118" spans="1:20" ht="15.95" customHeight="1" x14ac:dyDescent="0.2">
      <c r="A1118" s="36"/>
      <c r="B1118" s="25" t="s">
        <v>3</v>
      </c>
      <c r="C1118" s="6">
        <f t="shared" si="430"/>
        <v>0</v>
      </c>
      <c r="D1118" s="8"/>
      <c r="E1118" s="8"/>
      <c r="F1118" s="8"/>
      <c r="G1118" s="8"/>
      <c r="H1118" s="11"/>
      <c r="I1118" s="45"/>
      <c r="J1118" s="71"/>
      <c r="K1118" s="71"/>
      <c r="L1118" s="71"/>
      <c r="M1118" s="71"/>
      <c r="N1118" s="45"/>
      <c r="O1118" s="71"/>
      <c r="P1118" s="74"/>
      <c r="Q1118" s="71"/>
      <c r="R1118" s="71"/>
      <c r="S1118" s="45"/>
      <c r="T1118" s="71"/>
    </row>
    <row r="1119" spans="1:20" ht="15.95" customHeight="1" x14ac:dyDescent="0.2">
      <c r="A1119" s="78" t="s">
        <v>91</v>
      </c>
      <c r="B1119" s="54" t="s">
        <v>133</v>
      </c>
      <c r="C1119" s="54"/>
      <c r="D1119" s="54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</row>
    <row r="1120" spans="1:20" ht="15.95" customHeight="1" x14ac:dyDescent="0.2">
      <c r="A1120" s="79"/>
      <c r="B1120" s="22" t="s">
        <v>5</v>
      </c>
      <c r="C1120" s="3">
        <f>SUM(C1121:C1124)</f>
        <v>51215.288</v>
      </c>
      <c r="D1120" s="3">
        <f t="shared" ref="D1120:H1120" si="431">SUM(D1121:D1124)</f>
        <v>33647</v>
      </c>
      <c r="E1120" s="3">
        <f t="shared" ref="E1120:F1120" si="432">SUM(E1121:E1124)</f>
        <v>17568.288</v>
      </c>
      <c r="F1120" s="3">
        <f t="shared" si="432"/>
        <v>0</v>
      </c>
      <c r="G1120" s="3">
        <f t="shared" si="431"/>
        <v>0</v>
      </c>
      <c r="H1120" s="3">
        <f t="shared" si="431"/>
        <v>0</v>
      </c>
      <c r="I1120" s="60"/>
      <c r="J1120" s="61"/>
      <c r="K1120" s="61"/>
      <c r="L1120" s="61"/>
      <c r="M1120" s="61"/>
      <c r="N1120" s="61"/>
      <c r="O1120" s="61"/>
      <c r="P1120" s="61"/>
      <c r="Q1120" s="61"/>
      <c r="R1120" s="61"/>
      <c r="S1120" s="61"/>
      <c r="T1120" s="62"/>
    </row>
    <row r="1121" spans="1:20" ht="15.95" customHeight="1" x14ac:dyDescent="0.2">
      <c r="A1121" s="79"/>
      <c r="B1121" s="22" t="s">
        <v>0</v>
      </c>
      <c r="C1121" s="3">
        <f t="shared" ref="C1121" si="433">D1121+E1121+F1121+G1121+H1121</f>
        <v>0</v>
      </c>
      <c r="D1121" s="3">
        <f>D1129</f>
        <v>0</v>
      </c>
      <c r="E1121" s="3">
        <f t="shared" ref="E1121:F1121" si="434">E1129</f>
        <v>0</v>
      </c>
      <c r="F1121" s="3">
        <f t="shared" si="434"/>
        <v>0</v>
      </c>
      <c r="G1121" s="3">
        <f t="shared" ref="G1121:H1121" si="435">G1129</f>
        <v>0</v>
      </c>
      <c r="H1121" s="3">
        <f t="shared" si="435"/>
        <v>0</v>
      </c>
      <c r="I1121" s="63"/>
      <c r="J1121" s="64"/>
      <c r="K1121" s="64"/>
      <c r="L1121" s="64"/>
      <c r="M1121" s="64"/>
      <c r="N1121" s="64"/>
      <c r="O1121" s="64"/>
      <c r="P1121" s="64"/>
      <c r="Q1121" s="64"/>
      <c r="R1121" s="64"/>
      <c r="S1121" s="64"/>
      <c r="T1121" s="65"/>
    </row>
    <row r="1122" spans="1:20" ht="15.95" customHeight="1" x14ac:dyDescent="0.2">
      <c r="A1122" s="79"/>
      <c r="B1122" s="22" t="s">
        <v>1</v>
      </c>
      <c r="C1122" s="3">
        <f>D1122+E1122+F1122+G1122+H1122</f>
        <v>51215.288</v>
      </c>
      <c r="D1122" s="3">
        <f t="shared" ref="D1122:H1122" si="436">D1130</f>
        <v>33647</v>
      </c>
      <c r="E1122" s="3">
        <f t="shared" si="436"/>
        <v>17568.288</v>
      </c>
      <c r="F1122" s="3">
        <f t="shared" si="436"/>
        <v>0</v>
      </c>
      <c r="G1122" s="3">
        <f t="shared" si="436"/>
        <v>0</v>
      </c>
      <c r="H1122" s="3">
        <f t="shared" si="436"/>
        <v>0</v>
      </c>
      <c r="I1122" s="63"/>
      <c r="J1122" s="64"/>
      <c r="K1122" s="64"/>
      <c r="L1122" s="64"/>
      <c r="M1122" s="64"/>
      <c r="N1122" s="64"/>
      <c r="O1122" s="64"/>
      <c r="P1122" s="64"/>
      <c r="Q1122" s="64"/>
      <c r="R1122" s="64"/>
      <c r="S1122" s="64"/>
      <c r="T1122" s="65"/>
    </row>
    <row r="1123" spans="1:20" ht="15.95" customHeight="1" x14ac:dyDescent="0.2">
      <c r="A1123" s="79"/>
      <c r="B1123" s="22" t="s">
        <v>2</v>
      </c>
      <c r="C1123" s="3">
        <f t="shared" ref="C1123:C1124" si="437">D1123+E1123+F1123+G1123+H1123</f>
        <v>0</v>
      </c>
      <c r="D1123" s="3">
        <f t="shared" ref="D1123:H1123" si="438">D1131</f>
        <v>0</v>
      </c>
      <c r="E1123" s="3">
        <f t="shared" si="438"/>
        <v>0</v>
      </c>
      <c r="F1123" s="3">
        <f t="shared" si="438"/>
        <v>0</v>
      </c>
      <c r="G1123" s="3">
        <f t="shared" si="438"/>
        <v>0</v>
      </c>
      <c r="H1123" s="3">
        <f t="shared" si="438"/>
        <v>0</v>
      </c>
      <c r="I1123" s="63"/>
      <c r="J1123" s="64"/>
      <c r="K1123" s="64"/>
      <c r="L1123" s="64"/>
      <c r="M1123" s="64"/>
      <c r="N1123" s="64"/>
      <c r="O1123" s="64"/>
      <c r="P1123" s="64"/>
      <c r="Q1123" s="64"/>
      <c r="R1123" s="64"/>
      <c r="S1123" s="64"/>
      <c r="T1123" s="65"/>
    </row>
    <row r="1124" spans="1:20" ht="15.95" customHeight="1" x14ac:dyDescent="0.2">
      <c r="A1124" s="80"/>
      <c r="B1124" s="22" t="s">
        <v>3</v>
      </c>
      <c r="C1124" s="3">
        <f t="shared" si="437"/>
        <v>0</v>
      </c>
      <c r="D1124" s="3">
        <f t="shared" ref="D1124:H1124" si="439">D1132</f>
        <v>0</v>
      </c>
      <c r="E1124" s="3">
        <f t="shared" si="439"/>
        <v>0</v>
      </c>
      <c r="F1124" s="3">
        <f t="shared" si="439"/>
        <v>0</v>
      </c>
      <c r="G1124" s="3">
        <f t="shared" si="439"/>
        <v>0</v>
      </c>
      <c r="H1124" s="3">
        <f t="shared" si="439"/>
        <v>0</v>
      </c>
      <c r="I1124" s="66"/>
      <c r="J1124" s="67"/>
      <c r="K1124" s="67"/>
      <c r="L1124" s="67"/>
      <c r="M1124" s="67"/>
      <c r="N1124" s="67"/>
      <c r="O1124" s="67"/>
      <c r="P1124" s="67"/>
      <c r="Q1124" s="67"/>
      <c r="R1124" s="67"/>
      <c r="S1124" s="67"/>
      <c r="T1124" s="68"/>
    </row>
    <row r="1125" spans="1:20" ht="15.95" customHeight="1" x14ac:dyDescent="0.2">
      <c r="A1125" s="34" t="s">
        <v>290</v>
      </c>
      <c r="B1125" s="37" t="s">
        <v>528</v>
      </c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8"/>
    </row>
    <row r="1126" spans="1:20" ht="15.95" customHeight="1" x14ac:dyDescent="0.2">
      <c r="A1126" s="35" t="s">
        <v>74</v>
      </c>
      <c r="B1126" s="54" t="s">
        <v>134</v>
      </c>
      <c r="C1126" s="54"/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</row>
    <row r="1127" spans="1:20" ht="39.950000000000003" customHeight="1" x14ac:dyDescent="0.2">
      <c r="A1127" s="35"/>
      <c r="B1127" s="57" t="s">
        <v>158</v>
      </c>
      <c r="C1127" s="58"/>
      <c r="D1127" s="58"/>
      <c r="E1127" s="58"/>
      <c r="F1127" s="58"/>
      <c r="G1127" s="58"/>
      <c r="H1127" s="59"/>
      <c r="I1127" s="49" t="s">
        <v>23</v>
      </c>
      <c r="J1127" s="49"/>
      <c r="K1127" s="49" t="s">
        <v>42</v>
      </c>
      <c r="L1127" s="49"/>
      <c r="M1127" s="49" t="s">
        <v>415</v>
      </c>
      <c r="N1127" s="49" t="s">
        <v>528</v>
      </c>
      <c r="O1127" s="49" t="s">
        <v>415</v>
      </c>
      <c r="P1127" s="75" t="s">
        <v>159</v>
      </c>
      <c r="Q1127" s="49" t="s">
        <v>33</v>
      </c>
      <c r="R1127" s="49" t="s">
        <v>37</v>
      </c>
      <c r="S1127" s="49" t="s">
        <v>35</v>
      </c>
      <c r="T1127" s="49" t="s">
        <v>505</v>
      </c>
    </row>
    <row r="1128" spans="1:20" ht="15.95" customHeight="1" x14ac:dyDescent="0.2">
      <c r="A1128" s="35"/>
      <c r="B1128" s="25" t="s">
        <v>5</v>
      </c>
      <c r="C1128" s="6">
        <f t="shared" ref="C1128:H1128" si="440">SUM(C1129:C1132)</f>
        <v>51215.288</v>
      </c>
      <c r="D1128" s="8">
        <f t="shared" si="440"/>
        <v>33647</v>
      </c>
      <c r="E1128" s="8">
        <f t="shared" ref="E1128" si="441">SUM(E1129:E1132)</f>
        <v>17568.288</v>
      </c>
      <c r="F1128" s="8"/>
      <c r="G1128" s="8">
        <f t="shared" si="440"/>
        <v>0</v>
      </c>
      <c r="H1128" s="8">
        <f t="shared" si="440"/>
        <v>0</v>
      </c>
      <c r="I1128" s="49"/>
      <c r="J1128" s="49"/>
      <c r="K1128" s="49"/>
      <c r="L1128" s="49"/>
      <c r="M1128" s="49"/>
      <c r="N1128" s="49"/>
      <c r="O1128" s="49"/>
      <c r="P1128" s="75"/>
      <c r="Q1128" s="49"/>
      <c r="R1128" s="49"/>
      <c r="S1128" s="49"/>
      <c r="T1128" s="49"/>
    </row>
    <row r="1129" spans="1:20" ht="15.95" customHeight="1" x14ac:dyDescent="0.2">
      <c r="A1129" s="35"/>
      <c r="B1129" s="25" t="s">
        <v>0</v>
      </c>
      <c r="C1129" s="6">
        <f>SUM(D1129:H1129)</f>
        <v>0</v>
      </c>
      <c r="D1129" s="8"/>
      <c r="E1129" s="8"/>
      <c r="F1129" s="8"/>
      <c r="G1129" s="8"/>
      <c r="H1129" s="8"/>
      <c r="I1129" s="49"/>
      <c r="J1129" s="49"/>
      <c r="K1129" s="49"/>
      <c r="L1129" s="49"/>
      <c r="M1129" s="49"/>
      <c r="N1129" s="49"/>
      <c r="O1129" s="49"/>
      <c r="P1129" s="75"/>
      <c r="Q1129" s="49"/>
      <c r="R1129" s="49"/>
      <c r="S1129" s="49"/>
      <c r="T1129" s="49"/>
    </row>
    <row r="1130" spans="1:20" ht="15.95" customHeight="1" x14ac:dyDescent="0.2">
      <c r="A1130" s="35"/>
      <c r="B1130" s="25" t="s">
        <v>1</v>
      </c>
      <c r="C1130" s="6">
        <f>D1130+E1130+F1130+G1130+H1130</f>
        <v>51215.288</v>
      </c>
      <c r="D1130" s="8">
        <v>33647</v>
      </c>
      <c r="E1130" s="8">
        <v>17568.288</v>
      </c>
      <c r="F1130" s="8"/>
      <c r="G1130" s="8"/>
      <c r="H1130" s="8"/>
      <c r="I1130" s="49"/>
      <c r="J1130" s="49"/>
      <c r="K1130" s="49"/>
      <c r="L1130" s="49"/>
      <c r="M1130" s="49"/>
      <c r="N1130" s="49"/>
      <c r="O1130" s="49"/>
      <c r="P1130" s="75"/>
      <c r="Q1130" s="49"/>
      <c r="R1130" s="49"/>
      <c r="S1130" s="49"/>
      <c r="T1130" s="49"/>
    </row>
    <row r="1131" spans="1:20" ht="15.95" customHeight="1" x14ac:dyDescent="0.2">
      <c r="A1131" s="35"/>
      <c r="B1131" s="25" t="s">
        <v>2</v>
      </c>
      <c r="C1131" s="6">
        <f>SUM(D1131:H1131)</f>
        <v>0</v>
      </c>
      <c r="D1131" s="8"/>
      <c r="E1131" s="8"/>
      <c r="F1131" s="8"/>
      <c r="G1131" s="8"/>
      <c r="H1131" s="8"/>
      <c r="I1131" s="49"/>
      <c r="J1131" s="49"/>
      <c r="K1131" s="49"/>
      <c r="L1131" s="49"/>
      <c r="M1131" s="49"/>
      <c r="N1131" s="49"/>
      <c r="O1131" s="49"/>
      <c r="P1131" s="75"/>
      <c r="Q1131" s="49"/>
      <c r="R1131" s="49"/>
      <c r="S1131" s="49"/>
      <c r="T1131" s="49"/>
    </row>
    <row r="1132" spans="1:20" ht="15.95" customHeight="1" x14ac:dyDescent="0.2">
      <c r="A1132" s="36"/>
      <c r="B1132" s="25" t="s">
        <v>3</v>
      </c>
      <c r="C1132" s="6">
        <f>SUM(D1132:H1132)</f>
        <v>0</v>
      </c>
      <c r="D1132" s="8"/>
      <c r="E1132" s="8"/>
      <c r="F1132" s="8"/>
      <c r="G1132" s="8"/>
      <c r="H1132" s="8"/>
      <c r="I1132" s="49"/>
      <c r="J1132" s="49"/>
      <c r="K1132" s="49"/>
      <c r="L1132" s="49"/>
      <c r="M1132" s="49"/>
      <c r="N1132" s="49"/>
      <c r="O1132" s="49"/>
      <c r="P1132" s="75"/>
      <c r="Q1132" s="49"/>
      <c r="R1132" s="49"/>
      <c r="S1132" s="49"/>
      <c r="T1132" s="49"/>
    </row>
    <row r="1133" spans="1:20" ht="15.95" customHeight="1" x14ac:dyDescent="0.2">
      <c r="A1133" s="78" t="s">
        <v>95</v>
      </c>
      <c r="B1133" s="54" t="s">
        <v>406</v>
      </c>
      <c r="C1133" s="54"/>
      <c r="D1133" s="54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</row>
    <row r="1134" spans="1:20" ht="15.95" customHeight="1" x14ac:dyDescent="0.2">
      <c r="A1134" s="79"/>
      <c r="B1134" s="22" t="s">
        <v>5</v>
      </c>
      <c r="C1134" s="3">
        <f>SUM(C1135:C1138)</f>
        <v>267070.70705999999</v>
      </c>
      <c r="D1134" s="3">
        <f>SUM(D1135:D1138)</f>
        <v>90909.090899999996</v>
      </c>
      <c r="E1134" s="3">
        <f t="shared" ref="E1134" si="442">SUM(E1135:E1138)</f>
        <v>176161.61616000001</v>
      </c>
      <c r="F1134" s="3">
        <f t="shared" ref="F1134" si="443">SUM(F1135:F1138)</f>
        <v>0</v>
      </c>
      <c r="G1134" s="3">
        <f t="shared" ref="G1134:H1134" si="444">SUM(G1135:G1138)</f>
        <v>0</v>
      </c>
      <c r="H1134" s="3">
        <f t="shared" si="444"/>
        <v>0</v>
      </c>
      <c r="I1134" s="60"/>
      <c r="J1134" s="61"/>
      <c r="K1134" s="61"/>
      <c r="L1134" s="61"/>
      <c r="M1134" s="61"/>
      <c r="N1134" s="61"/>
      <c r="O1134" s="61"/>
      <c r="P1134" s="61"/>
      <c r="Q1134" s="61"/>
      <c r="R1134" s="61"/>
      <c r="S1134" s="61"/>
      <c r="T1134" s="62"/>
    </row>
    <row r="1135" spans="1:20" ht="15.95" customHeight="1" x14ac:dyDescent="0.2">
      <c r="A1135" s="79"/>
      <c r="B1135" s="22" t="s">
        <v>0</v>
      </c>
      <c r="C1135" s="3">
        <f>D1135+E1135+F1135+G1135+H1135</f>
        <v>0</v>
      </c>
      <c r="D1135" s="3">
        <f>D1143+D1151+D1159</f>
        <v>0</v>
      </c>
      <c r="E1135" s="3">
        <f t="shared" ref="E1135:H1135" si="445">E1143+E1151+E1159</f>
        <v>0</v>
      </c>
      <c r="F1135" s="3">
        <f t="shared" si="445"/>
        <v>0</v>
      </c>
      <c r="G1135" s="3">
        <f t="shared" si="445"/>
        <v>0</v>
      </c>
      <c r="H1135" s="3">
        <f t="shared" si="445"/>
        <v>0</v>
      </c>
      <c r="I1135" s="63"/>
      <c r="J1135" s="64"/>
      <c r="K1135" s="64"/>
      <c r="L1135" s="64"/>
      <c r="M1135" s="64"/>
      <c r="N1135" s="64"/>
      <c r="O1135" s="64"/>
      <c r="P1135" s="64"/>
      <c r="Q1135" s="64"/>
      <c r="R1135" s="64"/>
      <c r="S1135" s="64"/>
      <c r="T1135" s="65"/>
    </row>
    <row r="1136" spans="1:20" ht="15.95" customHeight="1" x14ac:dyDescent="0.2">
      <c r="A1136" s="79"/>
      <c r="B1136" s="22" t="s">
        <v>1</v>
      </c>
      <c r="C1136" s="3">
        <f>D1136+E1136+F1136+G1136+H1136</f>
        <v>264400</v>
      </c>
      <c r="D1136" s="3">
        <f t="shared" ref="D1136:H1138" si="446">D1144+D1152+D1160</f>
        <v>90000</v>
      </c>
      <c r="E1136" s="3">
        <f t="shared" si="446"/>
        <v>174400</v>
      </c>
      <c r="F1136" s="3">
        <f t="shared" si="446"/>
        <v>0</v>
      </c>
      <c r="G1136" s="3">
        <f t="shared" si="446"/>
        <v>0</v>
      </c>
      <c r="H1136" s="3">
        <f t="shared" si="446"/>
        <v>0</v>
      </c>
      <c r="I1136" s="63"/>
      <c r="J1136" s="64"/>
      <c r="K1136" s="64"/>
      <c r="L1136" s="64"/>
      <c r="M1136" s="64"/>
      <c r="N1136" s="64"/>
      <c r="O1136" s="64"/>
      <c r="P1136" s="64"/>
      <c r="Q1136" s="64"/>
      <c r="R1136" s="64"/>
      <c r="S1136" s="64"/>
      <c r="T1136" s="65"/>
    </row>
    <row r="1137" spans="1:20" ht="15.95" customHeight="1" x14ac:dyDescent="0.2">
      <c r="A1137" s="79"/>
      <c r="B1137" s="22" t="s">
        <v>2</v>
      </c>
      <c r="C1137" s="3">
        <f t="shared" ref="C1137:C1138" si="447">D1137+E1137+F1137+G1137+H1137</f>
        <v>2670.7070599999997</v>
      </c>
      <c r="D1137" s="3">
        <f t="shared" si="446"/>
        <v>909.09089999999992</v>
      </c>
      <c r="E1137" s="3">
        <f t="shared" si="446"/>
        <v>1761.61616</v>
      </c>
      <c r="F1137" s="3">
        <f t="shared" si="446"/>
        <v>0</v>
      </c>
      <c r="G1137" s="3">
        <f t="shared" si="446"/>
        <v>0</v>
      </c>
      <c r="H1137" s="3">
        <f t="shared" si="446"/>
        <v>0</v>
      </c>
      <c r="I1137" s="63"/>
      <c r="J1137" s="64"/>
      <c r="K1137" s="64"/>
      <c r="L1137" s="64"/>
      <c r="M1137" s="64"/>
      <c r="N1137" s="64"/>
      <c r="O1137" s="64"/>
      <c r="P1137" s="64"/>
      <c r="Q1137" s="64"/>
      <c r="R1137" s="64"/>
      <c r="S1137" s="64"/>
      <c r="T1137" s="65"/>
    </row>
    <row r="1138" spans="1:20" ht="15.95" customHeight="1" x14ac:dyDescent="0.2">
      <c r="A1138" s="80"/>
      <c r="B1138" s="22" t="s">
        <v>3</v>
      </c>
      <c r="C1138" s="3">
        <f t="shared" si="447"/>
        <v>0</v>
      </c>
      <c r="D1138" s="3">
        <f t="shared" si="446"/>
        <v>0</v>
      </c>
      <c r="E1138" s="3">
        <f t="shared" si="446"/>
        <v>0</v>
      </c>
      <c r="F1138" s="3">
        <f t="shared" si="446"/>
        <v>0</v>
      </c>
      <c r="G1138" s="3">
        <f t="shared" si="446"/>
        <v>0</v>
      </c>
      <c r="H1138" s="3">
        <f t="shared" si="446"/>
        <v>0</v>
      </c>
      <c r="I1138" s="66"/>
      <c r="J1138" s="67"/>
      <c r="K1138" s="67"/>
      <c r="L1138" s="67"/>
      <c r="M1138" s="67"/>
      <c r="N1138" s="67"/>
      <c r="O1138" s="67"/>
      <c r="P1138" s="67"/>
      <c r="Q1138" s="67"/>
      <c r="R1138" s="67"/>
      <c r="S1138" s="67"/>
      <c r="T1138" s="68"/>
    </row>
    <row r="1139" spans="1:20" ht="15.95" customHeight="1" x14ac:dyDescent="0.2">
      <c r="A1139" s="34" t="s">
        <v>291</v>
      </c>
      <c r="B1139" s="37" t="s">
        <v>526</v>
      </c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37"/>
      <c r="T1139" s="38"/>
    </row>
    <row r="1140" spans="1:20" ht="15.95" customHeight="1" x14ac:dyDescent="0.2">
      <c r="A1140" s="35" t="s">
        <v>74</v>
      </c>
      <c r="B1140" s="54" t="s">
        <v>407</v>
      </c>
      <c r="C1140" s="54"/>
      <c r="D1140" s="54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</row>
    <row r="1141" spans="1:20" ht="39.950000000000003" customHeight="1" x14ac:dyDescent="0.2">
      <c r="A1141" s="35"/>
      <c r="B1141" s="57" t="s">
        <v>735</v>
      </c>
      <c r="C1141" s="58"/>
      <c r="D1141" s="58"/>
      <c r="E1141" s="58"/>
      <c r="F1141" s="58"/>
      <c r="G1141" s="58"/>
      <c r="H1141" s="59"/>
      <c r="I1141" s="43" t="s">
        <v>20</v>
      </c>
      <c r="J1141" s="43"/>
      <c r="K1141" s="43" t="s">
        <v>47</v>
      </c>
      <c r="L1141" s="43" t="s">
        <v>545</v>
      </c>
      <c r="M1141" s="43" t="s">
        <v>546</v>
      </c>
      <c r="N1141" s="43" t="s">
        <v>548</v>
      </c>
      <c r="O1141" s="43" t="s">
        <v>547</v>
      </c>
      <c r="P1141" s="46" t="s">
        <v>549</v>
      </c>
      <c r="Q1141" s="43" t="s">
        <v>7</v>
      </c>
      <c r="R1141" s="43" t="s">
        <v>546</v>
      </c>
      <c r="S1141" s="43" t="s">
        <v>35</v>
      </c>
      <c r="T1141" s="49" t="s">
        <v>550</v>
      </c>
    </row>
    <row r="1142" spans="1:20" ht="15.95" customHeight="1" x14ac:dyDescent="0.2">
      <c r="A1142" s="35"/>
      <c r="B1142" s="25" t="s">
        <v>5</v>
      </c>
      <c r="C1142" s="6">
        <f>D1142+E1142+F1142+G1142+H1142</f>
        <v>27158.653000000002</v>
      </c>
      <c r="D1142" s="8">
        <f t="shared" ref="D1142:F1142" si="448">SUM(D1143:D1146)</f>
        <v>27158.653000000002</v>
      </c>
      <c r="E1142" s="8">
        <f t="shared" si="448"/>
        <v>0</v>
      </c>
      <c r="F1142" s="8">
        <f t="shared" si="448"/>
        <v>0</v>
      </c>
      <c r="G1142" s="8">
        <f t="shared" ref="G1142:H1142" si="449">SUM(G1143:G1146)</f>
        <v>0</v>
      </c>
      <c r="H1142" s="8">
        <f t="shared" si="449"/>
        <v>0</v>
      </c>
      <c r="I1142" s="44"/>
      <c r="J1142" s="44"/>
      <c r="K1142" s="44"/>
      <c r="L1142" s="44"/>
      <c r="M1142" s="44"/>
      <c r="N1142" s="44"/>
      <c r="O1142" s="44"/>
      <c r="P1142" s="47"/>
      <c r="Q1142" s="44"/>
      <c r="R1142" s="44"/>
      <c r="S1142" s="44"/>
      <c r="T1142" s="49"/>
    </row>
    <row r="1143" spans="1:20" ht="15.95" customHeight="1" x14ac:dyDescent="0.2">
      <c r="A1143" s="35"/>
      <c r="B1143" s="25" t="s">
        <v>0</v>
      </c>
      <c r="C1143" s="6">
        <f>D1143+E1143+F1143+G1143+H1143</f>
        <v>0</v>
      </c>
      <c r="D1143" s="8"/>
      <c r="E1143" s="8"/>
      <c r="F1143" s="8"/>
      <c r="G1143" s="8"/>
      <c r="H1143" s="8"/>
      <c r="I1143" s="44"/>
      <c r="J1143" s="44"/>
      <c r="K1143" s="44"/>
      <c r="L1143" s="44"/>
      <c r="M1143" s="44"/>
      <c r="N1143" s="44"/>
      <c r="O1143" s="44"/>
      <c r="P1143" s="47"/>
      <c r="Q1143" s="44"/>
      <c r="R1143" s="44"/>
      <c r="S1143" s="44"/>
      <c r="T1143" s="49"/>
    </row>
    <row r="1144" spans="1:20" ht="15.95" customHeight="1" x14ac:dyDescent="0.2">
      <c r="A1144" s="35"/>
      <c r="B1144" s="25" t="s">
        <v>1</v>
      </c>
      <c r="C1144" s="6">
        <f>D1144+E1144+F1144+G1144+H1144</f>
        <v>26887.066470000002</v>
      </c>
      <c r="D1144" s="8">
        <v>26887.066470000002</v>
      </c>
      <c r="E1144" s="8"/>
      <c r="F1144" s="8"/>
      <c r="G1144" s="8"/>
      <c r="H1144" s="8"/>
      <c r="I1144" s="44"/>
      <c r="J1144" s="44"/>
      <c r="K1144" s="44"/>
      <c r="L1144" s="44"/>
      <c r="M1144" s="44"/>
      <c r="N1144" s="44"/>
      <c r="O1144" s="44"/>
      <c r="P1144" s="47"/>
      <c r="Q1144" s="44"/>
      <c r="R1144" s="44"/>
      <c r="S1144" s="44"/>
      <c r="T1144" s="49"/>
    </row>
    <row r="1145" spans="1:20" ht="15.95" customHeight="1" x14ac:dyDescent="0.2">
      <c r="A1145" s="35"/>
      <c r="B1145" s="25" t="s">
        <v>2</v>
      </c>
      <c r="C1145" s="6">
        <f>D1145+E1145+F1145+G1145+H1145</f>
        <v>271.58652999999998</v>
      </c>
      <c r="D1145" s="8">
        <v>271.58652999999998</v>
      </c>
      <c r="E1145" s="8"/>
      <c r="F1145" s="8"/>
      <c r="G1145" s="8"/>
      <c r="H1145" s="8"/>
      <c r="I1145" s="44"/>
      <c r="J1145" s="44"/>
      <c r="K1145" s="44"/>
      <c r="L1145" s="44"/>
      <c r="M1145" s="44"/>
      <c r="N1145" s="44"/>
      <c r="O1145" s="44"/>
      <c r="P1145" s="47"/>
      <c r="Q1145" s="44"/>
      <c r="R1145" s="44"/>
      <c r="S1145" s="44"/>
      <c r="T1145" s="49"/>
    </row>
    <row r="1146" spans="1:20" ht="15.95" customHeight="1" x14ac:dyDescent="0.2">
      <c r="A1146" s="36"/>
      <c r="B1146" s="25" t="s">
        <v>3</v>
      </c>
      <c r="C1146" s="6">
        <f>D1146+E1146+F1146+G1146+H1146</f>
        <v>0</v>
      </c>
      <c r="D1146" s="8"/>
      <c r="E1146" s="8"/>
      <c r="F1146" s="8"/>
      <c r="G1146" s="8"/>
      <c r="H1146" s="8"/>
      <c r="I1146" s="45"/>
      <c r="J1146" s="45"/>
      <c r="K1146" s="45"/>
      <c r="L1146" s="45"/>
      <c r="M1146" s="45"/>
      <c r="N1146" s="45"/>
      <c r="O1146" s="45"/>
      <c r="P1146" s="48"/>
      <c r="Q1146" s="45"/>
      <c r="R1146" s="45"/>
      <c r="S1146" s="45"/>
      <c r="T1146" s="49"/>
    </row>
    <row r="1147" spans="1:20" ht="15.95" customHeight="1" x14ac:dyDescent="0.2">
      <c r="A1147" s="34" t="s">
        <v>310</v>
      </c>
      <c r="B1147" s="37" t="s">
        <v>526</v>
      </c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8"/>
    </row>
    <row r="1148" spans="1:20" ht="15.95" customHeight="1" x14ac:dyDescent="0.2">
      <c r="A1148" s="35" t="s">
        <v>74</v>
      </c>
      <c r="B1148" s="54" t="s">
        <v>407</v>
      </c>
      <c r="C1148" s="54"/>
      <c r="D1148" s="54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</row>
    <row r="1149" spans="1:20" ht="39.950000000000003" customHeight="1" x14ac:dyDescent="0.2">
      <c r="A1149" s="35"/>
      <c r="B1149" s="57" t="s">
        <v>736</v>
      </c>
      <c r="C1149" s="58"/>
      <c r="D1149" s="58"/>
      <c r="E1149" s="58"/>
      <c r="F1149" s="58"/>
      <c r="G1149" s="58"/>
      <c r="H1149" s="59"/>
      <c r="I1149" s="43" t="s">
        <v>23</v>
      </c>
      <c r="J1149" s="43"/>
      <c r="K1149" s="43" t="s">
        <v>47</v>
      </c>
      <c r="L1149" s="43"/>
      <c r="M1149" s="43" t="s">
        <v>551</v>
      </c>
      <c r="N1149" s="43" t="s">
        <v>548</v>
      </c>
      <c r="O1149" s="43" t="s">
        <v>552</v>
      </c>
      <c r="P1149" s="46"/>
      <c r="Q1149" s="43" t="s">
        <v>7</v>
      </c>
      <c r="R1149" s="43" t="s">
        <v>551</v>
      </c>
      <c r="S1149" s="43" t="s">
        <v>35</v>
      </c>
      <c r="T1149" s="49"/>
    </row>
    <row r="1150" spans="1:20" ht="15.95" customHeight="1" x14ac:dyDescent="0.2">
      <c r="A1150" s="35"/>
      <c r="B1150" s="25" t="s">
        <v>5</v>
      </c>
      <c r="C1150" s="6">
        <f>D1150+E1150+F1150+G1150+H1150</f>
        <v>146232.0202</v>
      </c>
      <c r="D1150" s="8">
        <f t="shared" ref="D1150:F1150" si="450">SUM(D1151:D1154)</f>
        <v>18295.892449999999</v>
      </c>
      <c r="E1150" s="8">
        <f t="shared" si="450"/>
        <v>127936.12775</v>
      </c>
      <c r="F1150" s="8">
        <f t="shared" si="450"/>
        <v>0</v>
      </c>
      <c r="G1150" s="8">
        <f t="shared" ref="G1150:H1150" si="451">SUM(G1151:G1154)</f>
        <v>0</v>
      </c>
      <c r="H1150" s="8">
        <f t="shared" si="451"/>
        <v>0</v>
      </c>
      <c r="I1150" s="44"/>
      <c r="J1150" s="44"/>
      <c r="K1150" s="44"/>
      <c r="L1150" s="44"/>
      <c r="M1150" s="44"/>
      <c r="N1150" s="44"/>
      <c r="O1150" s="44"/>
      <c r="P1150" s="47"/>
      <c r="Q1150" s="44"/>
      <c r="R1150" s="44"/>
      <c r="S1150" s="44"/>
      <c r="T1150" s="49"/>
    </row>
    <row r="1151" spans="1:20" ht="15.95" customHeight="1" x14ac:dyDescent="0.2">
      <c r="A1151" s="35"/>
      <c r="B1151" s="25" t="s">
        <v>0</v>
      </c>
      <c r="C1151" s="6">
        <f>D1151+E1151+F1151+G1151+H1151</f>
        <v>0</v>
      </c>
      <c r="D1151" s="8"/>
      <c r="E1151" s="8"/>
      <c r="F1151" s="8"/>
      <c r="G1151" s="8"/>
      <c r="H1151" s="8"/>
      <c r="I1151" s="44"/>
      <c r="J1151" s="44"/>
      <c r="K1151" s="44"/>
      <c r="L1151" s="44"/>
      <c r="M1151" s="44"/>
      <c r="N1151" s="44"/>
      <c r="O1151" s="44"/>
      <c r="P1151" s="47"/>
      <c r="Q1151" s="44"/>
      <c r="R1151" s="44"/>
      <c r="S1151" s="44"/>
      <c r="T1151" s="49"/>
    </row>
    <row r="1152" spans="1:20" ht="15.95" customHeight="1" x14ac:dyDescent="0.2">
      <c r="A1152" s="35"/>
      <c r="B1152" s="25" t="s">
        <v>1</v>
      </c>
      <c r="C1152" s="6">
        <f>D1152+E1152+F1152+G1152+H1152</f>
        <v>144769.70000000001</v>
      </c>
      <c r="D1152" s="8">
        <f>0+18112.93353</f>
        <v>18112.933529999998</v>
      </c>
      <c r="E1152" s="8">
        <f>0+126656.76647</f>
        <v>126656.76647</v>
      </c>
      <c r="F1152" s="8"/>
      <c r="G1152" s="8"/>
      <c r="H1152" s="8"/>
      <c r="I1152" s="44"/>
      <c r="J1152" s="44"/>
      <c r="K1152" s="44"/>
      <c r="L1152" s="44"/>
      <c r="M1152" s="44"/>
      <c r="N1152" s="44"/>
      <c r="O1152" s="44"/>
      <c r="P1152" s="47"/>
      <c r="Q1152" s="44"/>
      <c r="R1152" s="44"/>
      <c r="S1152" s="44"/>
      <c r="T1152" s="49"/>
    </row>
    <row r="1153" spans="1:20" ht="15.95" customHeight="1" x14ac:dyDescent="0.2">
      <c r="A1153" s="35"/>
      <c r="B1153" s="25" t="s">
        <v>2</v>
      </c>
      <c r="C1153" s="6">
        <f>D1153+E1153+F1153+G1153+H1153</f>
        <v>1462.3202000000001</v>
      </c>
      <c r="D1153" s="8">
        <f>0+182.95892</f>
        <v>182.95892000000001</v>
      </c>
      <c r="E1153" s="8">
        <f>0+1279.36128</f>
        <v>1279.3612800000001</v>
      </c>
      <c r="F1153" s="8"/>
      <c r="G1153" s="8"/>
      <c r="H1153" s="8"/>
      <c r="I1153" s="44"/>
      <c r="J1153" s="44"/>
      <c r="K1153" s="44"/>
      <c r="L1153" s="44"/>
      <c r="M1153" s="44"/>
      <c r="N1153" s="44"/>
      <c r="O1153" s="44"/>
      <c r="P1153" s="47"/>
      <c r="Q1153" s="44"/>
      <c r="R1153" s="44"/>
      <c r="S1153" s="44"/>
      <c r="T1153" s="49"/>
    </row>
    <row r="1154" spans="1:20" ht="15.95" customHeight="1" x14ac:dyDescent="0.2">
      <c r="A1154" s="36"/>
      <c r="B1154" s="25" t="s">
        <v>3</v>
      </c>
      <c r="C1154" s="6">
        <f>D1154+E1154+F1154+G1154+H1154</f>
        <v>0</v>
      </c>
      <c r="D1154" s="8"/>
      <c r="E1154" s="8"/>
      <c r="F1154" s="8"/>
      <c r="G1154" s="8"/>
      <c r="H1154" s="8"/>
      <c r="I1154" s="45"/>
      <c r="J1154" s="45"/>
      <c r="K1154" s="45"/>
      <c r="L1154" s="45"/>
      <c r="M1154" s="45"/>
      <c r="N1154" s="45"/>
      <c r="O1154" s="45"/>
      <c r="P1154" s="48"/>
      <c r="Q1154" s="45"/>
      <c r="R1154" s="45"/>
      <c r="S1154" s="45"/>
      <c r="T1154" s="49"/>
    </row>
    <row r="1155" spans="1:20" ht="15.95" customHeight="1" x14ac:dyDescent="0.2">
      <c r="A1155" s="34" t="s">
        <v>544</v>
      </c>
      <c r="B1155" s="37" t="s">
        <v>526</v>
      </c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8"/>
    </row>
    <row r="1156" spans="1:20" ht="15.95" customHeight="1" x14ac:dyDescent="0.2">
      <c r="A1156" s="35" t="s">
        <v>74</v>
      </c>
      <c r="B1156" s="54" t="s">
        <v>407</v>
      </c>
      <c r="C1156" s="54"/>
      <c r="D1156" s="54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</row>
    <row r="1157" spans="1:20" ht="39.950000000000003" customHeight="1" x14ac:dyDescent="0.2">
      <c r="A1157" s="35"/>
      <c r="B1157" s="57" t="s">
        <v>736</v>
      </c>
      <c r="C1157" s="58"/>
      <c r="D1157" s="58"/>
      <c r="E1157" s="58"/>
      <c r="F1157" s="58"/>
      <c r="G1157" s="58"/>
      <c r="H1157" s="59"/>
      <c r="I1157" s="43" t="s">
        <v>23</v>
      </c>
      <c r="J1157" s="43"/>
      <c r="K1157" s="43" t="s">
        <v>47</v>
      </c>
      <c r="L1157" s="43"/>
      <c r="M1157" s="43" t="s">
        <v>553</v>
      </c>
      <c r="N1157" s="43" t="s">
        <v>548</v>
      </c>
      <c r="O1157" s="43" t="s">
        <v>554</v>
      </c>
      <c r="P1157" s="46"/>
      <c r="Q1157" s="43" t="s">
        <v>7</v>
      </c>
      <c r="R1157" s="43" t="s">
        <v>553</v>
      </c>
      <c r="S1157" s="43" t="s">
        <v>35</v>
      </c>
      <c r="T1157" s="49"/>
    </row>
    <row r="1158" spans="1:20" ht="15.95" customHeight="1" x14ac:dyDescent="0.2">
      <c r="A1158" s="35"/>
      <c r="B1158" s="25" t="s">
        <v>5</v>
      </c>
      <c r="C1158" s="6">
        <f>D1158+E1158+F1158+G1158+H1158</f>
        <v>93680.033859999996</v>
      </c>
      <c r="D1158" s="8">
        <f t="shared" ref="D1158:F1158" si="452">SUM(D1159:D1162)</f>
        <v>45454.545449999998</v>
      </c>
      <c r="E1158" s="8">
        <f t="shared" si="452"/>
        <v>48225.488409999998</v>
      </c>
      <c r="F1158" s="8">
        <f t="shared" si="452"/>
        <v>0</v>
      </c>
      <c r="G1158" s="8">
        <f t="shared" ref="G1158:H1158" si="453">SUM(G1159:G1162)</f>
        <v>0</v>
      </c>
      <c r="H1158" s="8">
        <f t="shared" si="453"/>
        <v>0</v>
      </c>
      <c r="I1158" s="44"/>
      <c r="J1158" s="44"/>
      <c r="K1158" s="44"/>
      <c r="L1158" s="44"/>
      <c r="M1158" s="44"/>
      <c r="N1158" s="44"/>
      <c r="O1158" s="44"/>
      <c r="P1158" s="47"/>
      <c r="Q1158" s="44"/>
      <c r="R1158" s="44"/>
      <c r="S1158" s="44"/>
      <c r="T1158" s="49"/>
    </row>
    <row r="1159" spans="1:20" ht="15.95" customHeight="1" x14ac:dyDescent="0.2">
      <c r="A1159" s="35"/>
      <c r="B1159" s="25" t="s">
        <v>0</v>
      </c>
      <c r="C1159" s="6">
        <f>D1159+E1159+F1159+G1159+H1159</f>
        <v>0</v>
      </c>
      <c r="D1159" s="8"/>
      <c r="E1159" s="8"/>
      <c r="F1159" s="8"/>
      <c r="G1159" s="8"/>
      <c r="H1159" s="8"/>
      <c r="I1159" s="44"/>
      <c r="J1159" s="44"/>
      <c r="K1159" s="44"/>
      <c r="L1159" s="44"/>
      <c r="M1159" s="44"/>
      <c r="N1159" s="44"/>
      <c r="O1159" s="44"/>
      <c r="P1159" s="47"/>
      <c r="Q1159" s="44"/>
      <c r="R1159" s="44"/>
      <c r="S1159" s="44"/>
      <c r="T1159" s="49"/>
    </row>
    <row r="1160" spans="1:20" ht="15.95" customHeight="1" x14ac:dyDescent="0.2">
      <c r="A1160" s="35"/>
      <c r="B1160" s="25" t="s">
        <v>1</v>
      </c>
      <c r="C1160" s="6">
        <f>D1160+E1160+F1160+G1160+H1160</f>
        <v>92743.233529999998</v>
      </c>
      <c r="D1160" s="8">
        <f>0+45000</f>
        <v>45000</v>
      </c>
      <c r="E1160" s="8">
        <f>0+47743.23353</f>
        <v>47743.233529999998</v>
      </c>
      <c r="F1160" s="8"/>
      <c r="G1160" s="8"/>
      <c r="H1160" s="8"/>
      <c r="I1160" s="44"/>
      <c r="J1160" s="44"/>
      <c r="K1160" s="44"/>
      <c r="L1160" s="44"/>
      <c r="M1160" s="44"/>
      <c r="N1160" s="44"/>
      <c r="O1160" s="44"/>
      <c r="P1160" s="47"/>
      <c r="Q1160" s="44"/>
      <c r="R1160" s="44"/>
      <c r="S1160" s="44"/>
      <c r="T1160" s="49"/>
    </row>
    <row r="1161" spans="1:20" ht="15.95" customHeight="1" x14ac:dyDescent="0.2">
      <c r="A1161" s="35"/>
      <c r="B1161" s="25" t="s">
        <v>2</v>
      </c>
      <c r="C1161" s="6">
        <f>D1161+E1161+F1161+G1161+H1161</f>
        <v>936.80033000000003</v>
      </c>
      <c r="D1161" s="8">
        <f>0+454.54545</f>
        <v>454.54545000000002</v>
      </c>
      <c r="E1161" s="8">
        <f>0+482.25488</f>
        <v>482.25488000000001</v>
      </c>
      <c r="F1161" s="8"/>
      <c r="G1161" s="8"/>
      <c r="H1161" s="8"/>
      <c r="I1161" s="44"/>
      <c r="J1161" s="44"/>
      <c r="K1161" s="44"/>
      <c r="L1161" s="44"/>
      <c r="M1161" s="44"/>
      <c r="N1161" s="44"/>
      <c r="O1161" s="44"/>
      <c r="P1161" s="47"/>
      <c r="Q1161" s="44"/>
      <c r="R1161" s="44"/>
      <c r="S1161" s="44"/>
      <c r="T1161" s="49"/>
    </row>
    <row r="1162" spans="1:20" ht="15.95" customHeight="1" x14ac:dyDescent="0.2">
      <c r="A1162" s="36"/>
      <c r="B1162" s="25" t="s">
        <v>3</v>
      </c>
      <c r="C1162" s="6">
        <f>D1162+E1162+F1162+G1162+H1162</f>
        <v>0</v>
      </c>
      <c r="D1162" s="8"/>
      <c r="E1162" s="8"/>
      <c r="F1162" s="8"/>
      <c r="G1162" s="8"/>
      <c r="H1162" s="8"/>
      <c r="I1162" s="45"/>
      <c r="J1162" s="45"/>
      <c r="K1162" s="45"/>
      <c r="L1162" s="45"/>
      <c r="M1162" s="45"/>
      <c r="N1162" s="45"/>
      <c r="O1162" s="45"/>
      <c r="P1162" s="48"/>
      <c r="Q1162" s="45"/>
      <c r="R1162" s="45"/>
      <c r="S1162" s="45"/>
      <c r="T1162" s="49"/>
    </row>
    <row r="1163" spans="1:20" ht="15.95" customHeight="1" x14ac:dyDescent="0.2">
      <c r="A1163" s="78" t="s">
        <v>44</v>
      </c>
      <c r="B1163" s="54" t="s">
        <v>45</v>
      </c>
      <c r="C1163" s="54"/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</row>
    <row r="1164" spans="1:20" ht="15.95" customHeight="1" x14ac:dyDescent="0.2">
      <c r="A1164" s="79"/>
      <c r="B1164" s="22" t="s">
        <v>5</v>
      </c>
      <c r="C1164" s="3">
        <f>SUM(C1165:C1168)</f>
        <v>290290.29028999998</v>
      </c>
      <c r="D1164" s="3">
        <f t="shared" ref="D1164:H1164" si="454">SUM(D1165:D1168)</f>
        <v>50050.050049999998</v>
      </c>
      <c r="E1164" s="3">
        <f t="shared" ref="E1164" si="455">SUM(E1165:E1168)</f>
        <v>100100.1001</v>
      </c>
      <c r="F1164" s="3">
        <f t="shared" ref="F1164" si="456">SUM(F1165:F1168)</f>
        <v>50050.050049999998</v>
      </c>
      <c r="G1164" s="3">
        <f t="shared" si="454"/>
        <v>50050.050049999998</v>
      </c>
      <c r="H1164" s="3">
        <f t="shared" si="454"/>
        <v>40040.04004</v>
      </c>
      <c r="I1164" s="60"/>
      <c r="J1164" s="61"/>
      <c r="K1164" s="61"/>
      <c r="L1164" s="61"/>
      <c r="M1164" s="61"/>
      <c r="N1164" s="61"/>
      <c r="O1164" s="61"/>
      <c r="P1164" s="61"/>
      <c r="Q1164" s="61"/>
      <c r="R1164" s="61"/>
      <c r="S1164" s="61"/>
      <c r="T1164" s="62"/>
    </row>
    <row r="1165" spans="1:20" ht="15.95" customHeight="1" x14ac:dyDescent="0.2">
      <c r="A1165" s="79"/>
      <c r="B1165" s="22" t="s">
        <v>0</v>
      </c>
      <c r="C1165" s="3">
        <f>D1165+E1165+F1165+G1165+H1165</f>
        <v>0</v>
      </c>
      <c r="D1165" s="3">
        <f>D1173+D1181+D1189</f>
        <v>0</v>
      </c>
      <c r="E1165" s="3">
        <f t="shared" ref="E1165" si="457">E1173+E1181+E1189</f>
        <v>0</v>
      </c>
      <c r="F1165" s="3">
        <f t="shared" ref="F1165" si="458">F1173+F1181+F1189</f>
        <v>0</v>
      </c>
      <c r="G1165" s="3">
        <f t="shared" ref="G1165:H1165" si="459">G1173+G1181+G1189</f>
        <v>0</v>
      </c>
      <c r="H1165" s="3">
        <f t="shared" si="459"/>
        <v>0</v>
      </c>
      <c r="I1165" s="63"/>
      <c r="J1165" s="64"/>
      <c r="K1165" s="64"/>
      <c r="L1165" s="64"/>
      <c r="M1165" s="64"/>
      <c r="N1165" s="64"/>
      <c r="O1165" s="64"/>
      <c r="P1165" s="64"/>
      <c r="Q1165" s="64"/>
      <c r="R1165" s="64"/>
      <c r="S1165" s="64"/>
      <c r="T1165" s="65"/>
    </row>
    <row r="1166" spans="1:20" ht="15.95" customHeight="1" x14ac:dyDescent="0.2">
      <c r="A1166" s="79"/>
      <c r="B1166" s="22" t="s">
        <v>1</v>
      </c>
      <c r="C1166" s="3">
        <f>D1166+E1166+F1166+G1166+H1166</f>
        <v>290000</v>
      </c>
      <c r="D1166" s="3">
        <f>D1174+D1182+D1190</f>
        <v>50000</v>
      </c>
      <c r="E1166" s="3">
        <f t="shared" ref="E1166" si="460">E1174+E1182+E1190</f>
        <v>100000</v>
      </c>
      <c r="F1166" s="3">
        <f t="shared" ref="F1166" si="461">F1174+F1182+F1190</f>
        <v>50000</v>
      </c>
      <c r="G1166" s="3">
        <f t="shared" ref="G1166:H1166" si="462">G1174+G1182+G1190</f>
        <v>50000</v>
      </c>
      <c r="H1166" s="3">
        <f t="shared" si="462"/>
        <v>40000</v>
      </c>
      <c r="I1166" s="63"/>
      <c r="J1166" s="64"/>
      <c r="K1166" s="64"/>
      <c r="L1166" s="64"/>
      <c r="M1166" s="64"/>
      <c r="N1166" s="64"/>
      <c r="O1166" s="64"/>
      <c r="P1166" s="64"/>
      <c r="Q1166" s="64"/>
      <c r="R1166" s="64"/>
      <c r="S1166" s="64"/>
      <c r="T1166" s="65"/>
    </row>
    <row r="1167" spans="1:20" ht="15.95" customHeight="1" x14ac:dyDescent="0.2">
      <c r="A1167" s="79"/>
      <c r="B1167" s="22" t="s">
        <v>2</v>
      </c>
      <c r="C1167" s="3">
        <f t="shared" ref="C1167:C1168" si="463">D1167+E1167+F1167+G1167+H1167</f>
        <v>290.29028999999997</v>
      </c>
      <c r="D1167" s="3">
        <f>D1175+D1183+D1191</f>
        <v>50.050049999999999</v>
      </c>
      <c r="E1167" s="3">
        <f t="shared" ref="E1167" si="464">E1175+E1183+E1191</f>
        <v>100.1001</v>
      </c>
      <c r="F1167" s="3">
        <f t="shared" ref="F1167" si="465">F1175+F1183+F1191</f>
        <v>50.050049999999999</v>
      </c>
      <c r="G1167" s="3">
        <f t="shared" ref="G1167:H1167" si="466">G1175+G1183+G1191</f>
        <v>50.050049999999999</v>
      </c>
      <c r="H1167" s="3">
        <f t="shared" si="466"/>
        <v>40.040039999999998</v>
      </c>
      <c r="I1167" s="63"/>
      <c r="J1167" s="64"/>
      <c r="K1167" s="64"/>
      <c r="L1167" s="64"/>
      <c r="M1167" s="64"/>
      <c r="N1167" s="64"/>
      <c r="O1167" s="64"/>
      <c r="P1167" s="64"/>
      <c r="Q1167" s="64"/>
      <c r="R1167" s="64"/>
      <c r="S1167" s="64"/>
      <c r="T1167" s="65"/>
    </row>
    <row r="1168" spans="1:20" ht="15.95" customHeight="1" x14ac:dyDescent="0.2">
      <c r="A1168" s="80"/>
      <c r="B1168" s="22" t="s">
        <v>3</v>
      </c>
      <c r="C1168" s="3">
        <f t="shared" si="463"/>
        <v>0</v>
      </c>
      <c r="D1168" s="3">
        <f t="shared" ref="D1168:H1168" si="467">D1176+D1184+D1192</f>
        <v>0</v>
      </c>
      <c r="E1168" s="3">
        <f t="shared" ref="E1168" si="468">E1176+E1184+E1192</f>
        <v>0</v>
      </c>
      <c r="F1168" s="3">
        <f t="shared" ref="F1168" si="469">F1176+F1184+F1192</f>
        <v>0</v>
      </c>
      <c r="G1168" s="3">
        <f t="shared" si="467"/>
        <v>0</v>
      </c>
      <c r="H1168" s="3">
        <f t="shared" si="467"/>
        <v>0</v>
      </c>
      <c r="I1168" s="66"/>
      <c r="J1168" s="67"/>
      <c r="K1168" s="67"/>
      <c r="L1168" s="67"/>
      <c r="M1168" s="67"/>
      <c r="N1168" s="67"/>
      <c r="O1168" s="67"/>
      <c r="P1168" s="67"/>
      <c r="Q1168" s="67"/>
      <c r="R1168" s="67"/>
      <c r="S1168" s="67"/>
      <c r="T1168" s="68"/>
    </row>
    <row r="1169" spans="1:20" ht="15.95" customHeight="1" x14ac:dyDescent="0.2">
      <c r="A1169" s="34" t="s">
        <v>218</v>
      </c>
      <c r="B1169" s="37" t="s">
        <v>57</v>
      </c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  <c r="T1169" s="38"/>
    </row>
    <row r="1170" spans="1:20" ht="15.95" customHeight="1" x14ac:dyDescent="0.2">
      <c r="A1170" s="35" t="s">
        <v>74</v>
      </c>
      <c r="B1170" s="54" t="s">
        <v>46</v>
      </c>
      <c r="C1170" s="54"/>
      <c r="D1170" s="54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</row>
    <row r="1171" spans="1:20" ht="39.950000000000003" customHeight="1" x14ac:dyDescent="0.2">
      <c r="A1171" s="35"/>
      <c r="B1171" s="57" t="s">
        <v>387</v>
      </c>
      <c r="C1171" s="58"/>
      <c r="D1171" s="58"/>
      <c r="E1171" s="58"/>
      <c r="F1171" s="58"/>
      <c r="G1171" s="58"/>
      <c r="H1171" s="59"/>
      <c r="I1171" s="49" t="s">
        <v>53</v>
      </c>
      <c r="J1171" s="49" t="s">
        <v>21</v>
      </c>
      <c r="K1171" s="49" t="s">
        <v>47</v>
      </c>
      <c r="L1171" s="49"/>
      <c r="M1171" s="49" t="s">
        <v>386</v>
      </c>
      <c r="N1171" s="49" t="s">
        <v>386</v>
      </c>
      <c r="O1171" s="49" t="s">
        <v>386</v>
      </c>
      <c r="P1171" s="75" t="s">
        <v>447</v>
      </c>
      <c r="Q1171" s="49" t="s">
        <v>7</v>
      </c>
      <c r="R1171" s="49" t="s">
        <v>48</v>
      </c>
      <c r="S1171" s="49" t="s">
        <v>389</v>
      </c>
      <c r="T1171" s="49"/>
    </row>
    <row r="1172" spans="1:20" ht="15.95" customHeight="1" x14ac:dyDescent="0.2">
      <c r="A1172" s="35"/>
      <c r="B1172" s="25" t="s">
        <v>5</v>
      </c>
      <c r="C1172" s="6">
        <f t="shared" ref="C1172:C1173" si="470">D1172+E1172+F1172+G1172+H1172</f>
        <v>70070.070070000002</v>
      </c>
      <c r="D1172" s="8">
        <f t="shared" ref="D1172" si="471">SUM(D1173:D1176)</f>
        <v>20020.02002</v>
      </c>
      <c r="E1172" s="8">
        <f t="shared" ref="E1172:F1172" si="472">SUM(E1173:E1176)</f>
        <v>50050.050049999998</v>
      </c>
      <c r="F1172" s="8">
        <f t="shared" si="472"/>
        <v>0</v>
      </c>
      <c r="G1172" s="8">
        <f t="shared" ref="G1172" si="473">SUM(G1173:G1176)</f>
        <v>0</v>
      </c>
      <c r="H1172" s="8">
        <f t="shared" ref="H1172" si="474">SUM(H1173:H1176)</f>
        <v>0</v>
      </c>
      <c r="I1172" s="49"/>
      <c r="J1172" s="49"/>
      <c r="K1172" s="49"/>
      <c r="L1172" s="49"/>
      <c r="M1172" s="49"/>
      <c r="N1172" s="49"/>
      <c r="O1172" s="49"/>
      <c r="P1172" s="75"/>
      <c r="Q1172" s="49"/>
      <c r="R1172" s="49"/>
      <c r="S1172" s="49"/>
      <c r="T1172" s="49"/>
    </row>
    <row r="1173" spans="1:20" ht="15.95" customHeight="1" x14ac:dyDescent="0.2">
      <c r="A1173" s="35"/>
      <c r="B1173" s="25" t="s">
        <v>0</v>
      </c>
      <c r="C1173" s="6">
        <f t="shared" si="470"/>
        <v>0</v>
      </c>
      <c r="D1173" s="8"/>
      <c r="E1173" s="8"/>
      <c r="F1173" s="8"/>
      <c r="G1173" s="8"/>
      <c r="H1173" s="8"/>
      <c r="I1173" s="49"/>
      <c r="J1173" s="49"/>
      <c r="K1173" s="49"/>
      <c r="L1173" s="49"/>
      <c r="M1173" s="49"/>
      <c r="N1173" s="49"/>
      <c r="O1173" s="49"/>
      <c r="P1173" s="75"/>
      <c r="Q1173" s="49"/>
      <c r="R1173" s="49"/>
      <c r="S1173" s="49"/>
      <c r="T1173" s="49"/>
    </row>
    <row r="1174" spans="1:20" ht="15.95" customHeight="1" x14ac:dyDescent="0.2">
      <c r="A1174" s="35"/>
      <c r="B1174" s="25" t="s">
        <v>1</v>
      </c>
      <c r="C1174" s="6">
        <f>D1174+E1174+F1174+G1174+H1174</f>
        <v>70000</v>
      </c>
      <c r="D1174" s="8">
        <v>20000</v>
      </c>
      <c r="E1174" s="8">
        <v>50000</v>
      </c>
      <c r="F1174" s="8"/>
      <c r="G1174" s="8"/>
      <c r="H1174" s="8"/>
      <c r="I1174" s="49"/>
      <c r="J1174" s="49"/>
      <c r="K1174" s="49"/>
      <c r="L1174" s="49"/>
      <c r="M1174" s="49"/>
      <c r="N1174" s="49"/>
      <c r="O1174" s="49"/>
      <c r="P1174" s="75"/>
      <c r="Q1174" s="49"/>
      <c r="R1174" s="49"/>
      <c r="S1174" s="49"/>
      <c r="T1174" s="49"/>
    </row>
    <row r="1175" spans="1:20" ht="15.95" customHeight="1" x14ac:dyDescent="0.2">
      <c r="A1175" s="35"/>
      <c r="B1175" s="25" t="s">
        <v>2</v>
      </c>
      <c r="C1175" s="6">
        <f t="shared" ref="C1175:C1176" si="475">D1175+E1175+F1175+G1175+H1175</f>
        <v>70.070070000000001</v>
      </c>
      <c r="D1175" s="8">
        <v>20.020019999999999</v>
      </c>
      <c r="E1175" s="8">
        <v>50.050049999999999</v>
      </c>
      <c r="F1175" s="8"/>
      <c r="G1175" s="8"/>
      <c r="H1175" s="8"/>
      <c r="I1175" s="49"/>
      <c r="J1175" s="49"/>
      <c r="K1175" s="49"/>
      <c r="L1175" s="49"/>
      <c r="M1175" s="49"/>
      <c r="N1175" s="49"/>
      <c r="O1175" s="49"/>
      <c r="P1175" s="75"/>
      <c r="Q1175" s="49"/>
      <c r="R1175" s="49"/>
      <c r="S1175" s="49"/>
      <c r="T1175" s="49"/>
    </row>
    <row r="1176" spans="1:20" ht="15.95" customHeight="1" x14ac:dyDescent="0.2">
      <c r="A1176" s="36"/>
      <c r="B1176" s="25" t="s">
        <v>3</v>
      </c>
      <c r="C1176" s="6">
        <f t="shared" si="475"/>
        <v>0</v>
      </c>
      <c r="D1176" s="8"/>
      <c r="E1176" s="8"/>
      <c r="F1176" s="8"/>
      <c r="G1176" s="8"/>
      <c r="H1176" s="8"/>
      <c r="I1176" s="49"/>
      <c r="J1176" s="49"/>
      <c r="K1176" s="49"/>
      <c r="L1176" s="49"/>
      <c r="M1176" s="49"/>
      <c r="N1176" s="49"/>
      <c r="O1176" s="49"/>
      <c r="P1176" s="75"/>
      <c r="Q1176" s="49"/>
      <c r="R1176" s="49"/>
      <c r="S1176" s="49"/>
      <c r="T1176" s="49"/>
    </row>
    <row r="1177" spans="1:20" ht="15.95" customHeight="1" x14ac:dyDescent="0.2">
      <c r="A1177" s="34" t="s">
        <v>219</v>
      </c>
      <c r="B1177" s="37" t="s">
        <v>57</v>
      </c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8"/>
    </row>
    <row r="1178" spans="1:20" ht="15.95" customHeight="1" x14ac:dyDescent="0.2">
      <c r="A1178" s="35" t="s">
        <v>74</v>
      </c>
      <c r="B1178" s="54" t="s">
        <v>46</v>
      </c>
      <c r="C1178" s="54"/>
      <c r="D1178" s="54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</row>
    <row r="1179" spans="1:20" ht="39.950000000000003" customHeight="1" x14ac:dyDescent="0.2">
      <c r="A1179" s="35"/>
      <c r="B1179" s="57" t="s">
        <v>388</v>
      </c>
      <c r="C1179" s="58"/>
      <c r="D1179" s="58"/>
      <c r="E1179" s="58"/>
      <c r="F1179" s="58"/>
      <c r="G1179" s="58"/>
      <c r="H1179" s="59"/>
      <c r="I1179" s="49" t="s">
        <v>53</v>
      </c>
      <c r="J1179" s="49" t="s">
        <v>21</v>
      </c>
      <c r="K1179" s="49" t="s">
        <v>47</v>
      </c>
      <c r="L1179" s="49"/>
      <c r="M1179" s="49" t="s">
        <v>49</v>
      </c>
      <c r="N1179" s="49" t="s">
        <v>49</v>
      </c>
      <c r="O1179" s="49" t="s">
        <v>49</v>
      </c>
      <c r="P1179" s="49" t="s">
        <v>447</v>
      </c>
      <c r="Q1179" s="49" t="s">
        <v>7</v>
      </c>
      <c r="R1179" s="49" t="s">
        <v>50</v>
      </c>
      <c r="S1179" s="49" t="s">
        <v>34</v>
      </c>
      <c r="T1179" s="49"/>
    </row>
    <row r="1180" spans="1:20" ht="15.95" customHeight="1" x14ac:dyDescent="0.2">
      <c r="A1180" s="35"/>
      <c r="B1180" s="25" t="s">
        <v>5</v>
      </c>
      <c r="C1180" s="6">
        <f t="shared" ref="C1180:C1181" si="476">D1180+E1180+F1180+G1180+H1180</f>
        <v>70070.070070000002</v>
      </c>
      <c r="D1180" s="8">
        <f t="shared" ref="D1180" si="477">SUM(D1181:D1184)</f>
        <v>20020.02002</v>
      </c>
      <c r="E1180" s="8">
        <f t="shared" ref="E1180:F1180" si="478">SUM(E1181:E1184)</f>
        <v>50050.050049999998</v>
      </c>
      <c r="F1180" s="8">
        <f t="shared" si="478"/>
        <v>0</v>
      </c>
      <c r="G1180" s="8">
        <f t="shared" ref="G1180" si="479">SUM(G1181:G1184)</f>
        <v>0</v>
      </c>
      <c r="H1180" s="8">
        <f t="shared" ref="H1180" si="480">SUM(H1181:H1184)</f>
        <v>0</v>
      </c>
      <c r="I1180" s="49"/>
      <c r="J1180" s="49"/>
      <c r="K1180" s="49"/>
      <c r="L1180" s="49"/>
      <c r="M1180" s="49"/>
      <c r="N1180" s="49"/>
      <c r="O1180" s="49"/>
      <c r="P1180" s="49"/>
      <c r="Q1180" s="49"/>
      <c r="R1180" s="49"/>
      <c r="S1180" s="49"/>
      <c r="T1180" s="49"/>
    </row>
    <row r="1181" spans="1:20" ht="15.95" customHeight="1" x14ac:dyDescent="0.2">
      <c r="A1181" s="35"/>
      <c r="B1181" s="25" t="s">
        <v>0</v>
      </c>
      <c r="C1181" s="6">
        <f t="shared" si="476"/>
        <v>0</v>
      </c>
      <c r="D1181" s="8"/>
      <c r="E1181" s="8"/>
      <c r="F1181" s="8"/>
      <c r="G1181" s="8"/>
      <c r="H1181" s="8"/>
      <c r="I1181" s="49"/>
      <c r="J1181" s="49"/>
      <c r="K1181" s="49"/>
      <c r="L1181" s="49"/>
      <c r="M1181" s="49"/>
      <c r="N1181" s="49"/>
      <c r="O1181" s="49"/>
      <c r="P1181" s="49"/>
      <c r="Q1181" s="49"/>
      <c r="R1181" s="49"/>
      <c r="S1181" s="49"/>
      <c r="T1181" s="49"/>
    </row>
    <row r="1182" spans="1:20" ht="15.95" customHeight="1" x14ac:dyDescent="0.2">
      <c r="A1182" s="35"/>
      <c r="B1182" s="25" t="s">
        <v>1</v>
      </c>
      <c r="C1182" s="6">
        <f>D1182+E1182+F1182+G1182+H1182</f>
        <v>70000</v>
      </c>
      <c r="D1182" s="8">
        <v>20000</v>
      </c>
      <c r="E1182" s="8">
        <v>50000</v>
      </c>
      <c r="F1182" s="8"/>
      <c r="G1182" s="8"/>
      <c r="H1182" s="8"/>
      <c r="I1182" s="49"/>
      <c r="J1182" s="49"/>
      <c r="K1182" s="49"/>
      <c r="L1182" s="49"/>
      <c r="M1182" s="49"/>
      <c r="N1182" s="49"/>
      <c r="O1182" s="49"/>
      <c r="P1182" s="49"/>
      <c r="Q1182" s="49"/>
      <c r="R1182" s="49"/>
      <c r="S1182" s="49"/>
      <c r="T1182" s="49"/>
    </row>
    <row r="1183" spans="1:20" ht="15.95" customHeight="1" x14ac:dyDescent="0.2">
      <c r="A1183" s="35"/>
      <c r="B1183" s="25" t="s">
        <v>2</v>
      </c>
      <c r="C1183" s="6">
        <f t="shared" ref="C1183:C1184" si="481">D1183+E1183+F1183+G1183+H1183</f>
        <v>70.070070000000001</v>
      </c>
      <c r="D1183" s="8">
        <v>20.020019999999999</v>
      </c>
      <c r="E1183" s="8">
        <v>50.050049999999999</v>
      </c>
      <c r="F1183" s="8"/>
      <c r="G1183" s="8"/>
      <c r="H1183" s="8"/>
      <c r="I1183" s="49"/>
      <c r="J1183" s="49"/>
      <c r="K1183" s="49"/>
      <c r="L1183" s="49"/>
      <c r="M1183" s="49"/>
      <c r="N1183" s="49"/>
      <c r="O1183" s="49"/>
      <c r="P1183" s="49"/>
      <c r="Q1183" s="49"/>
      <c r="R1183" s="49"/>
      <c r="S1183" s="49"/>
      <c r="T1183" s="49"/>
    </row>
    <row r="1184" spans="1:20" ht="15.95" customHeight="1" x14ac:dyDescent="0.2">
      <c r="A1184" s="36"/>
      <c r="B1184" s="25" t="s">
        <v>3</v>
      </c>
      <c r="C1184" s="6">
        <f t="shared" si="481"/>
        <v>0</v>
      </c>
      <c r="D1184" s="8"/>
      <c r="E1184" s="8"/>
      <c r="F1184" s="8"/>
      <c r="G1184" s="8"/>
      <c r="H1184" s="8"/>
      <c r="I1184" s="49"/>
      <c r="J1184" s="49"/>
      <c r="K1184" s="49"/>
      <c r="L1184" s="49"/>
      <c r="M1184" s="49"/>
      <c r="N1184" s="49"/>
      <c r="O1184" s="49"/>
      <c r="P1184" s="49"/>
      <c r="Q1184" s="49"/>
      <c r="R1184" s="49"/>
      <c r="S1184" s="49"/>
      <c r="T1184" s="49"/>
    </row>
    <row r="1185" spans="1:20" ht="15.95" customHeight="1" x14ac:dyDescent="0.2">
      <c r="A1185" s="34" t="s">
        <v>311</v>
      </c>
      <c r="B1185" s="37" t="s">
        <v>57</v>
      </c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8"/>
    </row>
    <row r="1186" spans="1:20" ht="15.95" customHeight="1" x14ac:dyDescent="0.2">
      <c r="A1186" s="35" t="s">
        <v>74</v>
      </c>
      <c r="B1186" s="54" t="s">
        <v>46</v>
      </c>
      <c r="C1186" s="54"/>
      <c r="D1186" s="54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</row>
    <row r="1187" spans="1:20" ht="39.950000000000003" customHeight="1" x14ac:dyDescent="0.2">
      <c r="A1187" s="35"/>
      <c r="B1187" s="57" t="s">
        <v>390</v>
      </c>
      <c r="C1187" s="58"/>
      <c r="D1187" s="58"/>
      <c r="E1187" s="58"/>
      <c r="F1187" s="58"/>
      <c r="G1187" s="58"/>
      <c r="H1187" s="59"/>
      <c r="I1187" s="49" t="s">
        <v>52</v>
      </c>
      <c r="J1187" s="49" t="s">
        <v>54</v>
      </c>
      <c r="K1187" s="49" t="s">
        <v>47</v>
      </c>
      <c r="L1187" s="49"/>
      <c r="M1187" s="49" t="s">
        <v>265</v>
      </c>
      <c r="N1187" s="49" t="s">
        <v>265</v>
      </c>
      <c r="O1187" s="49" t="s">
        <v>265</v>
      </c>
      <c r="P1187" s="75" t="s">
        <v>448</v>
      </c>
      <c r="Q1187" s="49" t="s">
        <v>7</v>
      </c>
      <c r="R1187" s="49" t="s">
        <v>43</v>
      </c>
      <c r="S1187" s="49" t="s">
        <v>25</v>
      </c>
      <c r="T1187" s="49"/>
    </row>
    <row r="1188" spans="1:20" ht="15.95" customHeight="1" x14ac:dyDescent="0.2">
      <c r="A1188" s="35"/>
      <c r="B1188" s="25" t="s">
        <v>5</v>
      </c>
      <c r="C1188" s="6">
        <f t="shared" ref="C1188:C1189" si="482">D1188+E1188+F1188+G1188+H1188</f>
        <v>150150.15015</v>
      </c>
      <c r="D1188" s="8">
        <f t="shared" ref="D1188:E1188" si="483">SUM(D1189:D1192)</f>
        <v>10010.01001</v>
      </c>
      <c r="E1188" s="8">
        <f t="shared" si="483"/>
        <v>0</v>
      </c>
      <c r="F1188" s="8">
        <f t="shared" ref="F1188" si="484">SUM(F1189:F1192)</f>
        <v>50050.050049999998</v>
      </c>
      <c r="G1188" s="8">
        <f t="shared" ref="G1188" si="485">SUM(G1189:G1192)</f>
        <v>50050.050049999998</v>
      </c>
      <c r="H1188" s="8">
        <f t="shared" ref="H1188" si="486">SUM(H1189:H1192)</f>
        <v>40040.04004</v>
      </c>
      <c r="I1188" s="49"/>
      <c r="J1188" s="49"/>
      <c r="K1188" s="49"/>
      <c r="L1188" s="49"/>
      <c r="M1188" s="49"/>
      <c r="N1188" s="49"/>
      <c r="O1188" s="49"/>
      <c r="P1188" s="75"/>
      <c r="Q1188" s="49"/>
      <c r="R1188" s="49"/>
      <c r="S1188" s="49"/>
      <c r="T1188" s="49"/>
    </row>
    <row r="1189" spans="1:20" ht="15.95" customHeight="1" x14ac:dyDescent="0.2">
      <c r="A1189" s="35"/>
      <c r="B1189" s="25" t="s">
        <v>0</v>
      </c>
      <c r="C1189" s="6">
        <f t="shared" si="482"/>
        <v>0</v>
      </c>
      <c r="D1189" s="8"/>
      <c r="E1189" s="8"/>
      <c r="F1189" s="8"/>
      <c r="G1189" s="8"/>
      <c r="H1189" s="8"/>
      <c r="I1189" s="49"/>
      <c r="J1189" s="49"/>
      <c r="K1189" s="49"/>
      <c r="L1189" s="49"/>
      <c r="M1189" s="49"/>
      <c r="N1189" s="49"/>
      <c r="O1189" s="49"/>
      <c r="P1189" s="75"/>
      <c r="Q1189" s="49"/>
      <c r="R1189" s="49"/>
      <c r="S1189" s="49"/>
      <c r="T1189" s="49"/>
    </row>
    <row r="1190" spans="1:20" ht="15.95" customHeight="1" x14ac:dyDescent="0.2">
      <c r="A1190" s="35"/>
      <c r="B1190" s="25" t="s">
        <v>1</v>
      </c>
      <c r="C1190" s="6">
        <f>D1190+E1190+F1190+G1190+H1190</f>
        <v>150000</v>
      </c>
      <c r="D1190" s="8">
        <v>10000</v>
      </c>
      <c r="E1190" s="8"/>
      <c r="F1190" s="8">
        <v>50000</v>
      </c>
      <c r="G1190" s="8">
        <v>50000</v>
      </c>
      <c r="H1190" s="8">
        <v>40000</v>
      </c>
      <c r="I1190" s="49"/>
      <c r="J1190" s="49"/>
      <c r="K1190" s="49"/>
      <c r="L1190" s="49"/>
      <c r="M1190" s="49"/>
      <c r="N1190" s="49"/>
      <c r="O1190" s="49"/>
      <c r="P1190" s="75"/>
      <c r="Q1190" s="49"/>
      <c r="R1190" s="49"/>
      <c r="S1190" s="49"/>
      <c r="T1190" s="49"/>
    </row>
    <row r="1191" spans="1:20" ht="15.95" customHeight="1" x14ac:dyDescent="0.2">
      <c r="A1191" s="35"/>
      <c r="B1191" s="25" t="s">
        <v>2</v>
      </c>
      <c r="C1191" s="6">
        <f t="shared" ref="C1191:C1192" si="487">D1191+E1191+F1191+G1191+H1191</f>
        <v>150.15015</v>
      </c>
      <c r="D1191" s="8">
        <v>10.010009999999999</v>
      </c>
      <c r="E1191" s="8"/>
      <c r="F1191" s="8">
        <v>50.050049999999999</v>
      </c>
      <c r="G1191" s="8">
        <v>50.050049999999999</v>
      </c>
      <c r="H1191" s="8">
        <v>40.040039999999998</v>
      </c>
      <c r="I1191" s="49"/>
      <c r="J1191" s="49"/>
      <c r="K1191" s="49"/>
      <c r="L1191" s="49"/>
      <c r="M1191" s="49"/>
      <c r="N1191" s="49"/>
      <c r="O1191" s="49"/>
      <c r="P1191" s="75"/>
      <c r="Q1191" s="49"/>
      <c r="R1191" s="49"/>
      <c r="S1191" s="49"/>
      <c r="T1191" s="49"/>
    </row>
    <row r="1192" spans="1:20" ht="15.95" customHeight="1" x14ac:dyDescent="0.2">
      <c r="A1192" s="36"/>
      <c r="B1192" s="25" t="s">
        <v>3</v>
      </c>
      <c r="C1192" s="6">
        <f t="shared" si="487"/>
        <v>0</v>
      </c>
      <c r="D1192" s="8"/>
      <c r="E1192" s="8"/>
      <c r="F1192" s="8"/>
      <c r="G1192" s="8"/>
      <c r="H1192" s="8"/>
      <c r="I1192" s="49"/>
      <c r="J1192" s="49"/>
      <c r="K1192" s="49"/>
      <c r="L1192" s="49"/>
      <c r="M1192" s="49"/>
      <c r="N1192" s="49"/>
      <c r="O1192" s="49"/>
      <c r="P1192" s="75"/>
      <c r="Q1192" s="49"/>
      <c r="R1192" s="49"/>
      <c r="S1192" s="49"/>
      <c r="T1192" s="49"/>
    </row>
    <row r="1193" spans="1:20" ht="15.95" customHeight="1" x14ac:dyDescent="0.2">
      <c r="A1193" s="78" t="s">
        <v>246</v>
      </c>
      <c r="B1193" s="54" t="s">
        <v>160</v>
      </c>
      <c r="C1193" s="54"/>
      <c r="D1193" s="54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</row>
    <row r="1194" spans="1:20" ht="15.95" customHeight="1" x14ac:dyDescent="0.2">
      <c r="A1194" s="79"/>
      <c r="B1194" s="22" t="s">
        <v>5</v>
      </c>
      <c r="C1194" s="3">
        <f>SUM(C1195:C1198)</f>
        <v>72997.291289999994</v>
      </c>
      <c r="D1194" s="3">
        <f>SUM(D1195:D1198)</f>
        <v>3714</v>
      </c>
      <c r="E1194" s="3">
        <f t="shared" ref="E1194" si="488">SUM(E1195:E1198)</f>
        <v>6694.4223299999994</v>
      </c>
      <c r="F1194" s="3">
        <f t="shared" ref="F1194" si="489">SUM(F1195:F1198)</f>
        <v>2980.4223299999999</v>
      </c>
      <c r="G1194" s="3">
        <f t="shared" ref="G1194:H1194" si="490">SUM(G1195:G1198)</f>
        <v>59608.446629999999</v>
      </c>
      <c r="H1194" s="3">
        <f t="shared" si="490"/>
        <v>0</v>
      </c>
      <c r="I1194" s="60"/>
      <c r="J1194" s="61"/>
      <c r="K1194" s="61"/>
      <c r="L1194" s="61"/>
      <c r="M1194" s="61"/>
      <c r="N1194" s="61"/>
      <c r="O1194" s="61"/>
      <c r="P1194" s="61"/>
      <c r="Q1194" s="61"/>
      <c r="R1194" s="61"/>
      <c r="S1194" s="61"/>
      <c r="T1194" s="62"/>
    </row>
    <row r="1195" spans="1:20" ht="15.95" customHeight="1" x14ac:dyDescent="0.2">
      <c r="A1195" s="79"/>
      <c r="B1195" s="22" t="s">
        <v>0</v>
      </c>
      <c r="C1195" s="3">
        <f>D1195+E1195+F1195+G1195+H1195</f>
        <v>56628.024299999997</v>
      </c>
      <c r="D1195" s="3">
        <f>D1203+D1211</f>
        <v>0</v>
      </c>
      <c r="E1195" s="3">
        <f t="shared" ref="E1195" si="491">E1203+E1211</f>
        <v>0</v>
      </c>
      <c r="F1195" s="3">
        <f t="shared" ref="F1195" si="492">F1203+F1211</f>
        <v>0</v>
      </c>
      <c r="G1195" s="3">
        <f t="shared" ref="G1195:H1195" si="493">G1203+G1211</f>
        <v>56628.024299999997</v>
      </c>
      <c r="H1195" s="3">
        <f t="shared" si="493"/>
        <v>0</v>
      </c>
      <c r="I1195" s="63"/>
      <c r="J1195" s="64"/>
      <c r="K1195" s="64"/>
      <c r="L1195" s="64"/>
      <c r="M1195" s="64"/>
      <c r="N1195" s="64"/>
      <c r="O1195" s="64"/>
      <c r="P1195" s="64"/>
      <c r="Q1195" s="64"/>
      <c r="R1195" s="64"/>
      <c r="S1195" s="64"/>
      <c r="T1195" s="65"/>
    </row>
    <row r="1196" spans="1:20" ht="15.95" customHeight="1" x14ac:dyDescent="0.2">
      <c r="A1196" s="79"/>
      <c r="B1196" s="22" t="s">
        <v>1</v>
      </c>
      <c r="C1196" s="3">
        <f t="shared" ref="C1196:C1198" si="494">D1196+E1196+F1196+G1196+H1196</f>
        <v>16369.266989999998</v>
      </c>
      <c r="D1196" s="3">
        <f>D1204+D1212</f>
        <v>3714</v>
      </c>
      <c r="E1196" s="3">
        <f t="shared" ref="E1196" si="495">E1204+E1212</f>
        <v>6694.4223299999994</v>
      </c>
      <c r="F1196" s="3">
        <f t="shared" ref="F1196" si="496">F1204+F1212</f>
        <v>2980.4223299999999</v>
      </c>
      <c r="G1196" s="3">
        <f t="shared" ref="G1196:H1196" si="497">G1204+G1212</f>
        <v>2980.4223299999999</v>
      </c>
      <c r="H1196" s="3">
        <f t="shared" si="497"/>
        <v>0</v>
      </c>
      <c r="I1196" s="63"/>
      <c r="J1196" s="64"/>
      <c r="K1196" s="64"/>
      <c r="L1196" s="64"/>
      <c r="M1196" s="64"/>
      <c r="N1196" s="64"/>
      <c r="O1196" s="64"/>
      <c r="P1196" s="64"/>
      <c r="Q1196" s="64"/>
      <c r="R1196" s="64"/>
      <c r="S1196" s="64"/>
      <c r="T1196" s="65"/>
    </row>
    <row r="1197" spans="1:20" ht="15.95" customHeight="1" x14ac:dyDescent="0.2">
      <c r="A1197" s="79"/>
      <c r="B1197" s="22" t="s">
        <v>2</v>
      </c>
      <c r="C1197" s="3">
        <f t="shared" si="494"/>
        <v>0</v>
      </c>
      <c r="D1197" s="3">
        <f t="shared" ref="D1197:H1197" si="498">D1205+D1213</f>
        <v>0</v>
      </c>
      <c r="E1197" s="3">
        <f t="shared" ref="E1197" si="499">E1205+E1213</f>
        <v>0</v>
      </c>
      <c r="F1197" s="3">
        <f t="shared" ref="F1197" si="500">F1205+F1213</f>
        <v>0</v>
      </c>
      <c r="G1197" s="3">
        <f t="shared" si="498"/>
        <v>0</v>
      </c>
      <c r="H1197" s="3">
        <f t="shared" si="498"/>
        <v>0</v>
      </c>
      <c r="I1197" s="63"/>
      <c r="J1197" s="64"/>
      <c r="K1197" s="64"/>
      <c r="L1197" s="64"/>
      <c r="M1197" s="64"/>
      <c r="N1197" s="64"/>
      <c r="O1197" s="64"/>
      <c r="P1197" s="64"/>
      <c r="Q1197" s="64"/>
      <c r="R1197" s="64"/>
      <c r="S1197" s="64"/>
      <c r="T1197" s="65"/>
    </row>
    <row r="1198" spans="1:20" ht="15.95" customHeight="1" x14ac:dyDescent="0.2">
      <c r="A1198" s="80"/>
      <c r="B1198" s="22" t="s">
        <v>3</v>
      </c>
      <c r="C1198" s="3">
        <f t="shared" si="494"/>
        <v>0</v>
      </c>
      <c r="D1198" s="3">
        <f t="shared" ref="D1198:H1198" si="501">D1206+D1214</f>
        <v>0</v>
      </c>
      <c r="E1198" s="3">
        <f t="shared" ref="E1198" si="502">E1206+E1214</f>
        <v>0</v>
      </c>
      <c r="F1198" s="3">
        <f t="shared" ref="F1198" si="503">F1206+F1214</f>
        <v>0</v>
      </c>
      <c r="G1198" s="3">
        <f t="shared" si="501"/>
        <v>0</v>
      </c>
      <c r="H1198" s="3">
        <f t="shared" si="501"/>
        <v>0</v>
      </c>
      <c r="I1198" s="66"/>
      <c r="J1198" s="67"/>
      <c r="K1198" s="67"/>
      <c r="L1198" s="67"/>
      <c r="M1198" s="67"/>
      <c r="N1198" s="67"/>
      <c r="O1198" s="67"/>
      <c r="P1198" s="67"/>
      <c r="Q1198" s="67"/>
      <c r="R1198" s="67"/>
      <c r="S1198" s="67"/>
      <c r="T1198" s="68"/>
    </row>
    <row r="1199" spans="1:20" ht="15.95" customHeight="1" x14ac:dyDescent="0.2">
      <c r="A1199" s="34" t="s">
        <v>220</v>
      </c>
      <c r="B1199" s="37" t="s">
        <v>161</v>
      </c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37"/>
      <c r="T1199" s="38"/>
    </row>
    <row r="1200" spans="1:20" ht="15.95" customHeight="1" x14ac:dyDescent="0.2">
      <c r="A1200" s="35"/>
      <c r="B1200" s="54" t="s">
        <v>162</v>
      </c>
      <c r="C1200" s="54"/>
      <c r="D1200" s="54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</row>
    <row r="1201" spans="1:20" ht="39.950000000000003" customHeight="1" x14ac:dyDescent="0.2">
      <c r="A1201" s="35"/>
      <c r="B1201" s="57" t="s">
        <v>163</v>
      </c>
      <c r="C1201" s="58"/>
      <c r="D1201" s="58"/>
      <c r="E1201" s="58"/>
      <c r="F1201" s="58"/>
      <c r="G1201" s="58"/>
      <c r="H1201" s="59"/>
      <c r="I1201" s="49" t="s">
        <v>24</v>
      </c>
      <c r="J1201" s="49"/>
      <c r="K1201" s="49" t="s">
        <v>42</v>
      </c>
      <c r="L1201" s="49" t="s">
        <v>315</v>
      </c>
      <c r="M1201" s="49" t="s">
        <v>161</v>
      </c>
      <c r="N1201" s="49" t="s">
        <v>161</v>
      </c>
      <c r="O1201" s="49" t="s">
        <v>161</v>
      </c>
      <c r="P1201" s="75" t="s">
        <v>449</v>
      </c>
      <c r="Q1201" s="49" t="s">
        <v>7</v>
      </c>
      <c r="R1201" s="49" t="s">
        <v>43</v>
      </c>
      <c r="S1201" s="49" t="s">
        <v>34</v>
      </c>
      <c r="T1201" s="49" t="s">
        <v>506</v>
      </c>
    </row>
    <row r="1202" spans="1:20" ht="15.95" customHeight="1" x14ac:dyDescent="0.2">
      <c r="A1202" s="35"/>
      <c r="B1202" s="25" t="s">
        <v>5</v>
      </c>
      <c r="C1202" s="6">
        <f>SUM(C1203:C1206)</f>
        <v>7428</v>
      </c>
      <c r="D1202" s="8">
        <f t="shared" ref="D1202" si="504">SUM(D1203:D1206)</f>
        <v>3714</v>
      </c>
      <c r="E1202" s="8">
        <f t="shared" ref="E1202" si="505">SUM(E1203:E1206)</f>
        <v>3714</v>
      </c>
      <c r="F1202" s="8"/>
      <c r="G1202" s="8">
        <f t="shared" ref="G1202" si="506">SUM(G1203:G1206)</f>
        <v>0</v>
      </c>
      <c r="H1202" s="8">
        <f t="shared" ref="H1202" si="507">SUM(H1203:H1206)</f>
        <v>0</v>
      </c>
      <c r="I1202" s="49"/>
      <c r="J1202" s="49"/>
      <c r="K1202" s="49"/>
      <c r="L1202" s="49"/>
      <c r="M1202" s="49"/>
      <c r="N1202" s="49"/>
      <c r="O1202" s="49"/>
      <c r="P1202" s="75"/>
      <c r="Q1202" s="49"/>
      <c r="R1202" s="49"/>
      <c r="S1202" s="49"/>
      <c r="T1202" s="49"/>
    </row>
    <row r="1203" spans="1:20" ht="15.95" customHeight="1" x14ac:dyDescent="0.2">
      <c r="A1203" s="35"/>
      <c r="B1203" s="25" t="s">
        <v>0</v>
      </c>
      <c r="C1203" s="6">
        <f>D1203+E1203+F1203+G1203+H1203</f>
        <v>0</v>
      </c>
      <c r="D1203" s="8">
        <f>70569-70569</f>
        <v>0</v>
      </c>
      <c r="E1203" s="8">
        <f>70569-70569</f>
        <v>0</v>
      </c>
      <c r="F1203" s="8"/>
      <c r="G1203" s="8"/>
      <c r="H1203" s="8"/>
      <c r="I1203" s="49"/>
      <c r="J1203" s="49"/>
      <c r="K1203" s="49"/>
      <c r="L1203" s="49"/>
      <c r="M1203" s="49"/>
      <c r="N1203" s="49"/>
      <c r="O1203" s="49"/>
      <c r="P1203" s="75"/>
      <c r="Q1203" s="49"/>
      <c r="R1203" s="49"/>
      <c r="S1203" s="49"/>
      <c r="T1203" s="49"/>
    </row>
    <row r="1204" spans="1:20" ht="15.95" customHeight="1" x14ac:dyDescent="0.2">
      <c r="A1204" s="35"/>
      <c r="B1204" s="25" t="s">
        <v>1</v>
      </c>
      <c r="C1204" s="6">
        <f t="shared" ref="C1204:C1206" si="508">D1204+E1204+F1204+G1204+H1204</f>
        <v>7428</v>
      </c>
      <c r="D1204" s="8">
        <v>3714</v>
      </c>
      <c r="E1204" s="8">
        <v>3714</v>
      </c>
      <c r="F1204" s="8"/>
      <c r="G1204" s="8"/>
      <c r="H1204" s="8"/>
      <c r="I1204" s="49"/>
      <c r="J1204" s="49"/>
      <c r="K1204" s="49"/>
      <c r="L1204" s="49"/>
      <c r="M1204" s="49"/>
      <c r="N1204" s="49"/>
      <c r="O1204" s="49"/>
      <c r="P1204" s="75"/>
      <c r="Q1204" s="49"/>
      <c r="R1204" s="49"/>
      <c r="S1204" s="49"/>
      <c r="T1204" s="49"/>
    </row>
    <row r="1205" spans="1:20" ht="15.95" customHeight="1" x14ac:dyDescent="0.2">
      <c r="A1205" s="35"/>
      <c r="B1205" s="25" t="s">
        <v>2</v>
      </c>
      <c r="C1205" s="6">
        <f t="shared" si="508"/>
        <v>0</v>
      </c>
      <c r="D1205" s="8"/>
      <c r="E1205" s="8"/>
      <c r="F1205" s="8"/>
      <c r="G1205" s="8"/>
      <c r="H1205" s="8"/>
      <c r="I1205" s="49"/>
      <c r="J1205" s="49"/>
      <c r="K1205" s="49"/>
      <c r="L1205" s="49"/>
      <c r="M1205" s="49"/>
      <c r="N1205" s="49"/>
      <c r="O1205" s="49"/>
      <c r="P1205" s="75"/>
      <c r="Q1205" s="49"/>
      <c r="R1205" s="49"/>
      <c r="S1205" s="49"/>
      <c r="T1205" s="49"/>
    </row>
    <row r="1206" spans="1:20" ht="15.95" customHeight="1" x14ac:dyDescent="0.2">
      <c r="A1206" s="36"/>
      <c r="B1206" s="25" t="s">
        <v>3</v>
      </c>
      <c r="C1206" s="6">
        <f t="shared" si="508"/>
        <v>0</v>
      </c>
      <c r="D1206" s="8"/>
      <c r="E1206" s="8"/>
      <c r="F1206" s="8"/>
      <c r="G1206" s="8"/>
      <c r="H1206" s="8"/>
      <c r="I1206" s="49"/>
      <c r="J1206" s="49"/>
      <c r="K1206" s="49"/>
      <c r="L1206" s="49"/>
      <c r="M1206" s="49"/>
      <c r="N1206" s="49"/>
      <c r="O1206" s="49"/>
      <c r="P1206" s="75"/>
      <c r="Q1206" s="49"/>
      <c r="R1206" s="49"/>
      <c r="S1206" s="49"/>
      <c r="T1206" s="49"/>
    </row>
    <row r="1207" spans="1:20" ht="15.95" customHeight="1" x14ac:dyDescent="0.2">
      <c r="A1207" s="34" t="s">
        <v>221</v>
      </c>
      <c r="B1207" s="37" t="s">
        <v>161</v>
      </c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8"/>
    </row>
    <row r="1208" spans="1:20" ht="15.95" customHeight="1" x14ac:dyDescent="0.2">
      <c r="A1208" s="35"/>
      <c r="B1208" s="54" t="s">
        <v>162</v>
      </c>
      <c r="C1208" s="54"/>
      <c r="D1208" s="54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</row>
    <row r="1209" spans="1:20" ht="50.1" customHeight="1" x14ac:dyDescent="0.2">
      <c r="A1209" s="35"/>
      <c r="B1209" s="57" t="s">
        <v>378</v>
      </c>
      <c r="C1209" s="58"/>
      <c r="D1209" s="58"/>
      <c r="E1209" s="58"/>
      <c r="F1209" s="58"/>
      <c r="G1209" s="58"/>
      <c r="H1209" s="59"/>
      <c r="I1209" s="49" t="s">
        <v>316</v>
      </c>
      <c r="J1209" s="49"/>
      <c r="K1209" s="49" t="s">
        <v>42</v>
      </c>
      <c r="L1209" s="49" t="s">
        <v>317</v>
      </c>
      <c r="M1209" s="49" t="s">
        <v>161</v>
      </c>
      <c r="N1209" s="49" t="s">
        <v>161</v>
      </c>
      <c r="O1209" s="49" t="s">
        <v>161</v>
      </c>
      <c r="P1209" s="75" t="s">
        <v>450</v>
      </c>
      <c r="Q1209" s="49" t="s">
        <v>7</v>
      </c>
      <c r="R1209" s="49" t="s">
        <v>38</v>
      </c>
      <c r="S1209" s="49" t="s">
        <v>34</v>
      </c>
      <c r="T1209" s="49" t="s">
        <v>507</v>
      </c>
    </row>
    <row r="1210" spans="1:20" ht="15.95" customHeight="1" x14ac:dyDescent="0.2">
      <c r="A1210" s="35"/>
      <c r="B1210" s="25" t="s">
        <v>5</v>
      </c>
      <c r="C1210" s="6">
        <f>D1210+E1210+F1210+G1210+H1210</f>
        <v>65569.291289999994</v>
      </c>
      <c r="D1210" s="8">
        <f t="shared" ref="D1210" si="509">SUM(D1211:D1214)</f>
        <v>0</v>
      </c>
      <c r="E1210" s="8">
        <f t="shared" ref="E1210" si="510">SUM(E1211:E1214)</f>
        <v>2980.4223299999999</v>
      </c>
      <c r="F1210" s="8">
        <f t="shared" ref="F1210" si="511">SUM(F1211:F1214)</f>
        <v>2980.4223299999999</v>
      </c>
      <c r="G1210" s="8">
        <f t="shared" ref="G1210" si="512">SUM(G1211:G1214)</f>
        <v>59608.446629999999</v>
      </c>
      <c r="H1210" s="8">
        <f t="shared" ref="H1210" si="513">SUM(H1211:H1214)</f>
        <v>0</v>
      </c>
      <c r="I1210" s="49"/>
      <c r="J1210" s="49"/>
      <c r="K1210" s="49"/>
      <c r="L1210" s="49"/>
      <c r="M1210" s="49"/>
      <c r="N1210" s="49"/>
      <c r="O1210" s="49"/>
      <c r="P1210" s="75"/>
      <c r="Q1210" s="49"/>
      <c r="R1210" s="49"/>
      <c r="S1210" s="49"/>
      <c r="T1210" s="49"/>
    </row>
    <row r="1211" spans="1:20" ht="15.95" customHeight="1" x14ac:dyDescent="0.2">
      <c r="A1211" s="35"/>
      <c r="B1211" s="25" t="s">
        <v>0</v>
      </c>
      <c r="C1211" s="6">
        <f>D1211+E1211+F1211+G1211+H1211</f>
        <v>56628.024299999997</v>
      </c>
      <c r="D1211" s="8"/>
      <c r="E1211" s="8">
        <f>56628.0243-56628.0243</f>
        <v>0</v>
      </c>
      <c r="F1211" s="8">
        <f>56628.0243-56628.0243</f>
        <v>0</v>
      </c>
      <c r="G1211" s="8">
        <v>56628.024299999997</v>
      </c>
      <c r="H1211" s="8"/>
      <c r="I1211" s="49"/>
      <c r="J1211" s="49"/>
      <c r="K1211" s="49"/>
      <c r="L1211" s="49"/>
      <c r="M1211" s="49"/>
      <c r="N1211" s="49"/>
      <c r="O1211" s="49"/>
      <c r="P1211" s="75"/>
      <c r="Q1211" s="49"/>
      <c r="R1211" s="49"/>
      <c r="S1211" s="49"/>
      <c r="T1211" s="49"/>
    </row>
    <row r="1212" spans="1:20" ht="15.95" customHeight="1" x14ac:dyDescent="0.2">
      <c r="A1212" s="35"/>
      <c r="B1212" s="25" t="s">
        <v>1</v>
      </c>
      <c r="C1212" s="6">
        <f t="shared" ref="C1212:C1214" si="514">D1212+E1212+F1212+G1212+H1212</f>
        <v>8941.2669900000001</v>
      </c>
      <c r="D1212" s="8"/>
      <c r="E1212" s="8">
        <v>2980.4223299999999</v>
      </c>
      <c r="F1212" s="8">
        <v>2980.4223299999999</v>
      </c>
      <c r="G1212" s="8">
        <v>2980.4223299999999</v>
      </c>
      <c r="H1212" s="8"/>
      <c r="I1212" s="49"/>
      <c r="J1212" s="49"/>
      <c r="K1212" s="49"/>
      <c r="L1212" s="49"/>
      <c r="M1212" s="49"/>
      <c r="N1212" s="49"/>
      <c r="O1212" s="49"/>
      <c r="P1212" s="75"/>
      <c r="Q1212" s="49"/>
      <c r="R1212" s="49"/>
      <c r="S1212" s="49"/>
      <c r="T1212" s="49"/>
    </row>
    <row r="1213" spans="1:20" ht="15.95" customHeight="1" x14ac:dyDescent="0.2">
      <c r="A1213" s="35"/>
      <c r="B1213" s="25" t="s">
        <v>2</v>
      </c>
      <c r="C1213" s="6">
        <f t="shared" si="514"/>
        <v>0</v>
      </c>
      <c r="D1213" s="8"/>
      <c r="E1213" s="8"/>
      <c r="F1213" s="8"/>
      <c r="G1213" s="8"/>
      <c r="H1213" s="8"/>
      <c r="I1213" s="49"/>
      <c r="J1213" s="49"/>
      <c r="K1213" s="49"/>
      <c r="L1213" s="49"/>
      <c r="M1213" s="49"/>
      <c r="N1213" s="49"/>
      <c r="O1213" s="49"/>
      <c r="P1213" s="75"/>
      <c r="Q1213" s="49"/>
      <c r="R1213" s="49"/>
      <c r="S1213" s="49"/>
      <c r="T1213" s="49"/>
    </row>
    <row r="1214" spans="1:20" ht="15.95" customHeight="1" x14ac:dyDescent="0.2">
      <c r="A1214" s="35"/>
      <c r="B1214" s="25" t="s">
        <v>3</v>
      </c>
      <c r="C1214" s="6">
        <f t="shared" si="514"/>
        <v>0</v>
      </c>
      <c r="D1214" s="8"/>
      <c r="E1214" s="8"/>
      <c r="F1214" s="8"/>
      <c r="G1214" s="8"/>
      <c r="H1214" s="8"/>
      <c r="I1214" s="49"/>
      <c r="J1214" s="49"/>
      <c r="K1214" s="49"/>
      <c r="L1214" s="49"/>
      <c r="M1214" s="49"/>
      <c r="N1214" s="49"/>
      <c r="O1214" s="49"/>
      <c r="P1214" s="75"/>
      <c r="Q1214" s="49"/>
      <c r="R1214" s="49"/>
      <c r="S1214" s="49"/>
      <c r="T1214" s="49"/>
    </row>
    <row r="1215" spans="1:20" ht="15.95" customHeight="1" x14ac:dyDescent="0.2">
      <c r="A1215" s="78" t="s">
        <v>96</v>
      </c>
      <c r="B1215" s="54" t="s">
        <v>131</v>
      </c>
      <c r="C1215" s="54"/>
      <c r="D1215" s="54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</row>
    <row r="1216" spans="1:20" ht="15.95" customHeight="1" x14ac:dyDescent="0.2">
      <c r="A1216" s="79"/>
      <c r="B1216" s="22" t="s">
        <v>5</v>
      </c>
      <c r="C1216" s="3">
        <f>SUM(C1217:C1221)</f>
        <v>670484.36499999999</v>
      </c>
      <c r="D1216" s="3">
        <f t="shared" ref="D1216:H1216" si="515">SUM(D1217:D1221)</f>
        <v>0</v>
      </c>
      <c r="E1216" s="3">
        <f t="shared" si="515"/>
        <v>0</v>
      </c>
      <c r="F1216" s="3">
        <f t="shared" si="515"/>
        <v>329197.245</v>
      </c>
      <c r="G1216" s="3">
        <f t="shared" si="515"/>
        <v>341287.12</v>
      </c>
      <c r="H1216" s="3">
        <f t="shared" si="515"/>
        <v>0</v>
      </c>
      <c r="I1216" s="60"/>
      <c r="J1216" s="61"/>
      <c r="K1216" s="61"/>
      <c r="L1216" s="61"/>
      <c r="M1216" s="61"/>
      <c r="N1216" s="61"/>
      <c r="O1216" s="61"/>
      <c r="P1216" s="61"/>
      <c r="Q1216" s="61"/>
      <c r="R1216" s="61"/>
      <c r="S1216" s="61"/>
      <c r="T1216" s="62"/>
    </row>
    <row r="1217" spans="1:20" ht="15.95" customHeight="1" x14ac:dyDescent="0.2">
      <c r="A1217" s="79"/>
      <c r="B1217" s="22" t="s">
        <v>0</v>
      </c>
      <c r="C1217" s="3">
        <f>D1217+E1217+F1217+G1217+H1217</f>
        <v>0</v>
      </c>
      <c r="D1217" s="3">
        <f>D1226</f>
        <v>0</v>
      </c>
      <c r="E1217" s="3">
        <f t="shared" ref="E1217:H1217" si="516">E1226</f>
        <v>0</v>
      </c>
      <c r="F1217" s="3">
        <f t="shared" si="516"/>
        <v>0</v>
      </c>
      <c r="G1217" s="3">
        <f t="shared" si="516"/>
        <v>0</v>
      </c>
      <c r="H1217" s="3">
        <f t="shared" si="516"/>
        <v>0</v>
      </c>
      <c r="I1217" s="63"/>
      <c r="J1217" s="64"/>
      <c r="K1217" s="64"/>
      <c r="L1217" s="64"/>
      <c r="M1217" s="64"/>
      <c r="N1217" s="64"/>
      <c r="O1217" s="64"/>
      <c r="P1217" s="64"/>
      <c r="Q1217" s="64"/>
      <c r="R1217" s="64"/>
      <c r="S1217" s="64"/>
      <c r="T1217" s="65"/>
    </row>
    <row r="1218" spans="1:20" ht="15.95" customHeight="1" x14ac:dyDescent="0.2">
      <c r="A1218" s="79"/>
      <c r="B1218" s="22" t="s">
        <v>1</v>
      </c>
      <c r="C1218" s="3">
        <f t="shared" ref="C1218:C1221" si="517">D1218+E1218+F1218+G1218+H1218</f>
        <v>670484.36499999999</v>
      </c>
      <c r="D1218" s="3">
        <f t="shared" ref="D1218:H1220" si="518">D1227</f>
        <v>0</v>
      </c>
      <c r="E1218" s="3">
        <f t="shared" si="518"/>
        <v>0</v>
      </c>
      <c r="F1218" s="3">
        <f t="shared" si="518"/>
        <v>329197.245</v>
      </c>
      <c r="G1218" s="3">
        <f t="shared" si="518"/>
        <v>341287.12</v>
      </c>
      <c r="H1218" s="3">
        <f t="shared" si="518"/>
        <v>0</v>
      </c>
      <c r="I1218" s="63"/>
      <c r="J1218" s="64"/>
      <c r="K1218" s="64"/>
      <c r="L1218" s="64"/>
      <c r="M1218" s="64"/>
      <c r="N1218" s="64"/>
      <c r="O1218" s="64"/>
      <c r="P1218" s="64"/>
      <c r="Q1218" s="64"/>
      <c r="R1218" s="64"/>
      <c r="S1218" s="64"/>
      <c r="T1218" s="65"/>
    </row>
    <row r="1219" spans="1:20" ht="15.95" customHeight="1" x14ac:dyDescent="0.2">
      <c r="A1219" s="79"/>
      <c r="B1219" s="22" t="s">
        <v>2</v>
      </c>
      <c r="C1219" s="3">
        <f t="shared" si="517"/>
        <v>0</v>
      </c>
      <c r="D1219" s="3">
        <f t="shared" si="518"/>
        <v>0</v>
      </c>
      <c r="E1219" s="3">
        <f t="shared" si="518"/>
        <v>0</v>
      </c>
      <c r="F1219" s="3">
        <f t="shared" si="518"/>
        <v>0</v>
      </c>
      <c r="G1219" s="3">
        <f t="shared" si="518"/>
        <v>0</v>
      </c>
      <c r="H1219" s="3">
        <f t="shared" si="518"/>
        <v>0</v>
      </c>
      <c r="I1219" s="63"/>
      <c r="J1219" s="64"/>
      <c r="K1219" s="64"/>
      <c r="L1219" s="64"/>
      <c r="M1219" s="64"/>
      <c r="N1219" s="64"/>
      <c r="O1219" s="64"/>
      <c r="P1219" s="64"/>
      <c r="Q1219" s="64"/>
      <c r="R1219" s="64"/>
      <c r="S1219" s="64"/>
      <c r="T1219" s="65"/>
    </row>
    <row r="1220" spans="1:20" ht="15.95" customHeight="1" x14ac:dyDescent="0.2">
      <c r="A1220" s="79"/>
      <c r="B1220" s="22" t="s">
        <v>3</v>
      </c>
      <c r="C1220" s="3">
        <f t="shared" si="517"/>
        <v>0</v>
      </c>
      <c r="D1220" s="3">
        <f t="shared" si="518"/>
        <v>0</v>
      </c>
      <c r="E1220" s="3">
        <f t="shared" si="518"/>
        <v>0</v>
      </c>
      <c r="F1220" s="3">
        <f t="shared" si="518"/>
        <v>0</v>
      </c>
      <c r="G1220" s="3">
        <f t="shared" si="518"/>
        <v>0</v>
      </c>
      <c r="H1220" s="3">
        <f t="shared" si="518"/>
        <v>0</v>
      </c>
      <c r="I1220" s="63"/>
      <c r="J1220" s="64"/>
      <c r="K1220" s="64"/>
      <c r="L1220" s="64"/>
      <c r="M1220" s="64"/>
      <c r="N1220" s="64"/>
      <c r="O1220" s="64"/>
      <c r="P1220" s="64"/>
      <c r="Q1220" s="64"/>
      <c r="R1220" s="64"/>
      <c r="S1220" s="64"/>
      <c r="T1220" s="65"/>
    </row>
    <row r="1221" spans="1:20" ht="42" customHeight="1" x14ac:dyDescent="0.2">
      <c r="A1221" s="80"/>
      <c r="B1221" s="22" t="s">
        <v>312</v>
      </c>
      <c r="C1221" s="3">
        <f t="shared" si="517"/>
        <v>0</v>
      </c>
      <c r="D1221" s="3">
        <f>D1258</f>
        <v>0</v>
      </c>
      <c r="E1221" s="3">
        <f>E1258</f>
        <v>0</v>
      </c>
      <c r="F1221" s="3">
        <f>F1258</f>
        <v>0</v>
      </c>
      <c r="G1221" s="3">
        <f>G1258</f>
        <v>0</v>
      </c>
      <c r="H1221" s="3">
        <f>H1258</f>
        <v>0</v>
      </c>
      <c r="I1221" s="66"/>
      <c r="J1221" s="67"/>
      <c r="K1221" s="67"/>
      <c r="L1221" s="67"/>
      <c r="M1221" s="67"/>
      <c r="N1221" s="67"/>
      <c r="O1221" s="67"/>
      <c r="P1221" s="67"/>
      <c r="Q1221" s="67"/>
      <c r="R1221" s="67"/>
      <c r="S1221" s="67"/>
      <c r="T1221" s="68"/>
    </row>
    <row r="1222" spans="1:20" ht="15.95" customHeight="1" x14ac:dyDescent="0.2">
      <c r="A1222" s="34" t="s">
        <v>222</v>
      </c>
      <c r="B1222" s="82" t="s">
        <v>526</v>
      </c>
      <c r="C1222" s="82"/>
      <c r="D1222" s="82"/>
      <c r="E1222" s="82"/>
      <c r="F1222" s="82"/>
      <c r="G1222" s="82"/>
      <c r="H1222" s="82"/>
      <c r="I1222" s="82"/>
      <c r="J1222" s="82"/>
      <c r="K1222" s="82"/>
      <c r="L1222" s="82"/>
      <c r="M1222" s="82"/>
      <c r="N1222" s="82"/>
      <c r="O1222" s="82"/>
      <c r="P1222" s="82"/>
      <c r="Q1222" s="82"/>
      <c r="R1222" s="82"/>
      <c r="S1222" s="82"/>
      <c r="T1222" s="82"/>
    </row>
    <row r="1223" spans="1:20" ht="15.95" customHeight="1" x14ac:dyDescent="0.2">
      <c r="A1223" s="35"/>
      <c r="B1223" s="54" t="s">
        <v>132</v>
      </c>
      <c r="C1223" s="54"/>
      <c r="D1223" s="54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</row>
    <row r="1224" spans="1:20" ht="50.1" customHeight="1" x14ac:dyDescent="0.2">
      <c r="A1224" s="35"/>
      <c r="B1224" s="42" t="s">
        <v>377</v>
      </c>
      <c r="C1224" s="37"/>
      <c r="D1224" s="37"/>
      <c r="E1224" s="37"/>
      <c r="F1224" s="37"/>
      <c r="G1224" s="37"/>
      <c r="H1224" s="38"/>
      <c r="I1224" s="49" t="s">
        <v>29</v>
      </c>
      <c r="J1224" s="49" t="s">
        <v>21</v>
      </c>
      <c r="K1224" s="49" t="s">
        <v>31</v>
      </c>
      <c r="L1224" s="49"/>
      <c r="M1224" s="49" t="s">
        <v>32</v>
      </c>
      <c r="N1224" s="49" t="s">
        <v>30</v>
      </c>
      <c r="O1224" s="49" t="s">
        <v>32</v>
      </c>
      <c r="P1224" s="75"/>
      <c r="Q1224" s="49" t="s">
        <v>33</v>
      </c>
      <c r="R1224" s="49" t="s">
        <v>8</v>
      </c>
      <c r="S1224" s="49" t="s">
        <v>34</v>
      </c>
      <c r="T1224" s="49"/>
    </row>
    <row r="1225" spans="1:20" ht="15.95" customHeight="1" x14ac:dyDescent="0.2">
      <c r="A1225" s="35"/>
      <c r="B1225" s="25" t="s">
        <v>5</v>
      </c>
      <c r="C1225" s="6">
        <f t="shared" ref="C1225:H1225" si="519">SUM(C1226:C1229)</f>
        <v>670484.36499999999</v>
      </c>
      <c r="D1225" s="8">
        <f t="shared" si="519"/>
        <v>0</v>
      </c>
      <c r="E1225" s="8">
        <f t="shared" si="519"/>
        <v>0</v>
      </c>
      <c r="F1225" s="8">
        <f t="shared" si="519"/>
        <v>329197.245</v>
      </c>
      <c r="G1225" s="8">
        <f t="shared" si="519"/>
        <v>341287.12</v>
      </c>
      <c r="H1225" s="8">
        <f t="shared" si="519"/>
        <v>0</v>
      </c>
      <c r="I1225" s="49"/>
      <c r="J1225" s="49"/>
      <c r="K1225" s="49"/>
      <c r="L1225" s="49"/>
      <c r="M1225" s="49"/>
      <c r="N1225" s="49"/>
      <c r="O1225" s="49"/>
      <c r="P1225" s="75"/>
      <c r="Q1225" s="49"/>
      <c r="R1225" s="49"/>
      <c r="S1225" s="49"/>
      <c r="T1225" s="49"/>
    </row>
    <row r="1226" spans="1:20" ht="15.95" customHeight="1" x14ac:dyDescent="0.2">
      <c r="A1226" s="35"/>
      <c r="B1226" s="25" t="s">
        <v>0</v>
      </c>
      <c r="C1226" s="6">
        <f>SUM(D1226:H1226)</f>
        <v>0</v>
      </c>
      <c r="D1226" s="8"/>
      <c r="E1226" s="8"/>
      <c r="F1226" s="8"/>
      <c r="G1226" s="8"/>
      <c r="H1226" s="8"/>
      <c r="I1226" s="49"/>
      <c r="J1226" s="49"/>
      <c r="K1226" s="49"/>
      <c r="L1226" s="49"/>
      <c r="M1226" s="49"/>
      <c r="N1226" s="49"/>
      <c r="O1226" s="49"/>
      <c r="P1226" s="75"/>
      <c r="Q1226" s="49"/>
      <c r="R1226" s="49"/>
      <c r="S1226" s="49"/>
      <c r="T1226" s="49"/>
    </row>
    <row r="1227" spans="1:20" ht="15.95" customHeight="1" x14ac:dyDescent="0.2">
      <c r="A1227" s="35"/>
      <c r="B1227" s="25" t="s">
        <v>1</v>
      </c>
      <c r="C1227" s="6">
        <f>SUM(D1227:H1227)</f>
        <v>670484.36499999999</v>
      </c>
      <c r="D1227" s="8"/>
      <c r="E1227" s="8"/>
      <c r="F1227" s="8">
        <v>329197.245</v>
      </c>
      <c r="G1227" s="8">
        <v>341287.12</v>
      </c>
      <c r="H1227" s="8"/>
      <c r="I1227" s="49"/>
      <c r="J1227" s="49"/>
      <c r="K1227" s="49"/>
      <c r="L1227" s="49"/>
      <c r="M1227" s="49"/>
      <c r="N1227" s="49"/>
      <c r="O1227" s="49"/>
      <c r="P1227" s="75"/>
      <c r="Q1227" s="49"/>
      <c r="R1227" s="49"/>
      <c r="S1227" s="49"/>
      <c r="T1227" s="49"/>
    </row>
    <row r="1228" spans="1:20" ht="15.95" customHeight="1" x14ac:dyDescent="0.2">
      <c r="A1228" s="35"/>
      <c r="B1228" s="25" t="s">
        <v>2</v>
      </c>
      <c r="C1228" s="6">
        <f>SUM(D1228:H1228)</f>
        <v>0</v>
      </c>
      <c r="D1228" s="8"/>
      <c r="E1228" s="8"/>
      <c r="F1228" s="8"/>
      <c r="G1228" s="8"/>
      <c r="H1228" s="8"/>
      <c r="I1228" s="49"/>
      <c r="J1228" s="49"/>
      <c r="K1228" s="49"/>
      <c r="L1228" s="49"/>
      <c r="M1228" s="49"/>
      <c r="N1228" s="49"/>
      <c r="O1228" s="49"/>
      <c r="P1228" s="75"/>
      <c r="Q1228" s="49"/>
      <c r="R1228" s="49"/>
      <c r="S1228" s="49"/>
      <c r="T1228" s="49"/>
    </row>
    <row r="1229" spans="1:20" ht="15.95" customHeight="1" x14ac:dyDescent="0.2">
      <c r="A1229" s="35"/>
      <c r="B1229" s="25" t="s">
        <v>3</v>
      </c>
      <c r="C1229" s="6">
        <f>SUM(D1229:H1229)</f>
        <v>0</v>
      </c>
      <c r="D1229" s="8"/>
      <c r="E1229" s="8"/>
      <c r="F1229" s="8"/>
      <c r="G1229" s="8"/>
      <c r="H1229" s="8"/>
      <c r="I1229" s="49"/>
      <c r="J1229" s="49"/>
      <c r="K1229" s="49"/>
      <c r="L1229" s="49"/>
      <c r="M1229" s="49"/>
      <c r="N1229" s="49"/>
      <c r="O1229" s="49"/>
      <c r="P1229" s="75"/>
      <c r="Q1229" s="49"/>
      <c r="R1229" s="49"/>
      <c r="S1229" s="49"/>
      <c r="T1229" s="49"/>
    </row>
    <row r="1230" spans="1:20" ht="15.95" customHeight="1" x14ac:dyDescent="0.2">
      <c r="A1230" s="34" t="s">
        <v>512</v>
      </c>
      <c r="B1230" s="54" t="s">
        <v>514</v>
      </c>
      <c r="C1230" s="54"/>
      <c r="D1230" s="54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</row>
    <row r="1231" spans="1:20" ht="15.95" customHeight="1" x14ac:dyDescent="0.2">
      <c r="A1231" s="35"/>
      <c r="B1231" s="22" t="s">
        <v>5</v>
      </c>
      <c r="C1231" s="3">
        <f t="shared" ref="C1231:H1231" si="520">SUM(C1232:C1235)</f>
        <v>291689.60000000003</v>
      </c>
      <c r="D1231" s="3">
        <f t="shared" si="520"/>
        <v>8677.7000000000007</v>
      </c>
      <c r="E1231" s="3">
        <f t="shared" si="520"/>
        <v>145844.80000000002</v>
      </c>
      <c r="F1231" s="3">
        <f t="shared" si="520"/>
        <v>137167.1</v>
      </c>
      <c r="G1231" s="3">
        <f t="shared" si="520"/>
        <v>0</v>
      </c>
      <c r="H1231" s="3">
        <f t="shared" si="520"/>
        <v>0</v>
      </c>
      <c r="I1231" s="60"/>
      <c r="J1231" s="61"/>
      <c r="K1231" s="61"/>
      <c r="L1231" s="61"/>
      <c r="M1231" s="61"/>
      <c r="N1231" s="61"/>
      <c r="O1231" s="61"/>
      <c r="P1231" s="61"/>
      <c r="Q1231" s="61"/>
      <c r="R1231" s="61"/>
      <c r="S1231" s="61"/>
      <c r="T1231" s="62"/>
    </row>
    <row r="1232" spans="1:20" ht="15.95" customHeight="1" x14ac:dyDescent="0.2">
      <c r="A1232" s="35"/>
      <c r="B1232" s="22" t="s">
        <v>0</v>
      </c>
      <c r="C1232" s="3">
        <f>D1232+E1232+F1232+G1232+H1232</f>
        <v>274334.2</v>
      </c>
      <c r="D1232" s="3">
        <f>D1240</f>
        <v>0</v>
      </c>
      <c r="E1232" s="3">
        <f t="shared" ref="E1232:H1232" si="521">E1240</f>
        <v>137167.1</v>
      </c>
      <c r="F1232" s="3">
        <f t="shared" si="521"/>
        <v>137167.1</v>
      </c>
      <c r="G1232" s="3">
        <f t="shared" si="521"/>
        <v>0</v>
      </c>
      <c r="H1232" s="3">
        <f t="shared" si="521"/>
        <v>0</v>
      </c>
      <c r="I1232" s="63"/>
      <c r="J1232" s="64"/>
      <c r="K1232" s="64"/>
      <c r="L1232" s="64"/>
      <c r="M1232" s="64"/>
      <c r="N1232" s="64"/>
      <c r="O1232" s="64"/>
      <c r="P1232" s="64"/>
      <c r="Q1232" s="64"/>
      <c r="R1232" s="64"/>
      <c r="S1232" s="64"/>
      <c r="T1232" s="65"/>
    </row>
    <row r="1233" spans="1:20" ht="15.95" customHeight="1" x14ac:dyDescent="0.2">
      <c r="A1233" s="35"/>
      <c r="B1233" s="22" t="s">
        <v>1</v>
      </c>
      <c r="C1233" s="3">
        <f t="shared" ref="C1233:C1235" si="522">D1233+E1233+F1233+G1233+H1233</f>
        <v>2771</v>
      </c>
      <c r="D1233" s="3">
        <f t="shared" ref="D1233:E1235" si="523">D1241</f>
        <v>1385.5</v>
      </c>
      <c r="E1233" s="3">
        <f t="shared" si="523"/>
        <v>1385.5</v>
      </c>
      <c r="F1233" s="3">
        <f t="shared" ref="F1233:H1233" si="524">F1241</f>
        <v>0</v>
      </c>
      <c r="G1233" s="3">
        <f t="shared" si="524"/>
        <v>0</v>
      </c>
      <c r="H1233" s="3">
        <f t="shared" si="524"/>
        <v>0</v>
      </c>
      <c r="I1233" s="63"/>
      <c r="J1233" s="64"/>
      <c r="K1233" s="64"/>
      <c r="L1233" s="64"/>
      <c r="M1233" s="64"/>
      <c r="N1233" s="64"/>
      <c r="O1233" s="64"/>
      <c r="P1233" s="64"/>
      <c r="Q1233" s="64"/>
      <c r="R1233" s="64"/>
      <c r="S1233" s="64"/>
      <c r="T1233" s="65"/>
    </row>
    <row r="1234" spans="1:20" ht="15.95" customHeight="1" x14ac:dyDescent="0.2">
      <c r="A1234" s="35"/>
      <c r="B1234" s="22" t="s">
        <v>2</v>
      </c>
      <c r="C1234" s="3">
        <f t="shared" si="522"/>
        <v>14584.4</v>
      </c>
      <c r="D1234" s="3">
        <f t="shared" si="523"/>
        <v>7292.2</v>
      </c>
      <c r="E1234" s="3">
        <f t="shared" si="523"/>
        <v>7292.2</v>
      </c>
      <c r="F1234" s="3">
        <f t="shared" ref="F1234:H1234" si="525">F1242</f>
        <v>0</v>
      </c>
      <c r="G1234" s="3">
        <f t="shared" si="525"/>
        <v>0</v>
      </c>
      <c r="H1234" s="3">
        <f t="shared" si="525"/>
        <v>0</v>
      </c>
      <c r="I1234" s="63"/>
      <c r="J1234" s="64"/>
      <c r="K1234" s="64"/>
      <c r="L1234" s="64"/>
      <c r="M1234" s="64"/>
      <c r="N1234" s="64"/>
      <c r="O1234" s="64"/>
      <c r="P1234" s="64"/>
      <c r="Q1234" s="64"/>
      <c r="R1234" s="64"/>
      <c r="S1234" s="64"/>
      <c r="T1234" s="65"/>
    </row>
    <row r="1235" spans="1:20" ht="15.95" customHeight="1" x14ac:dyDescent="0.2">
      <c r="A1235" s="36"/>
      <c r="B1235" s="22" t="s">
        <v>3</v>
      </c>
      <c r="C1235" s="3">
        <f t="shared" si="522"/>
        <v>0</v>
      </c>
      <c r="D1235" s="3">
        <f t="shared" si="523"/>
        <v>0</v>
      </c>
      <c r="E1235" s="3">
        <f t="shared" si="523"/>
        <v>0</v>
      </c>
      <c r="F1235" s="3">
        <f t="shared" ref="F1235:H1235" si="526">F1243</f>
        <v>0</v>
      </c>
      <c r="G1235" s="3">
        <f t="shared" si="526"/>
        <v>0</v>
      </c>
      <c r="H1235" s="3">
        <f t="shared" si="526"/>
        <v>0</v>
      </c>
      <c r="I1235" s="66"/>
      <c r="J1235" s="67"/>
      <c r="K1235" s="67"/>
      <c r="L1235" s="67"/>
      <c r="M1235" s="67"/>
      <c r="N1235" s="67"/>
      <c r="O1235" s="67"/>
      <c r="P1235" s="67"/>
      <c r="Q1235" s="67"/>
      <c r="R1235" s="67"/>
      <c r="S1235" s="67"/>
      <c r="T1235" s="68"/>
    </row>
    <row r="1236" spans="1:20" ht="15.95" customHeight="1" x14ac:dyDescent="0.2">
      <c r="A1236" s="34" t="s">
        <v>513</v>
      </c>
      <c r="B1236" s="82" t="s">
        <v>318</v>
      </c>
      <c r="C1236" s="82"/>
      <c r="D1236" s="82"/>
      <c r="E1236" s="82"/>
      <c r="F1236" s="82"/>
      <c r="G1236" s="82"/>
      <c r="H1236" s="82"/>
      <c r="I1236" s="82"/>
      <c r="J1236" s="82"/>
      <c r="K1236" s="82"/>
      <c r="L1236" s="82"/>
      <c r="M1236" s="82"/>
      <c r="N1236" s="82"/>
      <c r="O1236" s="82"/>
      <c r="P1236" s="82"/>
      <c r="Q1236" s="82"/>
      <c r="R1236" s="82"/>
      <c r="S1236" s="82"/>
      <c r="T1236" s="82"/>
    </row>
    <row r="1237" spans="1:20" ht="15.95" customHeight="1" x14ac:dyDescent="0.2">
      <c r="A1237" s="35" t="s">
        <v>74</v>
      </c>
      <c r="B1237" s="54" t="s">
        <v>453</v>
      </c>
      <c r="C1237" s="54"/>
      <c r="D1237" s="54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</row>
    <row r="1238" spans="1:20" ht="50.1" customHeight="1" x14ac:dyDescent="0.2">
      <c r="A1238" s="35"/>
      <c r="B1238" s="42" t="s">
        <v>515</v>
      </c>
      <c r="C1238" s="37"/>
      <c r="D1238" s="37"/>
      <c r="E1238" s="37"/>
      <c r="F1238" s="37"/>
      <c r="G1238" s="37"/>
      <c r="H1238" s="38"/>
      <c r="I1238" s="49" t="s">
        <v>23</v>
      </c>
      <c r="J1238" s="49"/>
      <c r="K1238" s="49" t="s">
        <v>11</v>
      </c>
      <c r="L1238" s="49" t="s">
        <v>169</v>
      </c>
      <c r="M1238" s="49" t="s">
        <v>60</v>
      </c>
      <c r="N1238" s="49" t="s">
        <v>60</v>
      </c>
      <c r="O1238" s="49" t="s">
        <v>60</v>
      </c>
      <c r="P1238" s="75" t="s">
        <v>372</v>
      </c>
      <c r="Q1238" s="49" t="s">
        <v>7</v>
      </c>
      <c r="R1238" s="49" t="s">
        <v>381</v>
      </c>
      <c r="S1238" s="49" t="s">
        <v>34</v>
      </c>
      <c r="T1238" s="49" t="s">
        <v>485</v>
      </c>
    </row>
    <row r="1239" spans="1:20" ht="15.95" customHeight="1" x14ac:dyDescent="0.2">
      <c r="A1239" s="35"/>
      <c r="B1239" s="25" t="s">
        <v>5</v>
      </c>
      <c r="C1239" s="6">
        <f t="shared" ref="C1239:H1239" si="527">SUM(C1240:C1243)</f>
        <v>291689.60000000003</v>
      </c>
      <c r="D1239" s="8">
        <f t="shared" si="527"/>
        <v>8677.7000000000007</v>
      </c>
      <c r="E1239" s="8">
        <f t="shared" si="527"/>
        <v>145844.80000000002</v>
      </c>
      <c r="F1239" s="8">
        <f t="shared" si="527"/>
        <v>137167.1</v>
      </c>
      <c r="G1239" s="8">
        <f t="shared" si="527"/>
        <v>0</v>
      </c>
      <c r="H1239" s="8">
        <f t="shared" si="527"/>
        <v>0</v>
      </c>
      <c r="I1239" s="49"/>
      <c r="J1239" s="49"/>
      <c r="K1239" s="49"/>
      <c r="L1239" s="49"/>
      <c r="M1239" s="49"/>
      <c r="N1239" s="49"/>
      <c r="O1239" s="49"/>
      <c r="P1239" s="75"/>
      <c r="Q1239" s="49"/>
      <c r="R1239" s="49"/>
      <c r="S1239" s="49"/>
      <c r="T1239" s="49"/>
    </row>
    <row r="1240" spans="1:20" ht="15.95" customHeight="1" x14ac:dyDescent="0.2">
      <c r="A1240" s="35"/>
      <c r="B1240" s="25" t="s">
        <v>0</v>
      </c>
      <c r="C1240" s="6">
        <f>D1240+E1240+F1240+G1240+H1240</f>
        <v>274334.2</v>
      </c>
      <c r="D1240" s="8">
        <f>137167.1-137167.1</f>
        <v>0</v>
      </c>
      <c r="E1240" s="8">
        <v>137167.1</v>
      </c>
      <c r="F1240" s="8">
        <f>0+137167.1</f>
        <v>137167.1</v>
      </c>
      <c r="G1240" s="8"/>
      <c r="H1240" s="8"/>
      <c r="I1240" s="49"/>
      <c r="J1240" s="49"/>
      <c r="K1240" s="49"/>
      <c r="L1240" s="49"/>
      <c r="M1240" s="49"/>
      <c r="N1240" s="49"/>
      <c r="O1240" s="49"/>
      <c r="P1240" s="75"/>
      <c r="Q1240" s="49"/>
      <c r="R1240" s="49"/>
      <c r="S1240" s="49"/>
      <c r="T1240" s="49"/>
    </row>
    <row r="1241" spans="1:20" ht="15.95" customHeight="1" x14ac:dyDescent="0.2">
      <c r="A1241" s="35"/>
      <c r="B1241" s="25" t="s">
        <v>1</v>
      </c>
      <c r="C1241" s="6">
        <f t="shared" ref="C1241" si="528">D1241+E1241+F1241+G1241+H1241</f>
        <v>2771</v>
      </c>
      <c r="D1241" s="8">
        <v>1385.5</v>
      </c>
      <c r="E1241" s="8">
        <v>1385.5</v>
      </c>
      <c r="F1241" s="8"/>
      <c r="G1241" s="8"/>
      <c r="H1241" s="8"/>
      <c r="I1241" s="49"/>
      <c r="J1241" s="49"/>
      <c r="K1241" s="49"/>
      <c r="L1241" s="49"/>
      <c r="M1241" s="49"/>
      <c r="N1241" s="49"/>
      <c r="O1241" s="49"/>
      <c r="P1241" s="75"/>
      <c r="Q1241" s="49"/>
      <c r="R1241" s="49"/>
      <c r="S1241" s="49"/>
      <c r="T1241" s="49"/>
    </row>
    <row r="1242" spans="1:20" ht="15.95" customHeight="1" x14ac:dyDescent="0.2">
      <c r="A1242" s="35"/>
      <c r="B1242" s="25" t="s">
        <v>2</v>
      </c>
      <c r="C1242" s="6">
        <f>D1242+E1242+F1242+G1242+H1242</f>
        <v>14584.4</v>
      </c>
      <c r="D1242" s="8">
        <v>7292.2</v>
      </c>
      <c r="E1242" s="8">
        <v>7292.2</v>
      </c>
      <c r="F1242" s="8"/>
      <c r="G1242" s="8"/>
      <c r="H1242" s="8"/>
      <c r="I1242" s="49"/>
      <c r="J1242" s="49"/>
      <c r="K1242" s="49"/>
      <c r="L1242" s="49"/>
      <c r="M1242" s="49"/>
      <c r="N1242" s="49"/>
      <c r="O1242" s="49"/>
      <c r="P1242" s="75"/>
      <c r="Q1242" s="49"/>
      <c r="R1242" s="49"/>
      <c r="S1242" s="49"/>
      <c r="T1242" s="49"/>
    </row>
    <row r="1243" spans="1:20" ht="15.95" customHeight="1" x14ac:dyDescent="0.2">
      <c r="A1243" s="36"/>
      <c r="B1243" s="25" t="s">
        <v>3</v>
      </c>
      <c r="C1243" s="6">
        <f t="shared" ref="C1243" si="529">D1243+E1243+F1243+G1243+H1243</f>
        <v>0</v>
      </c>
      <c r="D1243" s="8">
        <v>0</v>
      </c>
      <c r="E1243" s="8">
        <v>0</v>
      </c>
      <c r="F1243" s="8"/>
      <c r="G1243" s="8"/>
      <c r="H1243" s="8"/>
      <c r="I1243" s="49"/>
      <c r="J1243" s="49"/>
      <c r="K1243" s="49"/>
      <c r="L1243" s="49"/>
      <c r="M1243" s="49"/>
      <c r="N1243" s="49"/>
      <c r="O1243" s="49"/>
      <c r="P1243" s="75"/>
      <c r="Q1243" s="49"/>
      <c r="R1243" s="49"/>
      <c r="S1243" s="49"/>
      <c r="T1243" s="49"/>
    </row>
    <row r="1244" spans="1:20" ht="15.95" customHeight="1" x14ac:dyDescent="0.2">
      <c r="A1244" s="34" t="s">
        <v>726</v>
      </c>
      <c r="B1244" s="54" t="s">
        <v>727</v>
      </c>
      <c r="C1244" s="54"/>
      <c r="D1244" s="54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</row>
    <row r="1245" spans="1:20" ht="15.95" customHeight="1" x14ac:dyDescent="0.2">
      <c r="A1245" s="35"/>
      <c r="B1245" s="32" t="s">
        <v>5</v>
      </c>
      <c r="C1245" s="3">
        <f>SUM(D1245:H1245)</f>
        <v>13646.570379999999</v>
      </c>
      <c r="D1245" s="3">
        <f>SUM(D1246:D1249)</f>
        <v>13646.570379999999</v>
      </c>
      <c r="E1245" s="3">
        <f>SUM(E1246:E1249)</f>
        <v>0</v>
      </c>
      <c r="F1245" s="3">
        <f>SUM(F1246:F1249)</f>
        <v>0</v>
      </c>
      <c r="G1245" s="3">
        <f>SUM(G1246:G1249)</f>
        <v>0</v>
      </c>
      <c r="H1245" s="3">
        <f>SUM(H1246:H1249)</f>
        <v>0</v>
      </c>
      <c r="I1245" s="60"/>
      <c r="J1245" s="61"/>
      <c r="K1245" s="61"/>
      <c r="L1245" s="61"/>
      <c r="M1245" s="61"/>
      <c r="N1245" s="61"/>
      <c r="O1245" s="61"/>
      <c r="P1245" s="61"/>
      <c r="Q1245" s="61"/>
      <c r="R1245" s="61"/>
      <c r="S1245" s="61"/>
      <c r="T1245" s="62"/>
    </row>
    <row r="1246" spans="1:20" ht="15.95" customHeight="1" x14ac:dyDescent="0.2">
      <c r="A1246" s="35"/>
      <c r="B1246" s="32" t="s">
        <v>0</v>
      </c>
      <c r="C1246" s="3">
        <f>SUM(D1246:H1246)</f>
        <v>0</v>
      </c>
      <c r="D1246" s="3">
        <f>D1254</f>
        <v>0</v>
      </c>
      <c r="E1246" s="3">
        <f t="shared" ref="E1246:H1246" si="530">E1254</f>
        <v>0</v>
      </c>
      <c r="F1246" s="3">
        <f t="shared" si="530"/>
        <v>0</v>
      </c>
      <c r="G1246" s="3">
        <f t="shared" si="530"/>
        <v>0</v>
      </c>
      <c r="H1246" s="3">
        <f t="shared" si="530"/>
        <v>0</v>
      </c>
      <c r="I1246" s="63"/>
      <c r="J1246" s="64"/>
      <c r="K1246" s="64"/>
      <c r="L1246" s="64"/>
      <c r="M1246" s="64"/>
      <c r="N1246" s="64"/>
      <c r="O1246" s="64"/>
      <c r="P1246" s="64"/>
      <c r="Q1246" s="64"/>
      <c r="R1246" s="64"/>
      <c r="S1246" s="64"/>
      <c r="T1246" s="65"/>
    </row>
    <row r="1247" spans="1:20" ht="15.95" customHeight="1" x14ac:dyDescent="0.2">
      <c r="A1247" s="35"/>
      <c r="B1247" s="32" t="s">
        <v>1</v>
      </c>
      <c r="C1247" s="3">
        <f t="shared" ref="C1247:C1249" si="531">SUM(D1247:H1247)</f>
        <v>13646.570379999999</v>
      </c>
      <c r="D1247" s="3">
        <f t="shared" ref="D1247:H1249" si="532">D1255</f>
        <v>13646.570379999999</v>
      </c>
      <c r="E1247" s="3">
        <f t="shared" si="532"/>
        <v>0</v>
      </c>
      <c r="F1247" s="3">
        <f t="shared" si="532"/>
        <v>0</v>
      </c>
      <c r="G1247" s="3">
        <f t="shared" si="532"/>
        <v>0</v>
      </c>
      <c r="H1247" s="3">
        <f t="shared" si="532"/>
        <v>0</v>
      </c>
      <c r="I1247" s="63"/>
      <c r="J1247" s="64"/>
      <c r="K1247" s="64"/>
      <c r="L1247" s="64"/>
      <c r="M1247" s="64"/>
      <c r="N1247" s="64"/>
      <c r="O1247" s="64"/>
      <c r="P1247" s="64"/>
      <c r="Q1247" s="64"/>
      <c r="R1247" s="64"/>
      <c r="S1247" s="64"/>
      <c r="T1247" s="65"/>
    </row>
    <row r="1248" spans="1:20" ht="15.95" customHeight="1" x14ac:dyDescent="0.2">
      <c r="A1248" s="35"/>
      <c r="B1248" s="32" t="s">
        <v>2</v>
      </c>
      <c r="C1248" s="3">
        <f t="shared" si="531"/>
        <v>0</v>
      </c>
      <c r="D1248" s="3">
        <f t="shared" si="532"/>
        <v>0</v>
      </c>
      <c r="E1248" s="3">
        <f t="shared" si="532"/>
        <v>0</v>
      </c>
      <c r="F1248" s="3">
        <f t="shared" si="532"/>
        <v>0</v>
      </c>
      <c r="G1248" s="3">
        <f t="shared" si="532"/>
        <v>0</v>
      </c>
      <c r="H1248" s="3">
        <f t="shared" si="532"/>
        <v>0</v>
      </c>
      <c r="I1248" s="63"/>
      <c r="J1248" s="64"/>
      <c r="K1248" s="64"/>
      <c r="L1248" s="64"/>
      <c r="M1248" s="64"/>
      <c r="N1248" s="64"/>
      <c r="O1248" s="64"/>
      <c r="P1248" s="64"/>
      <c r="Q1248" s="64"/>
      <c r="R1248" s="64"/>
      <c r="S1248" s="64"/>
      <c r="T1248" s="65"/>
    </row>
    <row r="1249" spans="1:20" ht="15.95" customHeight="1" x14ac:dyDescent="0.2">
      <c r="A1249" s="36"/>
      <c r="B1249" s="32" t="s">
        <v>3</v>
      </c>
      <c r="C1249" s="3">
        <f t="shared" si="531"/>
        <v>0</v>
      </c>
      <c r="D1249" s="3">
        <f t="shared" si="532"/>
        <v>0</v>
      </c>
      <c r="E1249" s="3">
        <f t="shared" si="532"/>
        <v>0</v>
      </c>
      <c r="F1249" s="3">
        <f t="shared" si="532"/>
        <v>0</v>
      </c>
      <c r="G1249" s="3">
        <f t="shared" si="532"/>
        <v>0</v>
      </c>
      <c r="H1249" s="3">
        <f t="shared" si="532"/>
        <v>0</v>
      </c>
      <c r="I1249" s="66"/>
      <c r="J1249" s="67"/>
      <c r="K1249" s="67"/>
      <c r="L1249" s="67"/>
      <c r="M1249" s="67"/>
      <c r="N1249" s="67"/>
      <c r="O1249" s="67"/>
      <c r="P1249" s="67"/>
      <c r="Q1249" s="67"/>
      <c r="R1249" s="67"/>
      <c r="S1249" s="67"/>
      <c r="T1249" s="68"/>
    </row>
    <row r="1250" spans="1:20" ht="15.95" customHeight="1" x14ac:dyDescent="0.2">
      <c r="A1250" s="34" t="s">
        <v>728</v>
      </c>
      <c r="B1250" s="37" t="s">
        <v>55</v>
      </c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  <c r="Q1250" s="37"/>
      <c r="R1250" s="37"/>
      <c r="S1250" s="37"/>
      <c r="T1250" s="38"/>
    </row>
    <row r="1251" spans="1:20" ht="15.95" customHeight="1" x14ac:dyDescent="0.2">
      <c r="A1251" s="35"/>
      <c r="B1251" s="56" t="s">
        <v>729</v>
      </c>
      <c r="C1251" s="54"/>
      <c r="D1251" s="54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</row>
    <row r="1252" spans="1:20" ht="15.95" customHeight="1" x14ac:dyDescent="0.2">
      <c r="A1252" s="35"/>
      <c r="B1252" s="58" t="s">
        <v>730</v>
      </c>
      <c r="C1252" s="58"/>
      <c r="D1252" s="58"/>
      <c r="E1252" s="58"/>
      <c r="F1252" s="58"/>
      <c r="G1252" s="58"/>
      <c r="H1252" s="59"/>
      <c r="I1252" s="43">
        <v>2021</v>
      </c>
      <c r="J1252" s="43"/>
      <c r="K1252" s="43" t="s">
        <v>47</v>
      </c>
      <c r="L1252" s="43" t="s">
        <v>731</v>
      </c>
      <c r="M1252" s="43" t="s">
        <v>732</v>
      </c>
      <c r="N1252" s="43" t="s">
        <v>58</v>
      </c>
      <c r="O1252" s="43" t="s">
        <v>58</v>
      </c>
      <c r="P1252" s="46"/>
      <c r="Q1252" s="43" t="s">
        <v>7</v>
      </c>
      <c r="R1252" s="43" t="s">
        <v>732</v>
      </c>
      <c r="S1252" s="43" t="s">
        <v>35</v>
      </c>
      <c r="T1252" s="49" t="s">
        <v>733</v>
      </c>
    </row>
    <row r="1253" spans="1:20" ht="15.95" customHeight="1" x14ac:dyDescent="0.2">
      <c r="A1253" s="35"/>
      <c r="B1253" s="31" t="s">
        <v>5</v>
      </c>
      <c r="C1253" s="6">
        <f>SUM(D1253:H1253)</f>
        <v>13646.570379999999</v>
      </c>
      <c r="D1253" s="8">
        <f>SUM(D1254:D1257)</f>
        <v>13646.570379999999</v>
      </c>
      <c r="E1253" s="8">
        <f t="shared" ref="E1253:H1253" si="533">SUM(E1254:E1257)</f>
        <v>0</v>
      </c>
      <c r="F1253" s="8">
        <f t="shared" si="533"/>
        <v>0</v>
      </c>
      <c r="G1253" s="8">
        <f t="shared" si="533"/>
        <v>0</v>
      </c>
      <c r="H1253" s="8">
        <f t="shared" si="533"/>
        <v>0</v>
      </c>
      <c r="I1253" s="44"/>
      <c r="J1253" s="44"/>
      <c r="K1253" s="44"/>
      <c r="L1253" s="44"/>
      <c r="M1253" s="44"/>
      <c r="N1253" s="44"/>
      <c r="O1253" s="44"/>
      <c r="P1253" s="47"/>
      <c r="Q1253" s="44"/>
      <c r="R1253" s="44"/>
      <c r="S1253" s="44"/>
      <c r="T1253" s="49"/>
    </row>
    <row r="1254" spans="1:20" ht="15.95" customHeight="1" x14ac:dyDescent="0.2">
      <c r="A1254" s="35"/>
      <c r="B1254" s="31" t="s">
        <v>0</v>
      </c>
      <c r="C1254" s="6">
        <f>SUM(D1254:H1254)</f>
        <v>0</v>
      </c>
      <c r="D1254" s="8"/>
      <c r="E1254" s="8"/>
      <c r="F1254" s="8"/>
      <c r="G1254" s="8"/>
      <c r="H1254" s="8"/>
      <c r="I1254" s="44"/>
      <c r="J1254" s="44"/>
      <c r="K1254" s="44"/>
      <c r="L1254" s="44"/>
      <c r="M1254" s="44"/>
      <c r="N1254" s="44"/>
      <c r="O1254" s="44"/>
      <c r="P1254" s="47"/>
      <c r="Q1254" s="44"/>
      <c r="R1254" s="44"/>
      <c r="S1254" s="44"/>
      <c r="T1254" s="49"/>
    </row>
    <row r="1255" spans="1:20" ht="15.95" customHeight="1" x14ac:dyDescent="0.2">
      <c r="A1255" s="35"/>
      <c r="B1255" s="31" t="s">
        <v>1</v>
      </c>
      <c r="C1255" s="6">
        <f t="shared" ref="C1255:C1257" si="534">SUM(D1255:H1255)</f>
        <v>13646.570379999999</v>
      </c>
      <c r="D1255" s="8">
        <f>0+13646.57038</f>
        <v>13646.570379999999</v>
      </c>
      <c r="E1255" s="8"/>
      <c r="F1255" s="8"/>
      <c r="G1255" s="8"/>
      <c r="H1255" s="8"/>
      <c r="I1255" s="44"/>
      <c r="J1255" s="44"/>
      <c r="K1255" s="44"/>
      <c r="L1255" s="44"/>
      <c r="M1255" s="44"/>
      <c r="N1255" s="44"/>
      <c r="O1255" s="44"/>
      <c r="P1255" s="47"/>
      <c r="Q1255" s="44"/>
      <c r="R1255" s="44"/>
      <c r="S1255" s="44"/>
      <c r="T1255" s="49"/>
    </row>
    <row r="1256" spans="1:20" ht="15.95" customHeight="1" x14ac:dyDescent="0.2">
      <c r="A1256" s="35"/>
      <c r="B1256" s="31" t="s">
        <v>2</v>
      </c>
      <c r="C1256" s="6">
        <f t="shared" si="534"/>
        <v>0</v>
      </c>
      <c r="D1256" s="8"/>
      <c r="E1256" s="8"/>
      <c r="F1256" s="8"/>
      <c r="G1256" s="8"/>
      <c r="H1256" s="8"/>
      <c r="I1256" s="44"/>
      <c r="J1256" s="44"/>
      <c r="K1256" s="44"/>
      <c r="L1256" s="44"/>
      <c r="M1256" s="44"/>
      <c r="N1256" s="44"/>
      <c r="O1256" s="44"/>
      <c r="P1256" s="47"/>
      <c r="Q1256" s="44"/>
      <c r="R1256" s="44"/>
      <c r="S1256" s="44"/>
      <c r="T1256" s="49"/>
    </row>
    <row r="1257" spans="1:20" ht="15.95" customHeight="1" x14ac:dyDescent="0.2">
      <c r="A1257" s="36"/>
      <c r="B1257" s="31" t="s">
        <v>3</v>
      </c>
      <c r="C1257" s="6">
        <f t="shared" si="534"/>
        <v>0</v>
      </c>
      <c r="D1257" s="8"/>
      <c r="E1257" s="8"/>
      <c r="F1257" s="8"/>
      <c r="G1257" s="8"/>
      <c r="H1257" s="8"/>
      <c r="I1257" s="45"/>
      <c r="J1257" s="45"/>
      <c r="K1257" s="45"/>
      <c r="L1257" s="45"/>
      <c r="M1257" s="45"/>
      <c r="N1257" s="45"/>
      <c r="O1257" s="45"/>
      <c r="P1257" s="48"/>
      <c r="Q1257" s="45"/>
      <c r="R1257" s="45"/>
      <c r="S1257" s="45"/>
      <c r="T1257" s="49"/>
    </row>
    <row r="1258" spans="1:20" ht="15.95" customHeight="1" x14ac:dyDescent="0.2">
      <c r="A1258" s="82"/>
      <c r="B1258" s="82"/>
      <c r="C1258" s="82"/>
      <c r="D1258" s="82"/>
      <c r="E1258" s="82"/>
      <c r="F1258" s="82"/>
      <c r="G1258" s="82"/>
      <c r="H1258" s="82"/>
      <c r="I1258" s="82"/>
      <c r="J1258" s="82"/>
      <c r="K1258" s="82"/>
      <c r="L1258" s="82"/>
      <c r="M1258" s="82"/>
      <c r="N1258" s="82"/>
      <c r="O1258" s="82"/>
      <c r="P1258" s="82"/>
      <c r="Q1258" s="82"/>
      <c r="R1258" s="82"/>
      <c r="S1258" s="82"/>
      <c r="T1258" s="82"/>
    </row>
    <row r="1259" spans="1:20" ht="15.95" customHeight="1" x14ac:dyDescent="0.2">
      <c r="A1259" s="83" t="s">
        <v>5</v>
      </c>
      <c r="B1259" s="83"/>
      <c r="C1259" s="3">
        <f>SUM(C1260:C1265)</f>
        <v>35695441.851871744</v>
      </c>
      <c r="D1259" s="3">
        <f>SUM(D1260:D1265)</f>
        <v>10420133.819078919</v>
      </c>
      <c r="E1259" s="3">
        <f t="shared" ref="E1259:H1259" si="535">SUM(E1260:E1265)</f>
        <v>4915562.0652934294</v>
      </c>
      <c r="F1259" s="3">
        <f t="shared" si="535"/>
        <v>8281618.0254993038</v>
      </c>
      <c r="G1259" s="3">
        <f t="shared" si="535"/>
        <v>7632701.8572675474</v>
      </c>
      <c r="H1259" s="3">
        <f t="shared" si="535"/>
        <v>4445426.0847325493</v>
      </c>
      <c r="I1259" s="60"/>
      <c r="J1259" s="61"/>
      <c r="K1259" s="61"/>
      <c r="L1259" s="61"/>
      <c r="M1259" s="61"/>
      <c r="N1259" s="61"/>
      <c r="O1259" s="61"/>
      <c r="P1259" s="61"/>
      <c r="Q1259" s="61"/>
      <c r="R1259" s="61"/>
      <c r="S1259" s="61"/>
      <c r="T1259" s="62"/>
    </row>
    <row r="1260" spans="1:20" ht="15.95" customHeight="1" x14ac:dyDescent="0.2">
      <c r="A1260" s="83" t="s">
        <v>0</v>
      </c>
      <c r="B1260" s="83"/>
      <c r="C1260" s="3">
        <f>SUM(D1260:H1260)</f>
        <v>18330350.07449</v>
      </c>
      <c r="D1260" s="3">
        <f>D11+D249+D351+D381+D419+D457+D479+D779+D923+D1121+D1135+D1165+D1195+D1217+D1232+D1246</f>
        <v>6318792.8427900001</v>
      </c>
      <c r="E1260" s="3">
        <f t="shared" ref="E1260:H1260" si="536">E11+E249+E351+E381+E419+E457+E479+E779+E923+E1121+E1135+E1165+E1195+E1217+E1232+E1246</f>
        <v>2821997.4698799998</v>
      </c>
      <c r="F1260" s="3">
        <f t="shared" si="536"/>
        <v>5668647.4259599997</v>
      </c>
      <c r="G1260" s="3">
        <f t="shared" si="536"/>
        <v>2511105.7087100004</v>
      </c>
      <c r="H1260" s="3">
        <f t="shared" si="536"/>
        <v>1009806.62715</v>
      </c>
      <c r="I1260" s="63"/>
      <c r="J1260" s="64"/>
      <c r="K1260" s="64"/>
      <c r="L1260" s="64"/>
      <c r="M1260" s="64"/>
      <c r="N1260" s="64"/>
      <c r="O1260" s="64"/>
      <c r="P1260" s="64"/>
      <c r="Q1260" s="64"/>
      <c r="R1260" s="64"/>
      <c r="S1260" s="64"/>
      <c r="T1260" s="65"/>
    </row>
    <row r="1261" spans="1:20" ht="15.95" customHeight="1" x14ac:dyDescent="0.2">
      <c r="A1261" s="83" t="s">
        <v>1</v>
      </c>
      <c r="B1261" s="83"/>
      <c r="C1261" s="3">
        <f t="shared" ref="C1261:C1265" si="537">SUM(D1261:H1261)</f>
        <v>10081350.9932632</v>
      </c>
      <c r="D1261" s="3">
        <f t="shared" ref="D1261:H1263" si="538">D12+D250+D352+D382+D420+D458+D480+D780+D924+D1122+D1136+D1166+D1196+D1218+D1233+D1247</f>
        <v>3171334.2174200001</v>
      </c>
      <c r="E1261" s="3">
        <f t="shared" si="538"/>
        <v>2049673.5844680001</v>
      </c>
      <c r="F1261" s="3">
        <f t="shared" si="538"/>
        <v>2605453.6055499995</v>
      </c>
      <c r="G1261" s="3">
        <f t="shared" si="538"/>
        <v>1542204.66518</v>
      </c>
      <c r="H1261" s="3">
        <f t="shared" si="538"/>
        <v>712684.92064519995</v>
      </c>
      <c r="I1261" s="63"/>
      <c r="J1261" s="64"/>
      <c r="K1261" s="64"/>
      <c r="L1261" s="64"/>
      <c r="M1261" s="64"/>
      <c r="N1261" s="64"/>
      <c r="O1261" s="64"/>
      <c r="P1261" s="64"/>
      <c r="Q1261" s="64"/>
      <c r="R1261" s="64"/>
      <c r="S1261" s="64"/>
      <c r="T1261" s="65"/>
    </row>
    <row r="1262" spans="1:20" ht="15.95" customHeight="1" x14ac:dyDescent="0.2">
      <c r="A1262" s="83" t="s">
        <v>2</v>
      </c>
      <c r="B1262" s="83"/>
      <c r="C1262" s="3">
        <f>SUM(D1262:H1262)</f>
        <v>147094.81221854911</v>
      </c>
      <c r="D1262" s="3">
        <f t="shared" si="538"/>
        <v>84005.666968917736</v>
      </c>
      <c r="E1262" s="3">
        <f t="shared" si="538"/>
        <v>43891.01094543012</v>
      </c>
      <c r="F1262" s="3">
        <f t="shared" si="538"/>
        <v>7516.9939893043229</v>
      </c>
      <c r="G1262" s="3">
        <f t="shared" si="538"/>
        <v>6692.6033775469305</v>
      </c>
      <c r="H1262" s="3">
        <f t="shared" si="538"/>
        <v>4988.536937349998</v>
      </c>
      <c r="I1262" s="63"/>
      <c r="J1262" s="64"/>
      <c r="K1262" s="64"/>
      <c r="L1262" s="64"/>
      <c r="M1262" s="64"/>
      <c r="N1262" s="64"/>
      <c r="O1262" s="64"/>
      <c r="P1262" s="64"/>
      <c r="Q1262" s="64"/>
      <c r="R1262" s="64"/>
      <c r="S1262" s="64"/>
      <c r="T1262" s="65"/>
    </row>
    <row r="1263" spans="1:20" ht="15.95" customHeight="1" x14ac:dyDescent="0.2">
      <c r="A1263" s="83" t="s">
        <v>3</v>
      </c>
      <c r="B1263" s="83"/>
      <c r="C1263" s="3">
        <f t="shared" si="537"/>
        <v>6238247.1860000007</v>
      </c>
      <c r="D1263" s="3">
        <f t="shared" si="538"/>
        <v>68394.186000000002</v>
      </c>
      <c r="E1263" s="3">
        <f t="shared" si="538"/>
        <v>0</v>
      </c>
      <c r="F1263" s="3">
        <f t="shared" si="538"/>
        <v>0</v>
      </c>
      <c r="G1263" s="3">
        <f t="shared" si="538"/>
        <v>3451907</v>
      </c>
      <c r="H1263" s="3">
        <f t="shared" si="538"/>
        <v>2717946</v>
      </c>
      <c r="I1263" s="63"/>
      <c r="J1263" s="64"/>
      <c r="K1263" s="64"/>
      <c r="L1263" s="64"/>
      <c r="M1263" s="64"/>
      <c r="N1263" s="64"/>
      <c r="O1263" s="64"/>
      <c r="P1263" s="64"/>
      <c r="Q1263" s="64"/>
      <c r="R1263" s="64"/>
      <c r="S1263" s="64"/>
      <c r="T1263" s="65"/>
    </row>
    <row r="1264" spans="1:20" ht="39.950000000000003" customHeight="1" x14ac:dyDescent="0.2">
      <c r="A1264" s="83" t="s">
        <v>230</v>
      </c>
      <c r="B1264" s="83"/>
      <c r="C1264" s="3">
        <f>SUM(D1264:H1264)</f>
        <v>898398.7858999999</v>
      </c>
      <c r="D1264" s="3">
        <f>D483+D783</f>
        <v>777606.9058999999</v>
      </c>
      <c r="E1264" s="3">
        <f>E483+E783</f>
        <v>0</v>
      </c>
      <c r="F1264" s="3">
        <f>F483+F783</f>
        <v>0</v>
      </c>
      <c r="G1264" s="3">
        <f>G483+G783</f>
        <v>120791.88</v>
      </c>
      <c r="H1264" s="3">
        <f>H483+H783</f>
        <v>0</v>
      </c>
      <c r="I1264" s="63"/>
      <c r="J1264" s="64"/>
      <c r="K1264" s="64"/>
      <c r="L1264" s="64"/>
      <c r="M1264" s="64"/>
      <c r="N1264" s="64"/>
      <c r="O1264" s="64"/>
      <c r="P1264" s="64"/>
      <c r="Q1264" s="64"/>
      <c r="R1264" s="64"/>
      <c r="S1264" s="64"/>
      <c r="T1264" s="65"/>
    </row>
    <row r="1265" spans="1:20" ht="39.950000000000003" customHeight="1" x14ac:dyDescent="0.2">
      <c r="A1265" s="83" t="s">
        <v>312</v>
      </c>
      <c r="B1265" s="83"/>
      <c r="C1265" s="3">
        <f t="shared" si="537"/>
        <v>0</v>
      </c>
      <c r="D1265" s="3">
        <f>D1221</f>
        <v>0</v>
      </c>
      <c r="E1265" s="3">
        <f>E1221</f>
        <v>0</v>
      </c>
      <c r="F1265" s="3">
        <f>F1221</f>
        <v>0</v>
      </c>
      <c r="G1265" s="3">
        <f>G1221</f>
        <v>0</v>
      </c>
      <c r="H1265" s="3">
        <f>H1221</f>
        <v>0</v>
      </c>
      <c r="I1265" s="66"/>
      <c r="J1265" s="67"/>
      <c r="K1265" s="67"/>
      <c r="L1265" s="67"/>
      <c r="M1265" s="67"/>
      <c r="N1265" s="67"/>
      <c r="O1265" s="67"/>
      <c r="P1265" s="67"/>
      <c r="Q1265" s="67"/>
      <c r="R1265" s="67"/>
      <c r="S1265" s="67"/>
      <c r="T1265" s="68"/>
    </row>
    <row r="1266" spans="1:20" s="27" customFormat="1" ht="26.25" x14ac:dyDescent="0.4">
      <c r="A1266" s="50" t="s">
        <v>702</v>
      </c>
      <c r="B1266" s="50"/>
      <c r="C1266" s="50"/>
      <c r="D1266" s="50"/>
      <c r="E1266" s="50"/>
      <c r="F1266" s="50"/>
      <c r="G1266" s="50"/>
      <c r="H1266" s="50"/>
      <c r="I1266" s="50"/>
      <c r="J1266" s="50"/>
      <c r="K1266" s="50"/>
      <c r="L1266" s="50"/>
      <c r="M1266" s="50"/>
      <c r="N1266" s="50"/>
      <c r="O1266" s="50"/>
      <c r="P1266" s="50"/>
      <c r="Q1266" s="50"/>
      <c r="R1266" s="50"/>
      <c r="S1266" s="50"/>
      <c r="T1266" s="50"/>
    </row>
    <row r="1267" spans="1:20" ht="26.25" x14ac:dyDescent="0.4">
      <c r="D1267" s="18"/>
    </row>
    <row r="1268" spans="1:20" ht="13.5" x14ac:dyDescent="0.2">
      <c r="D1268" s="7"/>
      <c r="E1268" s="19"/>
      <c r="F1268" s="19"/>
    </row>
    <row r="1269" spans="1:20" ht="26.25" x14ac:dyDescent="0.4">
      <c r="D1269" s="20"/>
    </row>
    <row r="1270" spans="1:20" ht="26.25" x14ac:dyDescent="0.4">
      <c r="D1270" s="20"/>
    </row>
  </sheetData>
  <mergeCells count="2336">
    <mergeCell ref="A1244:A1249"/>
    <mergeCell ref="B1244:T1244"/>
    <mergeCell ref="I1245:T1249"/>
    <mergeCell ref="A1250:A1257"/>
    <mergeCell ref="B1250:T1250"/>
    <mergeCell ref="B1251:T1251"/>
    <mergeCell ref="B1252:H1252"/>
    <mergeCell ref="I1252:I1257"/>
    <mergeCell ref="J1252:J1257"/>
    <mergeCell ref="K1252:K1257"/>
    <mergeCell ref="L1252:L1257"/>
    <mergeCell ref="M1252:M1257"/>
    <mergeCell ref="N1252:N1257"/>
    <mergeCell ref="O1252:O1257"/>
    <mergeCell ref="P1252:P1257"/>
    <mergeCell ref="Q1252:Q1257"/>
    <mergeCell ref="R1252:R1257"/>
    <mergeCell ref="S1252:S1257"/>
    <mergeCell ref="T1252:T1257"/>
    <mergeCell ref="A325:A332"/>
    <mergeCell ref="B325:T325"/>
    <mergeCell ref="B326:T326"/>
    <mergeCell ref="B327:H327"/>
    <mergeCell ref="I327:I332"/>
    <mergeCell ref="J327:J332"/>
    <mergeCell ref="K327:K332"/>
    <mergeCell ref="L327:L332"/>
    <mergeCell ref="M327:M332"/>
    <mergeCell ref="N327:N332"/>
    <mergeCell ref="O327:O332"/>
    <mergeCell ref="P327:P332"/>
    <mergeCell ref="Q327:Q332"/>
    <mergeCell ref="R327:R332"/>
    <mergeCell ref="S327:S332"/>
    <mergeCell ref="T327:T332"/>
    <mergeCell ref="A333:A340"/>
    <mergeCell ref="B333:T333"/>
    <mergeCell ref="B334:T334"/>
    <mergeCell ref="B335:H335"/>
    <mergeCell ref="I335:I340"/>
    <mergeCell ref="J335:J340"/>
    <mergeCell ref="K335:K340"/>
    <mergeCell ref="L335:L340"/>
    <mergeCell ref="M335:M340"/>
    <mergeCell ref="N335:N340"/>
    <mergeCell ref="O335:O340"/>
    <mergeCell ref="P335:P340"/>
    <mergeCell ref="Q335:Q340"/>
    <mergeCell ref="R335:R340"/>
    <mergeCell ref="S335:S340"/>
    <mergeCell ref="T335:T340"/>
    <mergeCell ref="K373:K378"/>
    <mergeCell ref="L373:L378"/>
    <mergeCell ref="M373:M378"/>
    <mergeCell ref="N373:N378"/>
    <mergeCell ref="O373:O378"/>
    <mergeCell ref="P373:P378"/>
    <mergeCell ref="Q373:Q378"/>
    <mergeCell ref="R373:R378"/>
    <mergeCell ref="S373:S378"/>
    <mergeCell ref="T373:T378"/>
    <mergeCell ref="P3:T3"/>
    <mergeCell ref="B648:T648"/>
    <mergeCell ref="B649:T649"/>
    <mergeCell ref="B650:H650"/>
    <mergeCell ref="I650:I656"/>
    <mergeCell ref="J650:J656"/>
    <mergeCell ref="K650:K656"/>
    <mergeCell ref="L650:L656"/>
    <mergeCell ref="M650:M656"/>
    <mergeCell ref="N650:N656"/>
    <mergeCell ref="O650:O656"/>
    <mergeCell ref="P650:P656"/>
    <mergeCell ref="Q650:Q656"/>
    <mergeCell ref="R650:R656"/>
    <mergeCell ref="S650:S656"/>
    <mergeCell ref="T650:T656"/>
    <mergeCell ref="S632:S638"/>
    <mergeCell ref="T632:T638"/>
    <mergeCell ref="B621:T621"/>
    <mergeCell ref="B622:T622"/>
    <mergeCell ref="B623:H623"/>
    <mergeCell ref="I623:I629"/>
    <mergeCell ref="L632:L638"/>
    <mergeCell ref="M632:M638"/>
    <mergeCell ref="N632:N638"/>
    <mergeCell ref="O632:O638"/>
    <mergeCell ref="P632:P638"/>
    <mergeCell ref="Q632:Q638"/>
    <mergeCell ref="R632:R638"/>
    <mergeCell ref="B639:T639"/>
    <mergeCell ref="B640:T640"/>
    <mergeCell ref="B641:H641"/>
    <mergeCell ref="I641:I647"/>
    <mergeCell ref="J641:J647"/>
    <mergeCell ref="K641:K647"/>
    <mergeCell ref="L641:L647"/>
    <mergeCell ref="M641:M647"/>
    <mergeCell ref="N641:N647"/>
    <mergeCell ref="O641:O647"/>
    <mergeCell ref="P641:P647"/>
    <mergeCell ref="Q641:Q647"/>
    <mergeCell ref="R641:R647"/>
    <mergeCell ref="S641:S647"/>
    <mergeCell ref="T641:T647"/>
    <mergeCell ref="A549:A557"/>
    <mergeCell ref="A558:A566"/>
    <mergeCell ref="A567:A575"/>
    <mergeCell ref="A576:A584"/>
    <mergeCell ref="A585:A593"/>
    <mergeCell ref="A594:A602"/>
    <mergeCell ref="B612:T612"/>
    <mergeCell ref="B613:T613"/>
    <mergeCell ref="B614:H614"/>
    <mergeCell ref="I614:I620"/>
    <mergeCell ref="J614:J620"/>
    <mergeCell ref="K614:K620"/>
    <mergeCell ref="L614:L620"/>
    <mergeCell ref="M614:M620"/>
    <mergeCell ref="N614:N620"/>
    <mergeCell ref="O614:O620"/>
    <mergeCell ref="P614:P620"/>
    <mergeCell ref="Q614:Q620"/>
    <mergeCell ref="B596:H596"/>
    <mergeCell ref="A603:A611"/>
    <mergeCell ref="A612:A620"/>
    <mergeCell ref="N569:N575"/>
    <mergeCell ref="O569:O575"/>
    <mergeCell ref="P569:P575"/>
    <mergeCell ref="Q569:Q575"/>
    <mergeCell ref="R569:R575"/>
    <mergeCell ref="S569:S575"/>
    <mergeCell ref="T569:T575"/>
    <mergeCell ref="B576:T576"/>
    <mergeCell ref="B577:T577"/>
    <mergeCell ref="N578:N584"/>
    <mergeCell ref="O578:O584"/>
    <mergeCell ref="P578:P584"/>
    <mergeCell ref="Q578:Q584"/>
    <mergeCell ref="M587:M593"/>
    <mergeCell ref="N587:N593"/>
    <mergeCell ref="O587:O593"/>
    <mergeCell ref="J623:J629"/>
    <mergeCell ref="K623:K629"/>
    <mergeCell ref="L623:L629"/>
    <mergeCell ref="M623:M629"/>
    <mergeCell ref="N623:N629"/>
    <mergeCell ref="O623:O629"/>
    <mergeCell ref="P623:P629"/>
    <mergeCell ref="Q623:Q629"/>
    <mergeCell ref="R623:R629"/>
    <mergeCell ref="S623:S629"/>
    <mergeCell ref="T623:T629"/>
    <mergeCell ref="L605:L611"/>
    <mergeCell ref="M605:M611"/>
    <mergeCell ref="N605:N611"/>
    <mergeCell ref="N659:N664"/>
    <mergeCell ref="B713:T713"/>
    <mergeCell ref="B714:T714"/>
    <mergeCell ref="I715:I720"/>
    <mergeCell ref="T667:T672"/>
    <mergeCell ref="I596:I602"/>
    <mergeCell ref="J596:J602"/>
    <mergeCell ref="K596:K602"/>
    <mergeCell ref="L596:L602"/>
    <mergeCell ref="M596:M602"/>
    <mergeCell ref="N596:N602"/>
    <mergeCell ref="O596:O602"/>
    <mergeCell ref="P596:P602"/>
    <mergeCell ref="Q596:Q602"/>
    <mergeCell ref="I587:I593"/>
    <mergeCell ref="R614:R620"/>
    <mergeCell ref="S614:S620"/>
    <mergeCell ref="T614:T620"/>
    <mergeCell ref="B605:H605"/>
    <mergeCell ref="I605:I611"/>
    <mergeCell ref="J605:J611"/>
    <mergeCell ref="K605:K611"/>
    <mergeCell ref="R596:R602"/>
    <mergeCell ref="S596:S602"/>
    <mergeCell ref="T596:T602"/>
    <mergeCell ref="S605:S611"/>
    <mergeCell ref="T605:T611"/>
    <mergeCell ref="B603:T603"/>
    <mergeCell ref="B604:T604"/>
    <mergeCell ref="I632:I638"/>
    <mergeCell ref="J632:J638"/>
    <mergeCell ref="K632:K638"/>
    <mergeCell ref="P1141:P1146"/>
    <mergeCell ref="Q1141:Q1146"/>
    <mergeCell ref="R1141:R1146"/>
    <mergeCell ref="S1141:S1146"/>
    <mergeCell ref="T1141:T1146"/>
    <mergeCell ref="B842:H842"/>
    <mergeCell ref="B977:H977"/>
    <mergeCell ref="B985:H985"/>
    <mergeCell ref="J890:J895"/>
    <mergeCell ref="O945:O950"/>
    <mergeCell ref="N945:N950"/>
    <mergeCell ref="P786:P791"/>
    <mergeCell ref="B1141:H1141"/>
    <mergeCell ref="B1017:H1017"/>
    <mergeCell ref="B1025:H1025"/>
    <mergeCell ref="I1141:I1146"/>
    <mergeCell ref="J1141:J1146"/>
    <mergeCell ref="K1141:K1146"/>
    <mergeCell ref="B890:H890"/>
    <mergeCell ref="Q826:Q831"/>
    <mergeCell ref="I818:I823"/>
    <mergeCell ref="N850:N855"/>
    <mergeCell ref="O850:O855"/>
    <mergeCell ref="P850:P855"/>
    <mergeCell ref="B904:T904"/>
    <mergeCell ref="I850:I855"/>
    <mergeCell ref="J850:J855"/>
    <mergeCell ref="J818:J823"/>
    <mergeCell ref="P818:P823"/>
    <mergeCell ref="Q818:Q823"/>
    <mergeCell ref="R818:R823"/>
    <mergeCell ref="I906:I912"/>
    <mergeCell ref="P747:P752"/>
    <mergeCell ref="Q747:Q752"/>
    <mergeCell ref="R747:R752"/>
    <mergeCell ref="S747:S752"/>
    <mergeCell ref="T747:T752"/>
    <mergeCell ref="O605:O611"/>
    <mergeCell ref="P605:P611"/>
    <mergeCell ref="Q605:Q611"/>
    <mergeCell ref="R605:R611"/>
    <mergeCell ref="K739:K744"/>
    <mergeCell ref="B697:T697"/>
    <mergeCell ref="B698:T698"/>
    <mergeCell ref="I699:I704"/>
    <mergeCell ref="J699:J704"/>
    <mergeCell ref="B630:T630"/>
    <mergeCell ref="B631:T631"/>
    <mergeCell ref="A621:A629"/>
    <mergeCell ref="A630:A638"/>
    <mergeCell ref="A639:A647"/>
    <mergeCell ref="A648:A656"/>
    <mergeCell ref="B632:H632"/>
    <mergeCell ref="L739:L744"/>
    <mergeCell ref="M739:M744"/>
    <mergeCell ref="N739:N744"/>
    <mergeCell ref="O739:O744"/>
    <mergeCell ref="P739:P744"/>
    <mergeCell ref="Q739:Q744"/>
    <mergeCell ref="R739:R744"/>
    <mergeCell ref="S739:S744"/>
    <mergeCell ref="T739:T744"/>
    <mergeCell ref="N675:N680"/>
    <mergeCell ref="M659:M664"/>
    <mergeCell ref="K810:K815"/>
    <mergeCell ref="B833:T833"/>
    <mergeCell ref="I826:I831"/>
    <mergeCell ref="J826:J831"/>
    <mergeCell ref="K826:K831"/>
    <mergeCell ref="L826:L831"/>
    <mergeCell ref="S826:S831"/>
    <mergeCell ref="O786:O791"/>
    <mergeCell ref="O551:O557"/>
    <mergeCell ref="R578:R584"/>
    <mergeCell ref="S578:S584"/>
    <mergeCell ref="T578:T584"/>
    <mergeCell ref="N755:N760"/>
    <mergeCell ref="O755:O760"/>
    <mergeCell ref="P755:P760"/>
    <mergeCell ref="Q755:Q760"/>
    <mergeCell ref="R755:R760"/>
    <mergeCell ref="S755:S760"/>
    <mergeCell ref="B595:T595"/>
    <mergeCell ref="B578:H578"/>
    <mergeCell ref="I578:I584"/>
    <mergeCell ref="J578:J584"/>
    <mergeCell ref="K578:K584"/>
    <mergeCell ref="L578:L584"/>
    <mergeCell ref="M578:M584"/>
    <mergeCell ref="B585:T585"/>
    <mergeCell ref="B586:T586"/>
    <mergeCell ref="B587:H587"/>
    <mergeCell ref="B745:T745"/>
    <mergeCell ref="B746:T746"/>
    <mergeCell ref="B747:H747"/>
    <mergeCell ref="I747:I752"/>
    <mergeCell ref="Q1149:Q1154"/>
    <mergeCell ref="R1149:R1154"/>
    <mergeCell ref="S1149:S1154"/>
    <mergeCell ref="T1149:T1154"/>
    <mergeCell ref="B1155:T1155"/>
    <mergeCell ref="B1157:H1157"/>
    <mergeCell ref="I1157:I1162"/>
    <mergeCell ref="J1157:J1162"/>
    <mergeCell ref="K1157:K1162"/>
    <mergeCell ref="L1157:L1162"/>
    <mergeCell ref="M1157:M1162"/>
    <mergeCell ref="B1156:T1156"/>
    <mergeCell ref="A1147:A1154"/>
    <mergeCell ref="B915:H915"/>
    <mergeCell ref="I915:I920"/>
    <mergeCell ref="J915:J920"/>
    <mergeCell ref="K915:K920"/>
    <mergeCell ref="L915:L920"/>
    <mergeCell ref="M915:M920"/>
    <mergeCell ref="N915:N920"/>
    <mergeCell ref="O915:O920"/>
    <mergeCell ref="P915:P920"/>
    <mergeCell ref="Q915:Q920"/>
    <mergeCell ref="R915:R920"/>
    <mergeCell ref="S915:S920"/>
    <mergeCell ref="T915:T920"/>
    <mergeCell ref="A913:A920"/>
    <mergeCell ref="A1139:A1146"/>
    <mergeCell ref="L1141:L1146"/>
    <mergeCell ref="M1141:M1146"/>
    <mergeCell ref="N1141:N1146"/>
    <mergeCell ref="O1141:O1146"/>
    <mergeCell ref="R319:R324"/>
    <mergeCell ref="S319:S324"/>
    <mergeCell ref="T319:T324"/>
    <mergeCell ref="A729:A736"/>
    <mergeCell ref="B729:T729"/>
    <mergeCell ref="B730:T730"/>
    <mergeCell ref="B558:T558"/>
    <mergeCell ref="B559:T559"/>
    <mergeCell ref="B560:H560"/>
    <mergeCell ref="P560:P566"/>
    <mergeCell ref="A737:A744"/>
    <mergeCell ref="B737:T737"/>
    <mergeCell ref="B738:T738"/>
    <mergeCell ref="B739:H739"/>
    <mergeCell ref="I739:I744"/>
    <mergeCell ref="J739:J744"/>
    <mergeCell ref="I551:I557"/>
    <mergeCell ref="I560:I566"/>
    <mergeCell ref="J560:J566"/>
    <mergeCell ref="K560:K566"/>
    <mergeCell ref="L560:L566"/>
    <mergeCell ref="M560:M566"/>
    <mergeCell ref="N560:N566"/>
    <mergeCell ref="O560:O566"/>
    <mergeCell ref="P587:P593"/>
    <mergeCell ref="Q587:Q593"/>
    <mergeCell ref="R587:R593"/>
    <mergeCell ref="S587:S593"/>
    <mergeCell ref="T587:T593"/>
    <mergeCell ref="J587:J593"/>
    <mergeCell ref="K587:K593"/>
    <mergeCell ref="L587:L593"/>
    <mergeCell ref="A1230:A1235"/>
    <mergeCell ref="B1230:T1230"/>
    <mergeCell ref="I1231:T1235"/>
    <mergeCell ref="A1236:A1243"/>
    <mergeCell ref="B1236:T1236"/>
    <mergeCell ref="B1237:T1237"/>
    <mergeCell ref="B1238:H1238"/>
    <mergeCell ref="I1238:I1243"/>
    <mergeCell ref="J1238:J1243"/>
    <mergeCell ref="K1238:K1243"/>
    <mergeCell ref="L1238:L1243"/>
    <mergeCell ref="M1238:M1243"/>
    <mergeCell ref="N1238:N1243"/>
    <mergeCell ref="O1238:O1243"/>
    <mergeCell ref="B898:H898"/>
    <mergeCell ref="B906:H906"/>
    <mergeCell ref="A1155:A1162"/>
    <mergeCell ref="B1139:T1139"/>
    <mergeCell ref="B1140:T1140"/>
    <mergeCell ref="A921:A926"/>
    <mergeCell ref="T1224:T1229"/>
    <mergeCell ref="I1201:I1206"/>
    <mergeCell ref="A1169:A1176"/>
    <mergeCell ref="R1171:R1176"/>
    <mergeCell ref="S1171:S1176"/>
    <mergeCell ref="T1171:T1176"/>
    <mergeCell ref="B1193:T1193"/>
    <mergeCell ref="I1194:T1198"/>
    <mergeCell ref="B1171:H1171"/>
    <mergeCell ref="B1179:H1179"/>
    <mergeCell ref="B1187:H1187"/>
    <mergeCell ref="Q1209:Q1214"/>
    <mergeCell ref="J906:J912"/>
    <mergeCell ref="K906:K912"/>
    <mergeCell ref="L906:L912"/>
    <mergeCell ref="M906:M912"/>
    <mergeCell ref="N906:N912"/>
    <mergeCell ref="O906:O912"/>
    <mergeCell ref="P906:P912"/>
    <mergeCell ref="Q906:Q912"/>
    <mergeCell ref="R906:R912"/>
    <mergeCell ref="B850:H850"/>
    <mergeCell ref="B858:H858"/>
    <mergeCell ref="B866:H866"/>
    <mergeCell ref="B874:H874"/>
    <mergeCell ref="B882:H882"/>
    <mergeCell ref="L850:L855"/>
    <mergeCell ref="M850:M855"/>
    <mergeCell ref="P874:P879"/>
    <mergeCell ref="Q874:Q879"/>
    <mergeCell ref="N874:N879"/>
    <mergeCell ref="I898:I903"/>
    <mergeCell ref="J898:J903"/>
    <mergeCell ref="K850:K855"/>
    <mergeCell ref="N866:N871"/>
    <mergeCell ref="O866:O871"/>
    <mergeCell ref="R898:R903"/>
    <mergeCell ref="I882:I887"/>
    <mergeCell ref="J882:J887"/>
    <mergeCell ref="K882:K887"/>
    <mergeCell ref="B905:T905"/>
    <mergeCell ref="T890:T895"/>
    <mergeCell ref="I874:I879"/>
    <mergeCell ref="I858:I863"/>
    <mergeCell ref="B49:H49"/>
    <mergeCell ref="B271:H271"/>
    <mergeCell ref="B279:H279"/>
    <mergeCell ref="B287:H287"/>
    <mergeCell ref="B295:H295"/>
    <mergeCell ref="B303:H303"/>
    <mergeCell ref="B365:H365"/>
    <mergeCell ref="B395:H395"/>
    <mergeCell ref="B403:H403"/>
    <mergeCell ref="B449:H449"/>
    <mergeCell ref="B463:H463"/>
    <mergeCell ref="B471:H471"/>
    <mergeCell ref="B683:H683"/>
    <mergeCell ref="B691:H691"/>
    <mergeCell ref="B699:H699"/>
    <mergeCell ref="B667:H667"/>
    <mergeCell ref="B255:H255"/>
    <mergeCell ref="B510:H510"/>
    <mergeCell ref="B524:T524"/>
    <mergeCell ref="R659:R664"/>
    <mergeCell ref="B568:T568"/>
    <mergeCell ref="J569:J575"/>
    <mergeCell ref="K569:K575"/>
    <mergeCell ref="L569:L575"/>
    <mergeCell ref="M569:M575"/>
    <mergeCell ref="B594:T594"/>
    <mergeCell ref="J551:J557"/>
    <mergeCell ref="K551:K557"/>
    <mergeCell ref="L551:L557"/>
    <mergeCell ref="M551:M557"/>
    <mergeCell ref="N551:N557"/>
    <mergeCell ref="B319:H319"/>
    <mergeCell ref="P1:T1"/>
    <mergeCell ref="B705:T705"/>
    <mergeCell ref="O683:O688"/>
    <mergeCell ref="P683:P688"/>
    <mergeCell ref="Q683:Q688"/>
    <mergeCell ref="L542:L548"/>
    <mergeCell ref="P542:P548"/>
    <mergeCell ref="N802:N807"/>
    <mergeCell ref="M786:M791"/>
    <mergeCell ref="N786:N791"/>
    <mergeCell ref="M802:M807"/>
    <mergeCell ref="R794:R799"/>
    <mergeCell ref="B793:T793"/>
    <mergeCell ref="R691:R696"/>
    <mergeCell ref="B690:T690"/>
    <mergeCell ref="I691:I696"/>
    <mergeCell ref="O675:O680"/>
    <mergeCell ref="N731:N736"/>
    <mergeCell ref="O731:O736"/>
    <mergeCell ref="P731:P736"/>
    <mergeCell ref="Q731:Q736"/>
    <mergeCell ref="R731:R736"/>
    <mergeCell ref="S731:S736"/>
    <mergeCell ref="T731:T736"/>
    <mergeCell ref="B754:T754"/>
    <mergeCell ref="B755:H755"/>
    <mergeCell ref="I755:I760"/>
    <mergeCell ref="J755:J760"/>
    <mergeCell ref="L494:L499"/>
    <mergeCell ref="M494:M499"/>
    <mergeCell ref="N494:N499"/>
    <mergeCell ref="S659:S664"/>
    <mergeCell ref="A689:A696"/>
    <mergeCell ref="A697:A704"/>
    <mergeCell ref="T683:T688"/>
    <mergeCell ref="B689:T689"/>
    <mergeCell ref="M691:M696"/>
    <mergeCell ref="B707:H707"/>
    <mergeCell ref="T675:T680"/>
    <mergeCell ref="A705:A712"/>
    <mergeCell ref="I675:I680"/>
    <mergeCell ref="N691:N696"/>
    <mergeCell ref="O691:O696"/>
    <mergeCell ref="P691:P696"/>
    <mergeCell ref="Q691:Q696"/>
    <mergeCell ref="P810:P815"/>
    <mergeCell ref="Q810:Q815"/>
    <mergeCell ref="R810:R815"/>
    <mergeCell ref="J691:J696"/>
    <mergeCell ref="B810:H810"/>
    <mergeCell ref="A681:A688"/>
    <mergeCell ref="B682:T682"/>
    <mergeCell ref="I683:I688"/>
    <mergeCell ref="J683:J688"/>
    <mergeCell ref="K683:K688"/>
    <mergeCell ref="I707:I712"/>
    <mergeCell ref="R723:R728"/>
    <mergeCell ref="S723:S728"/>
    <mergeCell ref="M699:M704"/>
    <mergeCell ref="N699:N704"/>
    <mergeCell ref="O699:O704"/>
    <mergeCell ref="Q699:Q704"/>
    <mergeCell ref="R699:R704"/>
    <mergeCell ref="B731:H731"/>
    <mergeCell ref="S818:S823"/>
    <mergeCell ref="B817:T817"/>
    <mergeCell ref="I731:I736"/>
    <mergeCell ref="J731:J736"/>
    <mergeCell ref="K731:K736"/>
    <mergeCell ref="L731:L736"/>
    <mergeCell ref="M731:M736"/>
    <mergeCell ref="L794:L799"/>
    <mergeCell ref="M794:M799"/>
    <mergeCell ref="R802:R807"/>
    <mergeCell ref="S802:S807"/>
    <mergeCell ref="P802:P807"/>
    <mergeCell ref="R786:R791"/>
    <mergeCell ref="I802:I807"/>
    <mergeCell ref="S699:S704"/>
    <mergeCell ref="T715:T720"/>
    <mergeCell ref="K699:K704"/>
    <mergeCell ref="B818:H818"/>
    <mergeCell ref="K818:K823"/>
    <mergeCell ref="L818:L823"/>
    <mergeCell ref="B801:T801"/>
    <mergeCell ref="Q802:Q807"/>
    <mergeCell ref="B715:H715"/>
    <mergeCell ref="T707:T712"/>
    <mergeCell ref="O707:O712"/>
    <mergeCell ref="L810:L815"/>
    <mergeCell ref="M810:M815"/>
    <mergeCell ref="N715:N720"/>
    <mergeCell ref="I786:I791"/>
    <mergeCell ref="J786:J791"/>
    <mergeCell ref="B792:T792"/>
    <mergeCell ref="S707:S712"/>
    <mergeCell ref="I834:I839"/>
    <mergeCell ref="J834:J839"/>
    <mergeCell ref="K834:K839"/>
    <mergeCell ref="L834:L839"/>
    <mergeCell ref="M834:M839"/>
    <mergeCell ref="O858:O863"/>
    <mergeCell ref="R945:R950"/>
    <mergeCell ref="S945:S950"/>
    <mergeCell ref="K707:K712"/>
    <mergeCell ref="B785:T785"/>
    <mergeCell ref="Q794:Q799"/>
    <mergeCell ref="K715:K720"/>
    <mergeCell ref="L707:L712"/>
    <mergeCell ref="L699:L704"/>
    <mergeCell ref="N826:N831"/>
    <mergeCell ref="M667:M672"/>
    <mergeCell ref="R683:R688"/>
    <mergeCell ref="S683:S688"/>
    <mergeCell ref="K890:K895"/>
    <mergeCell ref="O882:O887"/>
    <mergeCell ref="P882:P887"/>
    <mergeCell ref="Q882:Q887"/>
    <mergeCell ref="R882:R887"/>
    <mergeCell ref="S882:S887"/>
    <mergeCell ref="T882:T887"/>
    <mergeCell ref="B888:T888"/>
    <mergeCell ref="B889:T889"/>
    <mergeCell ref="I890:I895"/>
    <mergeCell ref="B921:T921"/>
    <mergeCell ref="Q929:Q934"/>
    <mergeCell ref="Q707:Q712"/>
    <mergeCell ref="R707:R712"/>
    <mergeCell ref="O494:O499"/>
    <mergeCell ref="M542:M548"/>
    <mergeCell ref="Q494:Q499"/>
    <mergeCell ref="R494:R499"/>
    <mergeCell ref="N542:N548"/>
    <mergeCell ref="O542:O548"/>
    <mergeCell ref="M707:M712"/>
    <mergeCell ref="P699:P704"/>
    <mergeCell ref="K494:K499"/>
    <mergeCell ref="P494:P499"/>
    <mergeCell ref="N707:N712"/>
    <mergeCell ref="B786:H786"/>
    <mergeCell ref="B794:H794"/>
    <mergeCell ref="B549:T549"/>
    <mergeCell ref="B550:T550"/>
    <mergeCell ref="B551:H551"/>
    <mergeCell ref="S560:S566"/>
    <mergeCell ref="T560:T566"/>
    <mergeCell ref="B681:T681"/>
    <mergeCell ref="B666:T666"/>
    <mergeCell ref="J715:J720"/>
    <mergeCell ref="B673:T673"/>
    <mergeCell ref="B674:T674"/>
    <mergeCell ref="B675:H675"/>
    <mergeCell ref="L683:L688"/>
    <mergeCell ref="M683:M688"/>
    <mergeCell ref="N667:N672"/>
    <mergeCell ref="S542:S548"/>
    <mergeCell ref="T542:T548"/>
    <mergeCell ref="J667:J672"/>
    <mergeCell ref="K667:K672"/>
    <mergeCell ref="L667:L672"/>
    <mergeCell ref="N463:N468"/>
    <mergeCell ref="A447:A454"/>
    <mergeCell ref="A455:A460"/>
    <mergeCell ref="B455:T455"/>
    <mergeCell ref="T449:T454"/>
    <mergeCell ref="L463:L468"/>
    <mergeCell ref="R449:R454"/>
    <mergeCell ref="R542:R548"/>
    <mergeCell ref="S691:S696"/>
    <mergeCell ref="J675:J680"/>
    <mergeCell ref="K675:K680"/>
    <mergeCell ref="L675:L680"/>
    <mergeCell ref="I478:T483"/>
    <mergeCell ref="P551:P557"/>
    <mergeCell ref="Q551:Q557"/>
    <mergeCell ref="R551:R557"/>
    <mergeCell ref="S551:S557"/>
    <mergeCell ref="B569:H569"/>
    <mergeCell ref="I569:I575"/>
    <mergeCell ref="K691:K696"/>
    <mergeCell ref="L691:L696"/>
    <mergeCell ref="T691:T696"/>
    <mergeCell ref="Q560:Q566"/>
    <mergeCell ref="R560:R566"/>
    <mergeCell ref="T551:T557"/>
    <mergeCell ref="B658:T658"/>
    <mergeCell ref="B659:H659"/>
    <mergeCell ref="I659:I664"/>
    <mergeCell ref="J659:J664"/>
    <mergeCell ref="K659:K664"/>
    <mergeCell ref="A673:A680"/>
    <mergeCell ref="M675:M680"/>
    <mergeCell ref="K486:K491"/>
    <mergeCell ref="A492:A499"/>
    <mergeCell ref="O667:O672"/>
    <mergeCell ref="P667:P672"/>
    <mergeCell ref="B540:T540"/>
    <mergeCell ref="B665:T665"/>
    <mergeCell ref="N683:N688"/>
    <mergeCell ref="A484:A491"/>
    <mergeCell ref="B484:T484"/>
    <mergeCell ref="B485:T485"/>
    <mergeCell ref="I486:I491"/>
    <mergeCell ref="P675:P680"/>
    <mergeCell ref="Q675:Q680"/>
    <mergeCell ref="R675:R680"/>
    <mergeCell ref="S675:S680"/>
    <mergeCell ref="T659:T664"/>
    <mergeCell ref="I667:I672"/>
    <mergeCell ref="B567:T567"/>
    <mergeCell ref="N486:N491"/>
    <mergeCell ref="R667:R672"/>
    <mergeCell ref="S667:S672"/>
    <mergeCell ref="B532:T532"/>
    <mergeCell ref="B533:T533"/>
    <mergeCell ref="B534:H534"/>
    <mergeCell ref="A657:A664"/>
    <mergeCell ref="B494:H494"/>
    <mergeCell ref="I534:I539"/>
    <mergeCell ref="O486:O491"/>
    <mergeCell ref="P486:P491"/>
    <mergeCell ref="Q486:Q491"/>
    <mergeCell ref="R486:R491"/>
    <mergeCell ref="S494:S499"/>
    <mergeCell ref="S449:S454"/>
    <mergeCell ref="B447:T447"/>
    <mergeCell ref="O449:O454"/>
    <mergeCell ref="P449:P454"/>
    <mergeCell ref="B470:T470"/>
    <mergeCell ref="I456:T460"/>
    <mergeCell ref="T471:T476"/>
    <mergeCell ref="O471:O476"/>
    <mergeCell ref="P471:P476"/>
    <mergeCell ref="M449:M454"/>
    <mergeCell ref="N449:N454"/>
    <mergeCell ref="I463:I468"/>
    <mergeCell ref="J463:J468"/>
    <mergeCell ref="Q471:Q476"/>
    <mergeCell ref="R471:R476"/>
    <mergeCell ref="S471:S476"/>
    <mergeCell ref="B448:T448"/>
    <mergeCell ref="I449:I454"/>
    <mergeCell ref="J449:J454"/>
    <mergeCell ref="K449:K454"/>
    <mergeCell ref="L449:L454"/>
    <mergeCell ref="N471:N476"/>
    <mergeCell ref="K463:K468"/>
    <mergeCell ref="Q449:Q454"/>
    <mergeCell ref="T463:T468"/>
    <mergeCell ref="O463:O468"/>
    <mergeCell ref="P463:P468"/>
    <mergeCell ref="Q463:Q468"/>
    <mergeCell ref="R463:R468"/>
    <mergeCell ref="I471:I476"/>
    <mergeCell ref="J471:J476"/>
    <mergeCell ref="S463:S468"/>
    <mergeCell ref="Q387:Q392"/>
    <mergeCell ref="R387:R392"/>
    <mergeCell ref="R295:R300"/>
    <mergeCell ref="S295:S300"/>
    <mergeCell ref="T295:T300"/>
    <mergeCell ref="N425:N430"/>
    <mergeCell ref="O425:O430"/>
    <mergeCell ref="P425:P430"/>
    <mergeCell ref="Q425:Q430"/>
    <mergeCell ref="R425:R430"/>
    <mergeCell ref="S425:S430"/>
    <mergeCell ref="J365:J370"/>
    <mergeCell ref="B379:T379"/>
    <mergeCell ref="B409:T409"/>
    <mergeCell ref="B410:T410"/>
    <mergeCell ref="B411:H411"/>
    <mergeCell ref="I411:I416"/>
    <mergeCell ref="Q411:Q416"/>
    <mergeCell ref="R411:R416"/>
    <mergeCell ref="L425:L430"/>
    <mergeCell ref="M425:M430"/>
    <mergeCell ref="S365:S370"/>
    <mergeCell ref="B385:T385"/>
    <mergeCell ref="I319:I324"/>
    <mergeCell ref="J319:J324"/>
    <mergeCell ref="K319:K324"/>
    <mergeCell ref="L319:L324"/>
    <mergeCell ref="M319:M324"/>
    <mergeCell ref="N319:N324"/>
    <mergeCell ref="O319:O324"/>
    <mergeCell ref="P319:P324"/>
    <mergeCell ref="Q319:Q324"/>
    <mergeCell ref="B31:T31"/>
    <mergeCell ref="O33:O38"/>
    <mergeCell ref="Q33:Q38"/>
    <mergeCell ref="O25:O30"/>
    <mergeCell ref="B32:T32"/>
    <mergeCell ref="B33:H33"/>
    <mergeCell ref="I33:I38"/>
    <mergeCell ref="J33:J38"/>
    <mergeCell ref="K33:K38"/>
    <mergeCell ref="A23:A30"/>
    <mergeCell ref="B23:T23"/>
    <mergeCell ref="B24:T24"/>
    <mergeCell ref="B25:H25"/>
    <mergeCell ref="I25:I30"/>
    <mergeCell ref="J25:J30"/>
    <mergeCell ref="K25:K30"/>
    <mergeCell ref="L25:L30"/>
    <mergeCell ref="M25:M30"/>
    <mergeCell ref="N25:N30"/>
    <mergeCell ref="P25:P30"/>
    <mergeCell ref="T25:T30"/>
    <mergeCell ref="A31:A38"/>
    <mergeCell ref="M33:M38"/>
    <mergeCell ref="S33:S38"/>
    <mergeCell ref="T33:T38"/>
    <mergeCell ref="N33:N38"/>
    <mergeCell ref="R33:R38"/>
    <mergeCell ref="A423:A430"/>
    <mergeCell ref="Q403:Q408"/>
    <mergeCell ref="B423:T423"/>
    <mergeCell ref="B424:T424"/>
    <mergeCell ref="B425:H425"/>
    <mergeCell ref="P403:P408"/>
    <mergeCell ref="N411:N416"/>
    <mergeCell ref="I403:I408"/>
    <mergeCell ref="J403:J408"/>
    <mergeCell ref="A409:A416"/>
    <mergeCell ref="A379:A384"/>
    <mergeCell ref="N395:N400"/>
    <mergeCell ref="O395:O400"/>
    <mergeCell ref="P395:P400"/>
    <mergeCell ref="P295:P300"/>
    <mergeCell ref="Q295:Q300"/>
    <mergeCell ref="I387:I392"/>
    <mergeCell ref="J387:J392"/>
    <mergeCell ref="A385:A392"/>
    <mergeCell ref="A401:A408"/>
    <mergeCell ref="B401:T401"/>
    <mergeCell ref="B402:T402"/>
    <mergeCell ref="T403:T408"/>
    <mergeCell ref="B417:T417"/>
    <mergeCell ref="A417:A422"/>
    <mergeCell ref="O403:O408"/>
    <mergeCell ref="R395:R400"/>
    <mergeCell ref="R365:R370"/>
    <mergeCell ref="I425:I430"/>
    <mergeCell ref="N387:N392"/>
    <mergeCell ref="O387:O392"/>
    <mergeCell ref="P387:P392"/>
    <mergeCell ref="J395:J400"/>
    <mergeCell ref="T395:T400"/>
    <mergeCell ref="A317:A324"/>
    <mergeCell ref="B317:T317"/>
    <mergeCell ref="B318:T318"/>
    <mergeCell ref="K395:K400"/>
    <mergeCell ref="L395:L400"/>
    <mergeCell ref="M395:M400"/>
    <mergeCell ref="J425:J430"/>
    <mergeCell ref="A393:A400"/>
    <mergeCell ref="I395:I400"/>
    <mergeCell ref="T387:T392"/>
    <mergeCell ref="N403:N408"/>
    <mergeCell ref="L403:L408"/>
    <mergeCell ref="K387:K392"/>
    <mergeCell ref="L387:L392"/>
    <mergeCell ref="M387:M392"/>
    <mergeCell ref="Q395:Q400"/>
    <mergeCell ref="B394:T394"/>
    <mergeCell ref="K365:K370"/>
    <mergeCell ref="L365:L370"/>
    <mergeCell ref="I418:T422"/>
    <mergeCell ref="O411:O416"/>
    <mergeCell ref="P411:P416"/>
    <mergeCell ref="T425:T430"/>
    <mergeCell ref="A371:A378"/>
    <mergeCell ref="B371:T371"/>
    <mergeCell ref="B372:T372"/>
    <mergeCell ref="J373:J378"/>
    <mergeCell ref="B393:T393"/>
    <mergeCell ref="P365:P370"/>
    <mergeCell ref="I380:T384"/>
    <mergeCell ref="S395:S400"/>
    <mergeCell ref="S411:S416"/>
    <mergeCell ref="M403:M408"/>
    <mergeCell ref="K425:K430"/>
    <mergeCell ref="T411:T416"/>
    <mergeCell ref="J411:J416"/>
    <mergeCell ref="K411:K416"/>
    <mergeCell ref="L411:L416"/>
    <mergeCell ref="M411:M416"/>
    <mergeCell ref="R303:R308"/>
    <mergeCell ref="S303:S308"/>
    <mergeCell ref="R403:R408"/>
    <mergeCell ref="S403:S408"/>
    <mergeCell ref="K403:K408"/>
    <mergeCell ref="T303:T308"/>
    <mergeCell ref="T365:T370"/>
    <mergeCell ref="N365:N370"/>
    <mergeCell ref="O365:O370"/>
    <mergeCell ref="N311:N316"/>
    <mergeCell ref="B386:T386"/>
    <mergeCell ref="B363:T363"/>
    <mergeCell ref="B364:T364"/>
    <mergeCell ref="R311:R316"/>
    <mergeCell ref="S311:S316"/>
    <mergeCell ref="T311:T316"/>
    <mergeCell ref="M365:M370"/>
    <mergeCell ref="S387:S392"/>
    <mergeCell ref="B387:H387"/>
    <mergeCell ref="Q365:Q370"/>
    <mergeCell ref="B373:H373"/>
    <mergeCell ref="I373:I378"/>
    <mergeCell ref="I365:I370"/>
    <mergeCell ref="J311:J316"/>
    <mergeCell ref="Q279:Q284"/>
    <mergeCell ref="R279:R284"/>
    <mergeCell ref="S279:S284"/>
    <mergeCell ref="O279:O284"/>
    <mergeCell ref="B309:T309"/>
    <mergeCell ref="M311:M316"/>
    <mergeCell ref="L303:L308"/>
    <mergeCell ref="M303:M308"/>
    <mergeCell ref="N303:N308"/>
    <mergeCell ref="B301:T301"/>
    <mergeCell ref="B302:T302"/>
    <mergeCell ref="L295:L300"/>
    <mergeCell ref="P287:P292"/>
    <mergeCell ref="Q287:Q292"/>
    <mergeCell ref="R287:R292"/>
    <mergeCell ref="S287:S292"/>
    <mergeCell ref="M287:M292"/>
    <mergeCell ref="M295:M300"/>
    <mergeCell ref="N295:N300"/>
    <mergeCell ref="O295:O300"/>
    <mergeCell ref="I303:I308"/>
    <mergeCell ref="J303:J308"/>
    <mergeCell ref="K303:K308"/>
    <mergeCell ref="K311:K316"/>
    <mergeCell ref="B310:T310"/>
    <mergeCell ref="T287:T292"/>
    <mergeCell ref="K287:K292"/>
    <mergeCell ref="L287:L292"/>
    <mergeCell ref="O287:O292"/>
    <mergeCell ref="A269:A276"/>
    <mergeCell ref="A293:A300"/>
    <mergeCell ref="J295:J300"/>
    <mergeCell ref="K295:K300"/>
    <mergeCell ref="N255:N260"/>
    <mergeCell ref="T279:T284"/>
    <mergeCell ref="B285:T285"/>
    <mergeCell ref="I295:I300"/>
    <mergeCell ref="I279:I284"/>
    <mergeCell ref="P279:P284"/>
    <mergeCell ref="B286:T286"/>
    <mergeCell ref="I287:I292"/>
    <mergeCell ref="J287:J292"/>
    <mergeCell ref="N287:N292"/>
    <mergeCell ref="O303:O308"/>
    <mergeCell ref="P303:P308"/>
    <mergeCell ref="Q303:Q308"/>
    <mergeCell ref="L271:L276"/>
    <mergeCell ref="M271:M276"/>
    <mergeCell ref="O255:O260"/>
    <mergeCell ref="K263:K268"/>
    <mergeCell ref="A47:A54"/>
    <mergeCell ref="L33:L38"/>
    <mergeCell ref="A39:A46"/>
    <mergeCell ref="T263:T268"/>
    <mergeCell ref="N263:N268"/>
    <mergeCell ref="Q25:Q30"/>
    <mergeCell ref="R25:R30"/>
    <mergeCell ref="S25:S30"/>
    <mergeCell ref="A253:A260"/>
    <mergeCell ref="L279:L284"/>
    <mergeCell ref="M279:M284"/>
    <mergeCell ref="N279:N284"/>
    <mergeCell ref="J271:J276"/>
    <mergeCell ref="K271:K276"/>
    <mergeCell ref="B293:T293"/>
    <mergeCell ref="B294:T294"/>
    <mergeCell ref="R271:R276"/>
    <mergeCell ref="S271:S276"/>
    <mergeCell ref="B278:T278"/>
    <mergeCell ref="B277:T277"/>
    <mergeCell ref="L263:L268"/>
    <mergeCell ref="M263:M268"/>
    <mergeCell ref="O263:O268"/>
    <mergeCell ref="P263:P268"/>
    <mergeCell ref="Q263:Q268"/>
    <mergeCell ref="R263:R268"/>
    <mergeCell ref="S263:S268"/>
    <mergeCell ref="O271:O276"/>
    <mergeCell ref="P271:P276"/>
    <mergeCell ref="Q271:Q276"/>
    <mergeCell ref="A285:A292"/>
    <mergeCell ref="A277:A284"/>
    <mergeCell ref="A9:A14"/>
    <mergeCell ref="B9:T9"/>
    <mergeCell ref="I10:T14"/>
    <mergeCell ref="A5:T5"/>
    <mergeCell ref="A6:T6"/>
    <mergeCell ref="T17:T22"/>
    <mergeCell ref="O17:O22"/>
    <mergeCell ref="P17:P22"/>
    <mergeCell ref="Q17:Q22"/>
    <mergeCell ref="R17:R22"/>
    <mergeCell ref="S17:S22"/>
    <mergeCell ref="B15:T15"/>
    <mergeCell ref="B16:T16"/>
    <mergeCell ref="I17:I22"/>
    <mergeCell ref="J17:J22"/>
    <mergeCell ref="K17:K22"/>
    <mergeCell ref="L17:L22"/>
    <mergeCell ref="M17:M22"/>
    <mergeCell ref="N17:N22"/>
    <mergeCell ref="A15:A22"/>
    <mergeCell ref="B17:H17"/>
    <mergeCell ref="B48:T48"/>
    <mergeCell ref="S49:S54"/>
    <mergeCell ref="Q255:Q260"/>
    <mergeCell ref="R255:R260"/>
    <mergeCell ref="S255:S260"/>
    <mergeCell ref="T255:T260"/>
    <mergeCell ref="B261:T261"/>
    <mergeCell ref="B262:T262"/>
    <mergeCell ref="B263:H263"/>
    <mergeCell ref="I263:I268"/>
    <mergeCell ref="J263:J268"/>
    <mergeCell ref="T271:T276"/>
    <mergeCell ref="J255:J260"/>
    <mergeCell ref="K255:K260"/>
    <mergeCell ref="L41:L46"/>
    <mergeCell ref="M41:M46"/>
    <mergeCell ref="N41:N46"/>
    <mergeCell ref="O41:O46"/>
    <mergeCell ref="P65:P70"/>
    <mergeCell ref="Q65:Q70"/>
    <mergeCell ref="R65:R70"/>
    <mergeCell ref="S65:S70"/>
    <mergeCell ref="T65:T70"/>
    <mergeCell ref="B71:T71"/>
    <mergeCell ref="B72:T72"/>
    <mergeCell ref="B73:H73"/>
    <mergeCell ref="I73:I78"/>
    <mergeCell ref="J73:J78"/>
    <mergeCell ref="K73:K78"/>
    <mergeCell ref="L73:L78"/>
    <mergeCell ref="M73:M78"/>
    <mergeCell ref="N73:N78"/>
    <mergeCell ref="B39:T39"/>
    <mergeCell ref="B40:T40"/>
    <mergeCell ref="B41:H41"/>
    <mergeCell ref="I41:I46"/>
    <mergeCell ref="J41:J46"/>
    <mergeCell ref="K41:K46"/>
    <mergeCell ref="T41:T46"/>
    <mergeCell ref="N271:N276"/>
    <mergeCell ref="P33:P38"/>
    <mergeCell ref="P49:P54"/>
    <mergeCell ref="P41:P46"/>
    <mergeCell ref="Q41:Q46"/>
    <mergeCell ref="R41:R46"/>
    <mergeCell ref="S41:S46"/>
    <mergeCell ref="B493:T493"/>
    <mergeCell ref="T494:T499"/>
    <mergeCell ref="B486:H486"/>
    <mergeCell ref="B492:T492"/>
    <mergeCell ref="T486:T491"/>
    <mergeCell ref="B269:T269"/>
    <mergeCell ref="B270:T270"/>
    <mergeCell ref="I271:I276"/>
    <mergeCell ref="B63:T63"/>
    <mergeCell ref="B64:T64"/>
    <mergeCell ref="B65:H65"/>
    <mergeCell ref="I65:I70"/>
    <mergeCell ref="J65:J70"/>
    <mergeCell ref="K65:K70"/>
    <mergeCell ref="L65:L70"/>
    <mergeCell ref="M65:M70"/>
    <mergeCell ref="N65:N70"/>
    <mergeCell ref="O65:O70"/>
    <mergeCell ref="O659:O664"/>
    <mergeCell ref="P659:P664"/>
    <mergeCell ref="Q659:Q664"/>
    <mergeCell ref="L659:L664"/>
    <mergeCell ref="A469:A476"/>
    <mergeCell ref="B469:T469"/>
    <mergeCell ref="M471:M476"/>
    <mergeCell ref="B47:T47"/>
    <mergeCell ref="I49:I54"/>
    <mergeCell ref="J49:J54"/>
    <mergeCell ref="K49:K54"/>
    <mergeCell ref="L49:L54"/>
    <mergeCell ref="M49:M54"/>
    <mergeCell ref="N49:N54"/>
    <mergeCell ref="P255:P260"/>
    <mergeCell ref="Q49:Q54"/>
    <mergeCell ref="R49:R54"/>
    <mergeCell ref="A247:A252"/>
    <mergeCell ref="B247:T247"/>
    <mergeCell ref="I248:T252"/>
    <mergeCell ref="L255:L260"/>
    <mergeCell ref="M255:M260"/>
    <mergeCell ref="A261:A268"/>
    <mergeCell ref="T49:T54"/>
    <mergeCell ref="O49:O54"/>
    <mergeCell ref="I255:I260"/>
    <mergeCell ref="A301:A308"/>
    <mergeCell ref="M463:M468"/>
    <mergeCell ref="A461:A468"/>
    <mergeCell ref="B461:T461"/>
    <mergeCell ref="B462:T462"/>
    <mergeCell ref="S486:S491"/>
    <mergeCell ref="Q542:Q548"/>
    <mergeCell ref="T699:T704"/>
    <mergeCell ref="A665:A672"/>
    <mergeCell ref="A540:A548"/>
    <mergeCell ref="B541:T541"/>
    <mergeCell ref="B542:H542"/>
    <mergeCell ref="I542:I548"/>
    <mergeCell ref="J542:J548"/>
    <mergeCell ref="K542:K548"/>
    <mergeCell ref="I494:I499"/>
    <mergeCell ref="J494:J499"/>
    <mergeCell ref="A477:A483"/>
    <mergeCell ref="K471:K476"/>
    <mergeCell ref="L471:L476"/>
    <mergeCell ref="J486:J491"/>
    <mergeCell ref="L486:L491"/>
    <mergeCell ref="J279:J284"/>
    <mergeCell ref="K279:K284"/>
    <mergeCell ref="M486:M491"/>
    <mergeCell ref="B477:T477"/>
    <mergeCell ref="A309:A316"/>
    <mergeCell ref="K357:K362"/>
    <mergeCell ref="L357:L362"/>
    <mergeCell ref="M357:M362"/>
    <mergeCell ref="N357:N362"/>
    <mergeCell ref="A349:A354"/>
    <mergeCell ref="B356:T356"/>
    <mergeCell ref="B357:H357"/>
    <mergeCell ref="O311:O316"/>
    <mergeCell ref="P311:P316"/>
    <mergeCell ref="A363:A370"/>
    <mergeCell ref="A355:A362"/>
    <mergeCell ref="L802:L807"/>
    <mergeCell ref="N794:N799"/>
    <mergeCell ref="O794:O799"/>
    <mergeCell ref="K786:K791"/>
    <mergeCell ref="P707:P712"/>
    <mergeCell ref="I794:I799"/>
    <mergeCell ref="K794:K799"/>
    <mergeCell ref="T786:T791"/>
    <mergeCell ref="I778:T783"/>
    <mergeCell ref="Q786:Q791"/>
    <mergeCell ref="B769:T769"/>
    <mergeCell ref="L786:L791"/>
    <mergeCell ref="S794:S799"/>
    <mergeCell ref="T794:T799"/>
    <mergeCell ref="J794:J799"/>
    <mergeCell ref="A753:A760"/>
    <mergeCell ref="B753:T753"/>
    <mergeCell ref="K755:K760"/>
    <mergeCell ref="L755:L760"/>
    <mergeCell ref="S786:S791"/>
    <mergeCell ref="B800:T800"/>
    <mergeCell ref="A761:A768"/>
    <mergeCell ref="A769:A776"/>
    <mergeCell ref="M755:M760"/>
    <mergeCell ref="T755:T760"/>
    <mergeCell ref="A745:A752"/>
    <mergeCell ref="J747:J752"/>
    <mergeCell ref="K747:K752"/>
    <mergeCell ref="L747:L752"/>
    <mergeCell ref="M747:M752"/>
    <mergeCell ref="N747:N752"/>
    <mergeCell ref="O747:O752"/>
    <mergeCell ref="P866:P871"/>
    <mergeCell ref="J874:J879"/>
    <mergeCell ref="K874:K879"/>
    <mergeCell ref="A713:A720"/>
    <mergeCell ref="L715:L720"/>
    <mergeCell ref="M715:M720"/>
    <mergeCell ref="B777:T777"/>
    <mergeCell ref="P794:P799"/>
    <mergeCell ref="O715:O720"/>
    <mergeCell ref="P715:P720"/>
    <mergeCell ref="Q715:Q720"/>
    <mergeCell ref="R715:R720"/>
    <mergeCell ref="S715:S720"/>
    <mergeCell ref="B824:T824"/>
    <mergeCell ref="B825:T825"/>
    <mergeCell ref="T834:T839"/>
    <mergeCell ref="B826:H826"/>
    <mergeCell ref="T810:T815"/>
    <mergeCell ref="O810:O815"/>
    <mergeCell ref="M818:M823"/>
    <mergeCell ref="N818:N823"/>
    <mergeCell ref="T826:T831"/>
    <mergeCell ref="Q834:Q839"/>
    <mergeCell ref="O826:O831"/>
    <mergeCell ref="A856:A863"/>
    <mergeCell ref="B856:T856"/>
    <mergeCell ref="B857:T857"/>
    <mergeCell ref="O802:O807"/>
    <mergeCell ref="B770:T770"/>
    <mergeCell ref="B771:H771"/>
    <mergeCell ref="A792:A799"/>
    <mergeCell ref="T723:T728"/>
    <mergeCell ref="J858:J863"/>
    <mergeCell ref="K858:K863"/>
    <mergeCell ref="L858:L863"/>
    <mergeCell ref="M858:M863"/>
    <mergeCell ref="N858:N863"/>
    <mergeCell ref="T802:T807"/>
    <mergeCell ref="B808:T808"/>
    <mergeCell ref="B809:T809"/>
    <mergeCell ref="I810:I815"/>
    <mergeCell ref="T818:T823"/>
    <mergeCell ref="O818:O823"/>
    <mergeCell ref="A832:A839"/>
    <mergeCell ref="P826:P831"/>
    <mergeCell ref="B832:T832"/>
    <mergeCell ref="M842:M847"/>
    <mergeCell ref="N842:N847"/>
    <mergeCell ref="O842:O847"/>
    <mergeCell ref="P842:P847"/>
    <mergeCell ref="M826:M831"/>
    <mergeCell ref="N834:N839"/>
    <mergeCell ref="O834:O839"/>
    <mergeCell ref="P834:P839"/>
    <mergeCell ref="R834:R839"/>
    <mergeCell ref="S834:S839"/>
    <mergeCell ref="B834:H834"/>
    <mergeCell ref="R826:R831"/>
    <mergeCell ref="B802:H802"/>
    <mergeCell ref="K842:K847"/>
    <mergeCell ref="A800:A807"/>
    <mergeCell ref="A808:A815"/>
    <mergeCell ref="J802:J807"/>
    <mergeCell ref="K802:K807"/>
    <mergeCell ref="M898:M903"/>
    <mergeCell ref="B897:T897"/>
    <mergeCell ref="S929:S934"/>
    <mergeCell ref="N882:N887"/>
    <mergeCell ref="N890:N895"/>
    <mergeCell ref="O890:O895"/>
    <mergeCell ref="P890:P895"/>
    <mergeCell ref="Q890:Q895"/>
    <mergeCell ref="A888:A895"/>
    <mergeCell ref="L890:L895"/>
    <mergeCell ref="I945:I950"/>
    <mergeCell ref="L898:L903"/>
    <mergeCell ref="O898:O903"/>
    <mergeCell ref="A824:A831"/>
    <mergeCell ref="A777:A783"/>
    <mergeCell ref="S810:S815"/>
    <mergeCell ref="J810:J815"/>
    <mergeCell ref="N810:N815"/>
    <mergeCell ref="R842:R847"/>
    <mergeCell ref="B913:T913"/>
    <mergeCell ref="B914:T914"/>
    <mergeCell ref="S842:S847"/>
    <mergeCell ref="T842:T847"/>
    <mergeCell ref="Q842:Q847"/>
    <mergeCell ref="R890:R895"/>
    <mergeCell ref="S890:S895"/>
    <mergeCell ref="P858:P863"/>
    <mergeCell ref="B872:T872"/>
    <mergeCell ref="A816:A823"/>
    <mergeCell ref="B816:T816"/>
    <mergeCell ref="A784:A791"/>
    <mergeCell ref="B784:T784"/>
    <mergeCell ref="B880:T880"/>
    <mergeCell ref="L882:L887"/>
    <mergeCell ref="M882:M887"/>
    <mergeCell ref="R866:R871"/>
    <mergeCell ref="S866:S871"/>
    <mergeCell ref="T866:T871"/>
    <mergeCell ref="A864:A871"/>
    <mergeCell ref="B929:H929"/>
    <mergeCell ref="B937:H937"/>
    <mergeCell ref="B945:H945"/>
    <mergeCell ref="S906:S912"/>
    <mergeCell ref="T906:T912"/>
    <mergeCell ref="Q985:Q990"/>
    <mergeCell ref="R985:R990"/>
    <mergeCell ref="N953:N958"/>
    <mergeCell ref="A943:A950"/>
    <mergeCell ref="J945:J950"/>
    <mergeCell ref="K945:K950"/>
    <mergeCell ref="L945:L950"/>
    <mergeCell ref="M945:M950"/>
    <mergeCell ref="T929:T934"/>
    <mergeCell ref="O929:O934"/>
    <mergeCell ref="P929:P934"/>
    <mergeCell ref="Q937:Q942"/>
    <mergeCell ref="R937:R942"/>
    <mergeCell ref="S937:S942"/>
    <mergeCell ref="T937:T942"/>
    <mergeCell ref="I929:I934"/>
    <mergeCell ref="A896:A903"/>
    <mergeCell ref="P898:P903"/>
    <mergeCell ref="Q898:Q903"/>
    <mergeCell ref="P945:P950"/>
    <mergeCell ref="I922:T926"/>
    <mergeCell ref="A983:A990"/>
    <mergeCell ref="R977:R982"/>
    <mergeCell ref="S977:S982"/>
    <mergeCell ref="T945:T950"/>
    <mergeCell ref="A967:A974"/>
    <mergeCell ref="I969:I974"/>
    <mergeCell ref="J969:J974"/>
    <mergeCell ref="K969:K974"/>
    <mergeCell ref="L969:L974"/>
    <mergeCell ref="M969:M974"/>
    <mergeCell ref="N969:N974"/>
    <mergeCell ref="B1126:T1126"/>
    <mergeCell ref="I1127:I1132"/>
    <mergeCell ref="R953:R958"/>
    <mergeCell ref="O874:O879"/>
    <mergeCell ref="R874:R879"/>
    <mergeCell ref="S874:S879"/>
    <mergeCell ref="T874:T879"/>
    <mergeCell ref="B984:T984"/>
    <mergeCell ref="A1023:A1030"/>
    <mergeCell ref="A927:A934"/>
    <mergeCell ref="B927:T927"/>
    <mergeCell ref="B928:T928"/>
    <mergeCell ref="A951:A958"/>
    <mergeCell ref="B951:T951"/>
    <mergeCell ref="B952:T952"/>
    <mergeCell ref="I953:I958"/>
    <mergeCell ref="J953:J958"/>
    <mergeCell ref="K953:K958"/>
    <mergeCell ref="L953:L958"/>
    <mergeCell ref="A880:A887"/>
    <mergeCell ref="T1209:T1214"/>
    <mergeCell ref="A840:A847"/>
    <mergeCell ref="L842:L847"/>
    <mergeCell ref="B848:T848"/>
    <mergeCell ref="B849:T849"/>
    <mergeCell ref="A904:A912"/>
    <mergeCell ref="K929:K934"/>
    <mergeCell ref="L929:L934"/>
    <mergeCell ref="A935:A942"/>
    <mergeCell ref="Q858:Q863"/>
    <mergeCell ref="R858:R863"/>
    <mergeCell ref="I842:I847"/>
    <mergeCell ref="J842:J847"/>
    <mergeCell ref="B1209:H1209"/>
    <mergeCell ref="T1201:T1206"/>
    <mergeCell ref="O1201:O1206"/>
    <mergeCell ref="P1201:P1206"/>
    <mergeCell ref="B1125:T1125"/>
    <mergeCell ref="A1163:A1168"/>
    <mergeCell ref="A1119:A1124"/>
    <mergeCell ref="B1119:T1119"/>
    <mergeCell ref="A1193:A1198"/>
    <mergeCell ref="S898:S903"/>
    <mergeCell ref="T898:T903"/>
    <mergeCell ref="Q1009:Q1014"/>
    <mergeCell ref="R1009:R1014"/>
    <mergeCell ref="S1009:S1014"/>
    <mergeCell ref="I1120:T1124"/>
    <mergeCell ref="T985:T990"/>
    <mergeCell ref="O985:O990"/>
    <mergeCell ref="P985:P990"/>
    <mergeCell ref="A848:A855"/>
    <mergeCell ref="J1224:J1229"/>
    <mergeCell ref="K1224:K1229"/>
    <mergeCell ref="L1224:L1229"/>
    <mergeCell ref="M1224:M1229"/>
    <mergeCell ref="N1224:N1229"/>
    <mergeCell ref="O1224:O1229"/>
    <mergeCell ref="B1201:H1201"/>
    <mergeCell ref="I1187:I1192"/>
    <mergeCell ref="J1187:J1192"/>
    <mergeCell ref="K1187:K1192"/>
    <mergeCell ref="L1187:L1192"/>
    <mergeCell ref="M1187:M1192"/>
    <mergeCell ref="B1224:H1224"/>
    <mergeCell ref="Q1201:Q1206"/>
    <mergeCell ref="R1201:R1206"/>
    <mergeCell ref="S1201:S1206"/>
    <mergeCell ref="P1224:P1229"/>
    <mergeCell ref="Q1224:Q1229"/>
    <mergeCell ref="R1224:R1229"/>
    <mergeCell ref="S1224:S1229"/>
    <mergeCell ref="N1201:N1206"/>
    <mergeCell ref="R1209:R1214"/>
    <mergeCell ref="J1201:J1206"/>
    <mergeCell ref="A1258:T1258"/>
    <mergeCell ref="A1259:B1259"/>
    <mergeCell ref="A1260:B1260"/>
    <mergeCell ref="A1261:B1261"/>
    <mergeCell ref="A1262:B1262"/>
    <mergeCell ref="A1263:B1263"/>
    <mergeCell ref="A1265:B1265"/>
    <mergeCell ref="B1215:T1215"/>
    <mergeCell ref="B1207:T1207"/>
    <mergeCell ref="B1208:T1208"/>
    <mergeCell ref="I1209:I1214"/>
    <mergeCell ref="J1209:J1214"/>
    <mergeCell ref="K1209:K1214"/>
    <mergeCell ref="L1209:L1214"/>
    <mergeCell ref="M1209:M1214"/>
    <mergeCell ref="N1209:N1214"/>
    <mergeCell ref="P1209:P1214"/>
    <mergeCell ref="I1216:T1221"/>
    <mergeCell ref="S1209:S1214"/>
    <mergeCell ref="O1209:O1214"/>
    <mergeCell ref="P1238:P1243"/>
    <mergeCell ref="Q1238:Q1243"/>
    <mergeCell ref="R1238:R1243"/>
    <mergeCell ref="S1238:S1243"/>
    <mergeCell ref="T1238:T1243"/>
    <mergeCell ref="A1207:A1214"/>
    <mergeCell ref="A1215:A1221"/>
    <mergeCell ref="A1264:B1264"/>
    <mergeCell ref="A1222:A1229"/>
    <mergeCell ref="B1222:T1222"/>
    <mergeCell ref="B1223:T1223"/>
    <mergeCell ref="I1224:I1229"/>
    <mergeCell ref="T1187:T1192"/>
    <mergeCell ref="B1200:T1200"/>
    <mergeCell ref="A1185:A1192"/>
    <mergeCell ref="J1179:J1184"/>
    <mergeCell ref="K1179:K1184"/>
    <mergeCell ref="L1179:L1184"/>
    <mergeCell ref="M1179:M1184"/>
    <mergeCell ref="B1199:T1199"/>
    <mergeCell ref="R1179:R1184"/>
    <mergeCell ref="S1179:S1184"/>
    <mergeCell ref="A1177:A1184"/>
    <mergeCell ref="P1179:P1184"/>
    <mergeCell ref="Q1179:Q1184"/>
    <mergeCell ref="B1163:T1163"/>
    <mergeCell ref="I1164:T1168"/>
    <mergeCell ref="J1127:J1132"/>
    <mergeCell ref="B1127:H1127"/>
    <mergeCell ref="N1157:N1162"/>
    <mergeCell ref="O1157:O1162"/>
    <mergeCell ref="P1157:P1162"/>
    <mergeCell ref="Q1157:Q1162"/>
    <mergeCell ref="R1157:R1162"/>
    <mergeCell ref="S1157:S1162"/>
    <mergeCell ref="T1157:T1162"/>
    <mergeCell ref="B1147:T1147"/>
    <mergeCell ref="B1148:T1148"/>
    <mergeCell ref="B1149:H1149"/>
    <mergeCell ref="I1149:I1154"/>
    <mergeCell ref="J1149:J1154"/>
    <mergeCell ref="K1149:K1154"/>
    <mergeCell ref="L1149:L1154"/>
    <mergeCell ref="M1149:M1154"/>
    <mergeCell ref="I1179:I1184"/>
    <mergeCell ref="Q850:Q855"/>
    <mergeCell ref="R850:R855"/>
    <mergeCell ref="S850:S855"/>
    <mergeCell ref="T850:T855"/>
    <mergeCell ref="B864:T864"/>
    <mergeCell ref="B865:T865"/>
    <mergeCell ref="I866:I871"/>
    <mergeCell ref="J866:J871"/>
    <mergeCell ref="O969:O974"/>
    <mergeCell ref="P969:P974"/>
    <mergeCell ref="M961:M966"/>
    <mergeCell ref="K866:K871"/>
    <mergeCell ref="L866:L871"/>
    <mergeCell ref="M866:M871"/>
    <mergeCell ref="B961:H961"/>
    <mergeCell ref="B969:H969"/>
    <mergeCell ref="B936:T936"/>
    <mergeCell ref="I937:I942"/>
    <mergeCell ref="J937:J942"/>
    <mergeCell ref="K937:K942"/>
    <mergeCell ref="L937:L942"/>
    <mergeCell ref="M937:M942"/>
    <mergeCell ref="T961:T966"/>
    <mergeCell ref="O977:O982"/>
    <mergeCell ref="P977:P982"/>
    <mergeCell ref="T969:T974"/>
    <mergeCell ref="S953:S958"/>
    <mergeCell ref="N898:N903"/>
    <mergeCell ref="S985:S990"/>
    <mergeCell ref="B983:T983"/>
    <mergeCell ref="B1032:T1032"/>
    <mergeCell ref="B999:T999"/>
    <mergeCell ref="J1025:J1030"/>
    <mergeCell ref="B1000:T1000"/>
    <mergeCell ref="I1001:I1006"/>
    <mergeCell ref="J1001:J1006"/>
    <mergeCell ref="K1001:K1006"/>
    <mergeCell ref="L1001:L1006"/>
    <mergeCell ref="M1001:M1006"/>
    <mergeCell ref="N1001:N1006"/>
    <mergeCell ref="O1001:O1006"/>
    <mergeCell ref="T1009:T1014"/>
    <mergeCell ref="Q1017:Q1022"/>
    <mergeCell ref="B1015:T1015"/>
    <mergeCell ref="B1016:T1016"/>
    <mergeCell ref="A959:A966"/>
    <mergeCell ref="B1177:T1177"/>
    <mergeCell ref="B1178:T1178"/>
    <mergeCell ref="I1033:I1038"/>
    <mergeCell ref="M1033:M1038"/>
    <mergeCell ref="T1073:T1078"/>
    <mergeCell ref="B1073:H1073"/>
    <mergeCell ref="M1049:M1054"/>
    <mergeCell ref="N1049:N1054"/>
    <mergeCell ref="O1049:O1054"/>
    <mergeCell ref="P1049:P1054"/>
    <mergeCell ref="I985:I990"/>
    <mergeCell ref="L1009:L1014"/>
    <mergeCell ref="M1009:M1014"/>
    <mergeCell ref="B993:H993"/>
    <mergeCell ref="N1149:N1154"/>
    <mergeCell ref="O1149:O1154"/>
    <mergeCell ref="P1149:P1154"/>
    <mergeCell ref="A1199:A1206"/>
    <mergeCell ref="I977:I982"/>
    <mergeCell ref="J977:J982"/>
    <mergeCell ref="K977:K982"/>
    <mergeCell ref="L977:L982"/>
    <mergeCell ref="T1127:T1132"/>
    <mergeCell ref="T977:T982"/>
    <mergeCell ref="B1170:T1170"/>
    <mergeCell ref="I1171:I1176"/>
    <mergeCell ref="J1171:J1176"/>
    <mergeCell ref="K1171:K1176"/>
    <mergeCell ref="L1171:L1176"/>
    <mergeCell ref="M1171:M1176"/>
    <mergeCell ref="N1171:N1176"/>
    <mergeCell ref="O1187:O1192"/>
    <mergeCell ref="P1187:P1192"/>
    <mergeCell ref="Q1187:Q1192"/>
    <mergeCell ref="R1187:R1192"/>
    <mergeCell ref="S1187:S1192"/>
    <mergeCell ref="K1127:K1132"/>
    <mergeCell ref="N1127:N1132"/>
    <mergeCell ref="N1187:N1192"/>
    <mergeCell ref="O1171:O1176"/>
    <mergeCell ref="P1171:P1176"/>
    <mergeCell ref="K1201:K1206"/>
    <mergeCell ref="L1201:L1206"/>
    <mergeCell ref="M1201:M1206"/>
    <mergeCell ref="B1185:T1185"/>
    <mergeCell ref="B1186:T1186"/>
    <mergeCell ref="B1133:T1133"/>
    <mergeCell ref="I1134:T1138"/>
    <mergeCell ref="R1017:R1022"/>
    <mergeCell ref="T1057:T1062"/>
    <mergeCell ref="B1057:H1057"/>
    <mergeCell ref="Q977:Q982"/>
    <mergeCell ref="B1008:T1008"/>
    <mergeCell ref="P1001:P1006"/>
    <mergeCell ref="Q1171:Q1176"/>
    <mergeCell ref="M1017:M1022"/>
    <mergeCell ref="T1017:T1022"/>
    <mergeCell ref="S1127:S1132"/>
    <mergeCell ref="B1023:T1023"/>
    <mergeCell ref="I1009:I1014"/>
    <mergeCell ref="J1009:J1014"/>
    <mergeCell ref="K1009:K1014"/>
    <mergeCell ref="B1031:T1031"/>
    <mergeCell ref="L1049:L1054"/>
    <mergeCell ref="N1009:N1014"/>
    <mergeCell ref="R1001:R1006"/>
    <mergeCell ref="S1001:S1006"/>
    <mergeCell ref="T1001:T1006"/>
    <mergeCell ref="B1072:T1072"/>
    <mergeCell ref="I1073:I1078"/>
    <mergeCell ref="J1073:J1078"/>
    <mergeCell ref="T1065:T1070"/>
    <mergeCell ref="B1065:H1065"/>
    <mergeCell ref="I1057:I1062"/>
    <mergeCell ref="J1057:J1062"/>
    <mergeCell ref="K1057:K1062"/>
    <mergeCell ref="L1057:L1062"/>
    <mergeCell ref="M1057:M1062"/>
    <mergeCell ref="O1127:O1132"/>
    <mergeCell ref="P1127:P1132"/>
    <mergeCell ref="B1049:H1049"/>
    <mergeCell ref="T1179:T1184"/>
    <mergeCell ref="N1179:N1184"/>
    <mergeCell ref="O1179:O1184"/>
    <mergeCell ref="K1017:K1022"/>
    <mergeCell ref="L1017:L1022"/>
    <mergeCell ref="J1017:J1022"/>
    <mergeCell ref="S1073:S1078"/>
    <mergeCell ref="K1049:K1054"/>
    <mergeCell ref="T1033:T1038"/>
    <mergeCell ref="B1033:H1033"/>
    <mergeCell ref="K1025:K1030"/>
    <mergeCell ref="L1025:L1030"/>
    <mergeCell ref="B1001:H1001"/>
    <mergeCell ref="A975:A982"/>
    <mergeCell ref="S858:S863"/>
    <mergeCell ref="T858:T863"/>
    <mergeCell ref="K898:K903"/>
    <mergeCell ref="S993:S998"/>
    <mergeCell ref="S969:S974"/>
    <mergeCell ref="B896:T896"/>
    <mergeCell ref="A999:A1006"/>
    <mergeCell ref="L874:L879"/>
    <mergeCell ref="M874:M879"/>
    <mergeCell ref="B1071:T1071"/>
    <mergeCell ref="J1033:J1038"/>
    <mergeCell ref="Q1049:Q1054"/>
    <mergeCell ref="L1073:L1078"/>
    <mergeCell ref="M1073:M1078"/>
    <mergeCell ref="N1073:N1078"/>
    <mergeCell ref="O1073:O1078"/>
    <mergeCell ref="P1073:P1078"/>
    <mergeCell ref="Q1001:Q1006"/>
    <mergeCell ref="A1055:A1062"/>
    <mergeCell ref="B1055:T1055"/>
    <mergeCell ref="B1056:T1056"/>
    <mergeCell ref="A1103:A1110"/>
    <mergeCell ref="A1079:A1086"/>
    <mergeCell ref="B1079:T1079"/>
    <mergeCell ref="B1096:T1096"/>
    <mergeCell ref="I1097:I1102"/>
    <mergeCell ref="B840:T840"/>
    <mergeCell ref="B841:T841"/>
    <mergeCell ref="A872:A879"/>
    <mergeCell ref="O1009:O1014"/>
    <mergeCell ref="P1009:P1014"/>
    <mergeCell ref="N977:N982"/>
    <mergeCell ref="Q953:Q958"/>
    <mergeCell ref="M977:M982"/>
    <mergeCell ref="N937:N942"/>
    <mergeCell ref="O937:O942"/>
    <mergeCell ref="P937:P942"/>
    <mergeCell ref="Q866:Q871"/>
    <mergeCell ref="M1025:M1030"/>
    <mergeCell ref="N1025:N1030"/>
    <mergeCell ref="O1025:O1030"/>
    <mergeCell ref="P1025:P1030"/>
    <mergeCell ref="Q1025:Q1030"/>
    <mergeCell ref="R1025:R1030"/>
    <mergeCell ref="S1025:S1030"/>
    <mergeCell ref="T1025:T1030"/>
    <mergeCell ref="O1017:O1022"/>
    <mergeCell ref="P1017:P1022"/>
    <mergeCell ref="B873:T873"/>
    <mergeCell ref="B881:T881"/>
    <mergeCell ref="Q1127:Q1132"/>
    <mergeCell ref="P1113:P1118"/>
    <mergeCell ref="Q1113:Q1118"/>
    <mergeCell ref="A1063:A1070"/>
    <mergeCell ref="A1087:A1094"/>
    <mergeCell ref="R1089:R1094"/>
    <mergeCell ref="S1089:S1094"/>
    <mergeCell ref="T1089:T1094"/>
    <mergeCell ref="B1089:H1089"/>
    <mergeCell ref="A1095:A1102"/>
    <mergeCell ref="Q1097:Q1102"/>
    <mergeCell ref="R1097:R1102"/>
    <mergeCell ref="S1097:S1102"/>
    <mergeCell ref="A1111:A1118"/>
    <mergeCell ref="B1111:T1111"/>
    <mergeCell ref="B1112:T1112"/>
    <mergeCell ref="A1071:A1078"/>
    <mergeCell ref="A1125:A1132"/>
    <mergeCell ref="L1127:L1132"/>
    <mergeCell ref="M1127:M1132"/>
    <mergeCell ref="M1089:M1094"/>
    <mergeCell ref="N1089:N1094"/>
    <mergeCell ref="O1089:O1094"/>
    <mergeCell ref="P1089:P1094"/>
    <mergeCell ref="Q1089:Q1094"/>
    <mergeCell ref="N1097:N1102"/>
    <mergeCell ref="O1097:O1102"/>
    <mergeCell ref="P1097:P1102"/>
    <mergeCell ref="L1113:L1118"/>
    <mergeCell ref="R1127:R1132"/>
    <mergeCell ref="I1065:I1070"/>
    <mergeCell ref="A1133:A1138"/>
    <mergeCell ref="B1169:T1169"/>
    <mergeCell ref="A1047:A1054"/>
    <mergeCell ref="A991:A998"/>
    <mergeCell ref="B991:T991"/>
    <mergeCell ref="B992:T992"/>
    <mergeCell ref="I993:I998"/>
    <mergeCell ref="J993:J998"/>
    <mergeCell ref="K993:K998"/>
    <mergeCell ref="L993:L998"/>
    <mergeCell ref="M993:M998"/>
    <mergeCell ref="N993:N998"/>
    <mergeCell ref="O993:O998"/>
    <mergeCell ref="P993:P998"/>
    <mergeCell ref="Q993:Q998"/>
    <mergeCell ref="R993:R998"/>
    <mergeCell ref="T993:T998"/>
    <mergeCell ref="B1113:H1113"/>
    <mergeCell ref="R1049:R1054"/>
    <mergeCell ref="S1049:S1054"/>
    <mergeCell ref="Q1073:Q1078"/>
    <mergeCell ref="R1073:R1078"/>
    <mergeCell ref="N1033:N1038"/>
    <mergeCell ref="O1033:O1038"/>
    <mergeCell ref="P1033:P1038"/>
    <mergeCell ref="R1113:R1118"/>
    <mergeCell ref="S1113:S1118"/>
    <mergeCell ref="B1097:H1097"/>
    <mergeCell ref="J1081:J1086"/>
    <mergeCell ref="M1113:M1118"/>
    <mergeCell ref="N1113:N1118"/>
    <mergeCell ref="O1113:O1118"/>
    <mergeCell ref="R929:R934"/>
    <mergeCell ref="B976:T976"/>
    <mergeCell ref="Q969:Q974"/>
    <mergeCell ref="R969:R974"/>
    <mergeCell ref="T953:T958"/>
    <mergeCell ref="O953:O958"/>
    <mergeCell ref="P953:P958"/>
    <mergeCell ref="B975:T975"/>
    <mergeCell ref="B959:T959"/>
    <mergeCell ref="B960:T960"/>
    <mergeCell ref="I961:I966"/>
    <mergeCell ref="J961:J966"/>
    <mergeCell ref="K961:K966"/>
    <mergeCell ref="L961:L966"/>
    <mergeCell ref="J929:J934"/>
    <mergeCell ref="N961:N966"/>
    <mergeCell ref="M953:M958"/>
    <mergeCell ref="Q945:Q950"/>
    <mergeCell ref="M929:M934"/>
    <mergeCell ref="N929:N934"/>
    <mergeCell ref="S961:S966"/>
    <mergeCell ref="R763:R768"/>
    <mergeCell ref="S763:S768"/>
    <mergeCell ref="N502:N507"/>
    <mergeCell ref="K985:K990"/>
    <mergeCell ref="L985:L990"/>
    <mergeCell ref="M985:M990"/>
    <mergeCell ref="N985:N990"/>
    <mergeCell ref="R961:R966"/>
    <mergeCell ref="T1113:T1118"/>
    <mergeCell ref="R1105:R1110"/>
    <mergeCell ref="S1105:S1110"/>
    <mergeCell ref="B349:T349"/>
    <mergeCell ref="I350:T354"/>
    <mergeCell ref="B509:T509"/>
    <mergeCell ref="N1105:N1110"/>
    <mergeCell ref="O1105:O1110"/>
    <mergeCell ref="P1105:P1110"/>
    <mergeCell ref="Q1105:Q1110"/>
    <mergeCell ref="B1063:T1063"/>
    <mergeCell ref="B1087:T1087"/>
    <mergeCell ref="B1088:T1088"/>
    <mergeCell ref="I1089:I1094"/>
    <mergeCell ref="J1089:J1094"/>
    <mergeCell ref="K1089:K1094"/>
    <mergeCell ref="L1089:L1094"/>
    <mergeCell ref="I1113:I1118"/>
    <mergeCell ref="J1113:J1118"/>
    <mergeCell ref="K1113:K1118"/>
    <mergeCell ref="B935:T935"/>
    <mergeCell ref="B943:T943"/>
    <mergeCell ref="J357:J362"/>
    <mergeCell ref="B944:T944"/>
    <mergeCell ref="U310:U315"/>
    <mergeCell ref="B311:H311"/>
    <mergeCell ref="I311:I316"/>
    <mergeCell ref="L1081:L1086"/>
    <mergeCell ref="M1081:M1086"/>
    <mergeCell ref="N1081:N1086"/>
    <mergeCell ref="O1081:O1086"/>
    <mergeCell ref="P1081:P1086"/>
    <mergeCell ref="Q1081:Q1086"/>
    <mergeCell ref="R1081:R1086"/>
    <mergeCell ref="S1081:S1086"/>
    <mergeCell ref="L1065:L1070"/>
    <mergeCell ref="M1065:M1070"/>
    <mergeCell ref="N1065:N1070"/>
    <mergeCell ref="O1065:O1070"/>
    <mergeCell ref="P723:P728"/>
    <mergeCell ref="Q723:Q728"/>
    <mergeCell ref="B1041:H1041"/>
    <mergeCell ref="K1081:K1086"/>
    <mergeCell ref="I1017:I1022"/>
    <mergeCell ref="N1057:N1062"/>
    <mergeCell ref="O1057:O1062"/>
    <mergeCell ref="P1057:P1062"/>
    <mergeCell ref="Q1057:Q1062"/>
    <mergeCell ref="B1047:T1047"/>
    <mergeCell ref="B1048:T1048"/>
    <mergeCell ref="I1049:I1054"/>
    <mergeCell ref="J1049:J1054"/>
    <mergeCell ref="B1009:H1009"/>
    <mergeCell ref="R1057:R1062"/>
    <mergeCell ref="S1057:S1062"/>
    <mergeCell ref="T1049:T1054"/>
    <mergeCell ref="A1039:A1046"/>
    <mergeCell ref="J1041:J1046"/>
    <mergeCell ref="K1041:K1046"/>
    <mergeCell ref="L1041:L1046"/>
    <mergeCell ref="M1041:M1046"/>
    <mergeCell ref="N1041:N1046"/>
    <mergeCell ref="O1041:O1046"/>
    <mergeCell ref="P1041:P1046"/>
    <mergeCell ref="Q1041:Q1046"/>
    <mergeCell ref="R1041:R1046"/>
    <mergeCell ref="Q1033:Q1038"/>
    <mergeCell ref="R1033:R1038"/>
    <mergeCell ref="S1033:S1038"/>
    <mergeCell ref="B1039:T1039"/>
    <mergeCell ref="B1040:T1040"/>
    <mergeCell ref="I1041:I1046"/>
    <mergeCell ref="S1017:S1022"/>
    <mergeCell ref="N1017:N1022"/>
    <mergeCell ref="B1024:T1024"/>
    <mergeCell ref="I1025:I1030"/>
    <mergeCell ref="A1015:A1022"/>
    <mergeCell ref="A1031:A1038"/>
    <mergeCell ref="S1041:S1046"/>
    <mergeCell ref="T1041:T1046"/>
    <mergeCell ref="K1033:K1038"/>
    <mergeCell ref="L1033:L1038"/>
    <mergeCell ref="A721:A728"/>
    <mergeCell ref="B721:T721"/>
    <mergeCell ref="B722:T722"/>
    <mergeCell ref="B723:H723"/>
    <mergeCell ref="I723:I728"/>
    <mergeCell ref="J723:J728"/>
    <mergeCell ref="K723:K728"/>
    <mergeCell ref="B657:T657"/>
    <mergeCell ref="B706:T706"/>
    <mergeCell ref="J707:J712"/>
    <mergeCell ref="Q667:Q672"/>
    <mergeCell ref="A500:A507"/>
    <mergeCell ref="B500:T500"/>
    <mergeCell ref="B501:T501"/>
    <mergeCell ref="B502:H502"/>
    <mergeCell ref="I502:I507"/>
    <mergeCell ref="J502:J507"/>
    <mergeCell ref="K502:K507"/>
    <mergeCell ref="L502:L507"/>
    <mergeCell ref="M502:M507"/>
    <mergeCell ref="J534:J539"/>
    <mergeCell ref="S502:S507"/>
    <mergeCell ref="T502:T507"/>
    <mergeCell ref="K534:K539"/>
    <mergeCell ref="L534:L539"/>
    <mergeCell ref="M534:M539"/>
    <mergeCell ref="N534:N539"/>
    <mergeCell ref="O534:O539"/>
    <mergeCell ref="P534:P539"/>
    <mergeCell ref="Q534:Q539"/>
    <mergeCell ref="R534:R539"/>
    <mergeCell ref="S534:S539"/>
    <mergeCell ref="U356:U361"/>
    <mergeCell ref="O357:O362"/>
    <mergeCell ref="P357:P362"/>
    <mergeCell ref="Q357:Q362"/>
    <mergeCell ref="R357:R362"/>
    <mergeCell ref="S357:S362"/>
    <mergeCell ref="T357:T362"/>
    <mergeCell ref="B355:T355"/>
    <mergeCell ref="I357:I362"/>
    <mergeCell ref="B1095:T1095"/>
    <mergeCell ref="B1080:T1080"/>
    <mergeCell ref="I1081:I1086"/>
    <mergeCell ref="T1081:T1086"/>
    <mergeCell ref="B1081:H1081"/>
    <mergeCell ref="B1064:T1064"/>
    <mergeCell ref="J1065:J1070"/>
    <mergeCell ref="K1065:K1070"/>
    <mergeCell ref="K1073:K1078"/>
    <mergeCell ref="L723:L728"/>
    <mergeCell ref="M723:M728"/>
    <mergeCell ref="N723:N728"/>
    <mergeCell ref="O723:O728"/>
    <mergeCell ref="N763:N768"/>
    <mergeCell ref="O763:O768"/>
    <mergeCell ref="P763:P768"/>
    <mergeCell ref="B967:T967"/>
    <mergeCell ref="B968:T968"/>
    <mergeCell ref="O502:O507"/>
    <mergeCell ref="P502:P507"/>
    <mergeCell ref="Q502:Q507"/>
    <mergeCell ref="R502:R507"/>
    <mergeCell ref="Q763:Q768"/>
    <mergeCell ref="A1007:A1014"/>
    <mergeCell ref="B761:T761"/>
    <mergeCell ref="B762:T762"/>
    <mergeCell ref="B763:H763"/>
    <mergeCell ref="I763:I768"/>
    <mergeCell ref="J763:J768"/>
    <mergeCell ref="K763:K768"/>
    <mergeCell ref="L763:L768"/>
    <mergeCell ref="M763:M768"/>
    <mergeCell ref="I771:I776"/>
    <mergeCell ref="J771:J776"/>
    <mergeCell ref="K771:K776"/>
    <mergeCell ref="L771:L776"/>
    <mergeCell ref="T771:T776"/>
    <mergeCell ref="T763:T768"/>
    <mergeCell ref="J1105:J1110"/>
    <mergeCell ref="K1105:K1110"/>
    <mergeCell ref="L1105:L1110"/>
    <mergeCell ref="B1007:T1007"/>
    <mergeCell ref="B1105:H1105"/>
    <mergeCell ref="B953:H953"/>
    <mergeCell ref="O961:O966"/>
    <mergeCell ref="B1103:T1103"/>
    <mergeCell ref="B1104:T1104"/>
    <mergeCell ref="I1105:I1110"/>
    <mergeCell ref="J985:J990"/>
    <mergeCell ref="J1097:J1102"/>
    <mergeCell ref="K1097:K1102"/>
    <mergeCell ref="M1097:M1102"/>
    <mergeCell ref="P961:P966"/>
    <mergeCell ref="Q961:Q966"/>
    <mergeCell ref="M890:M895"/>
    <mergeCell ref="I1259:T1265"/>
    <mergeCell ref="T1105:T1110"/>
    <mergeCell ref="M1105:M1110"/>
    <mergeCell ref="L1097:L1102"/>
    <mergeCell ref="P1065:P1070"/>
    <mergeCell ref="Q1065:Q1070"/>
    <mergeCell ref="R1065:R1070"/>
    <mergeCell ref="S1065:S1070"/>
    <mergeCell ref="T1097:T1102"/>
    <mergeCell ref="M771:M776"/>
    <mergeCell ref="N771:N776"/>
    <mergeCell ref="O771:O776"/>
    <mergeCell ref="P771:P776"/>
    <mergeCell ref="Q771:Q776"/>
    <mergeCell ref="R771:R776"/>
    <mergeCell ref="S771:S776"/>
    <mergeCell ref="A55:A62"/>
    <mergeCell ref="B55:T55"/>
    <mergeCell ref="B56:T56"/>
    <mergeCell ref="B57:H57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T534:T539"/>
    <mergeCell ref="A532:A539"/>
    <mergeCell ref="B516:T516"/>
    <mergeCell ref="B517:T517"/>
    <mergeCell ref="B518:H518"/>
    <mergeCell ref="I518:I523"/>
    <mergeCell ref="J518:J523"/>
    <mergeCell ref="K518:K523"/>
    <mergeCell ref="L518:L523"/>
    <mergeCell ref="M518:M523"/>
    <mergeCell ref="N518:N523"/>
    <mergeCell ref="O518:O523"/>
    <mergeCell ref="P518:P523"/>
    <mergeCell ref="Q518:Q523"/>
    <mergeCell ref="R518:R523"/>
    <mergeCell ref="S518:S523"/>
    <mergeCell ref="S526:S531"/>
    <mergeCell ref="T526:T531"/>
    <mergeCell ref="B525:T525"/>
    <mergeCell ref="A508:A515"/>
    <mergeCell ref="I510:I515"/>
    <mergeCell ref="J510:J515"/>
    <mergeCell ref="K510:K515"/>
    <mergeCell ref="L510:L515"/>
    <mergeCell ref="M510:M515"/>
    <mergeCell ref="N510:N515"/>
    <mergeCell ref="O510:O515"/>
    <mergeCell ref="P510:P515"/>
    <mergeCell ref="Q510:Q515"/>
    <mergeCell ref="R510:R515"/>
    <mergeCell ref="S510:S515"/>
    <mergeCell ref="T510:T515"/>
    <mergeCell ref="T518:T523"/>
    <mergeCell ref="B526:H526"/>
    <mergeCell ref="I526:I531"/>
    <mergeCell ref="J526:J531"/>
    <mergeCell ref="K526:K531"/>
    <mergeCell ref="L526:L531"/>
    <mergeCell ref="M526:M531"/>
    <mergeCell ref="N526:N531"/>
    <mergeCell ref="O526:O531"/>
    <mergeCell ref="P526:P531"/>
    <mergeCell ref="Q526:Q531"/>
    <mergeCell ref="R526:R531"/>
    <mergeCell ref="B508:T508"/>
    <mergeCell ref="A516:A523"/>
    <mergeCell ref="A524:A531"/>
    <mergeCell ref="O73:O78"/>
    <mergeCell ref="P73:P78"/>
    <mergeCell ref="Q73:Q78"/>
    <mergeCell ref="R73:R78"/>
    <mergeCell ref="S73:S78"/>
    <mergeCell ref="T73:T78"/>
    <mergeCell ref="B79:T79"/>
    <mergeCell ref="B80:T80"/>
    <mergeCell ref="B81:H81"/>
    <mergeCell ref="I81:I86"/>
    <mergeCell ref="J81:J86"/>
    <mergeCell ref="K81:K86"/>
    <mergeCell ref="L81:L86"/>
    <mergeCell ref="M81:M86"/>
    <mergeCell ref="N81:N86"/>
    <mergeCell ref="O81:O86"/>
    <mergeCell ref="P81:P86"/>
    <mergeCell ref="Q81:Q86"/>
    <mergeCell ref="R81:R86"/>
    <mergeCell ref="S81:S86"/>
    <mergeCell ref="T81:T86"/>
    <mergeCell ref="B87:T87"/>
    <mergeCell ref="B88:T88"/>
    <mergeCell ref="B89:H89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S89:S94"/>
    <mergeCell ref="T89:T94"/>
    <mergeCell ref="B95:T95"/>
    <mergeCell ref="B96:T96"/>
    <mergeCell ref="B97:H97"/>
    <mergeCell ref="I97:I102"/>
    <mergeCell ref="J97:J102"/>
    <mergeCell ref="K97:K102"/>
    <mergeCell ref="L97:L102"/>
    <mergeCell ref="M97:M102"/>
    <mergeCell ref="N97:N102"/>
    <mergeCell ref="O97:O102"/>
    <mergeCell ref="P97:P102"/>
    <mergeCell ref="Q97:Q102"/>
    <mergeCell ref="R97:R102"/>
    <mergeCell ref="S97:S102"/>
    <mergeCell ref="T97:T102"/>
    <mergeCell ref="B103:T103"/>
    <mergeCell ref="B104:T104"/>
    <mergeCell ref="B105:H105"/>
    <mergeCell ref="I105:I110"/>
    <mergeCell ref="J105:J110"/>
    <mergeCell ref="K105:K110"/>
    <mergeCell ref="L105:L110"/>
    <mergeCell ref="M105:M110"/>
    <mergeCell ref="N105:N110"/>
    <mergeCell ref="O105:O110"/>
    <mergeCell ref="P105:P110"/>
    <mergeCell ref="Q105:Q110"/>
    <mergeCell ref="R105:R110"/>
    <mergeCell ref="S105:S110"/>
    <mergeCell ref="T105:T110"/>
    <mergeCell ref="B111:T111"/>
    <mergeCell ref="B112:T112"/>
    <mergeCell ref="B113:H113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B119:T119"/>
    <mergeCell ref="B120:T120"/>
    <mergeCell ref="B121:H121"/>
    <mergeCell ref="I121:I126"/>
    <mergeCell ref="J121:J126"/>
    <mergeCell ref="K121:K126"/>
    <mergeCell ref="L121:L126"/>
    <mergeCell ref="M121:M126"/>
    <mergeCell ref="N121:N126"/>
    <mergeCell ref="O121:O126"/>
    <mergeCell ref="P121:P126"/>
    <mergeCell ref="Q121:Q126"/>
    <mergeCell ref="R121:R126"/>
    <mergeCell ref="S121:S126"/>
    <mergeCell ref="T121:T126"/>
    <mergeCell ref="B127:T127"/>
    <mergeCell ref="B128:T128"/>
    <mergeCell ref="B129:H129"/>
    <mergeCell ref="I129:I134"/>
    <mergeCell ref="J129:J134"/>
    <mergeCell ref="K129:K134"/>
    <mergeCell ref="L129:L134"/>
    <mergeCell ref="M129:M134"/>
    <mergeCell ref="N129:N134"/>
    <mergeCell ref="O129:O134"/>
    <mergeCell ref="P129:P134"/>
    <mergeCell ref="Q129:Q134"/>
    <mergeCell ref="R129:R134"/>
    <mergeCell ref="S129:S134"/>
    <mergeCell ref="T129:T134"/>
    <mergeCell ref="B135:T135"/>
    <mergeCell ref="B136:T136"/>
    <mergeCell ref="B137:H137"/>
    <mergeCell ref="I137:I142"/>
    <mergeCell ref="J137:J142"/>
    <mergeCell ref="K137:K142"/>
    <mergeCell ref="L137:L142"/>
    <mergeCell ref="M137:M142"/>
    <mergeCell ref="N137:N142"/>
    <mergeCell ref="O137:O142"/>
    <mergeCell ref="P137:P142"/>
    <mergeCell ref="Q137:Q142"/>
    <mergeCell ref="R137:R142"/>
    <mergeCell ref="S137:S142"/>
    <mergeCell ref="T137:T142"/>
    <mergeCell ref="B143:T143"/>
    <mergeCell ref="B144:T144"/>
    <mergeCell ref="B145:H145"/>
    <mergeCell ref="I145:I150"/>
    <mergeCell ref="J145:J150"/>
    <mergeCell ref="K145:K150"/>
    <mergeCell ref="L145:L150"/>
    <mergeCell ref="M145:M150"/>
    <mergeCell ref="N145:N150"/>
    <mergeCell ref="O145:O150"/>
    <mergeCell ref="P145:P150"/>
    <mergeCell ref="Q145:Q150"/>
    <mergeCell ref="R145:R150"/>
    <mergeCell ref="S145:S150"/>
    <mergeCell ref="T145:T150"/>
    <mergeCell ref="B151:T151"/>
    <mergeCell ref="B152:T152"/>
    <mergeCell ref="B153:H153"/>
    <mergeCell ref="I153:I158"/>
    <mergeCell ref="J153:J158"/>
    <mergeCell ref="K153:K158"/>
    <mergeCell ref="L153:L158"/>
    <mergeCell ref="M153:M158"/>
    <mergeCell ref="N153:N158"/>
    <mergeCell ref="O153:O158"/>
    <mergeCell ref="P153:P158"/>
    <mergeCell ref="Q153:Q158"/>
    <mergeCell ref="R153:R158"/>
    <mergeCell ref="S153:S158"/>
    <mergeCell ref="T153:T158"/>
    <mergeCell ref="B159:T159"/>
    <mergeCell ref="B160:T160"/>
    <mergeCell ref="B161:H161"/>
    <mergeCell ref="I161:I166"/>
    <mergeCell ref="J161:J166"/>
    <mergeCell ref="K161:K166"/>
    <mergeCell ref="L161:L166"/>
    <mergeCell ref="M161:M166"/>
    <mergeCell ref="N161:N166"/>
    <mergeCell ref="O161:O166"/>
    <mergeCell ref="P161:P166"/>
    <mergeCell ref="Q161:Q166"/>
    <mergeCell ref="R161:R166"/>
    <mergeCell ref="S161:S166"/>
    <mergeCell ref="T161:T166"/>
    <mergeCell ref="B167:T167"/>
    <mergeCell ref="B168:T168"/>
    <mergeCell ref="B169:H169"/>
    <mergeCell ref="I169:I174"/>
    <mergeCell ref="J169:J174"/>
    <mergeCell ref="K169:K174"/>
    <mergeCell ref="L169:L174"/>
    <mergeCell ref="M169:M174"/>
    <mergeCell ref="N169:N174"/>
    <mergeCell ref="O169:O174"/>
    <mergeCell ref="P169:P174"/>
    <mergeCell ref="Q169:Q174"/>
    <mergeCell ref="R169:R174"/>
    <mergeCell ref="S169:S174"/>
    <mergeCell ref="T169:T174"/>
    <mergeCell ref="B175:T175"/>
    <mergeCell ref="B176:T176"/>
    <mergeCell ref="B177:H177"/>
    <mergeCell ref="I177:I182"/>
    <mergeCell ref="J177:J182"/>
    <mergeCell ref="K177:K182"/>
    <mergeCell ref="L177:L182"/>
    <mergeCell ref="M177:M182"/>
    <mergeCell ref="N177:N182"/>
    <mergeCell ref="O177:O182"/>
    <mergeCell ref="P177:P182"/>
    <mergeCell ref="Q177:Q182"/>
    <mergeCell ref="R177:R182"/>
    <mergeCell ref="S177:S182"/>
    <mergeCell ref="T177:T182"/>
    <mergeCell ref="B183:T183"/>
    <mergeCell ref="B184:T184"/>
    <mergeCell ref="B185:H185"/>
    <mergeCell ref="I185:I190"/>
    <mergeCell ref="J185:J190"/>
    <mergeCell ref="K185:K190"/>
    <mergeCell ref="L185:L190"/>
    <mergeCell ref="M185:M190"/>
    <mergeCell ref="N185:N190"/>
    <mergeCell ref="O185:O190"/>
    <mergeCell ref="P185:P190"/>
    <mergeCell ref="Q185:Q190"/>
    <mergeCell ref="R185:R190"/>
    <mergeCell ref="S185:S190"/>
    <mergeCell ref="T185:T190"/>
    <mergeCell ref="B191:T191"/>
    <mergeCell ref="B192:T192"/>
    <mergeCell ref="B193:H193"/>
    <mergeCell ref="I193:I198"/>
    <mergeCell ref="J193:J198"/>
    <mergeCell ref="K193:K198"/>
    <mergeCell ref="L193:L198"/>
    <mergeCell ref="M193:M198"/>
    <mergeCell ref="N193:N198"/>
    <mergeCell ref="O193:O198"/>
    <mergeCell ref="P193:P198"/>
    <mergeCell ref="Q193:Q198"/>
    <mergeCell ref="R193:R198"/>
    <mergeCell ref="S193:S198"/>
    <mergeCell ref="T193:T198"/>
    <mergeCell ref="B199:T199"/>
    <mergeCell ref="B200:T200"/>
    <mergeCell ref="B201:H201"/>
    <mergeCell ref="I201:I206"/>
    <mergeCell ref="J201:J206"/>
    <mergeCell ref="K201:K206"/>
    <mergeCell ref="L201:L206"/>
    <mergeCell ref="M201:M206"/>
    <mergeCell ref="N201:N206"/>
    <mergeCell ref="O201:O206"/>
    <mergeCell ref="P201:P206"/>
    <mergeCell ref="Q201:Q206"/>
    <mergeCell ref="R201:R206"/>
    <mergeCell ref="S201:S206"/>
    <mergeCell ref="T201:T206"/>
    <mergeCell ref="B207:T207"/>
    <mergeCell ref="B208:T208"/>
    <mergeCell ref="B231:T231"/>
    <mergeCell ref="B232:T232"/>
    <mergeCell ref="B233:H233"/>
    <mergeCell ref="I233:I238"/>
    <mergeCell ref="B209:H209"/>
    <mergeCell ref="I209:I214"/>
    <mergeCell ref="J209:J214"/>
    <mergeCell ref="K209:K214"/>
    <mergeCell ref="L209:L214"/>
    <mergeCell ref="M209:M214"/>
    <mergeCell ref="N209:N214"/>
    <mergeCell ref="O209:O214"/>
    <mergeCell ref="P209:P214"/>
    <mergeCell ref="Q209:Q214"/>
    <mergeCell ref="R209:R214"/>
    <mergeCell ref="S209:S214"/>
    <mergeCell ref="T209:T214"/>
    <mergeCell ref="B215:T215"/>
    <mergeCell ref="B216:T216"/>
    <mergeCell ref="B217:H217"/>
    <mergeCell ref="I217:I222"/>
    <mergeCell ref="J217:J222"/>
    <mergeCell ref="K217:K222"/>
    <mergeCell ref="L217:L222"/>
    <mergeCell ref="M217:M222"/>
    <mergeCell ref="N217:N222"/>
    <mergeCell ref="O217:O222"/>
    <mergeCell ref="P217:P222"/>
    <mergeCell ref="Q217:Q222"/>
    <mergeCell ref="R217:R222"/>
    <mergeCell ref="S217:S222"/>
    <mergeCell ref="T217:T222"/>
    <mergeCell ref="P441:P446"/>
    <mergeCell ref="Q441:Q446"/>
    <mergeCell ref="R441:R446"/>
    <mergeCell ref="S441:S446"/>
    <mergeCell ref="T441:T446"/>
    <mergeCell ref="B223:T223"/>
    <mergeCell ref="B224:T224"/>
    <mergeCell ref="B225:H225"/>
    <mergeCell ref="I225:I230"/>
    <mergeCell ref="J225:J230"/>
    <mergeCell ref="K225:K230"/>
    <mergeCell ref="L225:L230"/>
    <mergeCell ref="M225:M230"/>
    <mergeCell ref="N225:N230"/>
    <mergeCell ref="O225:O230"/>
    <mergeCell ref="P225:P230"/>
    <mergeCell ref="Q225:Q230"/>
    <mergeCell ref="R225:R230"/>
    <mergeCell ref="S225:S230"/>
    <mergeCell ref="T225:T230"/>
    <mergeCell ref="B241:H241"/>
    <mergeCell ref="I241:I246"/>
    <mergeCell ref="J241:J246"/>
    <mergeCell ref="K241:K246"/>
    <mergeCell ref="L241:L246"/>
    <mergeCell ref="M241:M246"/>
    <mergeCell ref="N241:N246"/>
    <mergeCell ref="O241:O246"/>
    <mergeCell ref="P241:P246"/>
    <mergeCell ref="Q241:Q246"/>
    <mergeCell ref="R241:R246"/>
    <mergeCell ref="S241:S246"/>
    <mergeCell ref="K433:K438"/>
    <mergeCell ref="L433:L438"/>
    <mergeCell ref="M433:M438"/>
    <mergeCell ref="N433:N438"/>
    <mergeCell ref="O433:O438"/>
    <mergeCell ref="P433:P438"/>
    <mergeCell ref="Q433:Q438"/>
    <mergeCell ref="R433:R438"/>
    <mergeCell ref="S433:S438"/>
    <mergeCell ref="T433:T438"/>
    <mergeCell ref="B439:T439"/>
    <mergeCell ref="B440:T440"/>
    <mergeCell ref="J233:J238"/>
    <mergeCell ref="K233:K238"/>
    <mergeCell ref="L233:L238"/>
    <mergeCell ref="M233:M238"/>
    <mergeCell ref="N233:N238"/>
    <mergeCell ref="O233:O238"/>
    <mergeCell ref="P233:P238"/>
    <mergeCell ref="Q233:Q238"/>
    <mergeCell ref="R233:R238"/>
    <mergeCell ref="S233:S238"/>
    <mergeCell ref="T233:T238"/>
    <mergeCell ref="B239:T239"/>
    <mergeCell ref="B240:T240"/>
    <mergeCell ref="T241:T246"/>
    <mergeCell ref="Q311:Q316"/>
    <mergeCell ref="L311:L316"/>
    <mergeCell ref="B253:T253"/>
    <mergeCell ref="B254:T254"/>
    <mergeCell ref="A199:A206"/>
    <mergeCell ref="A207:A214"/>
    <mergeCell ref="A215:A222"/>
    <mergeCell ref="A223:A230"/>
    <mergeCell ref="A231:A238"/>
    <mergeCell ref="A239:A246"/>
    <mergeCell ref="A63:A70"/>
    <mergeCell ref="A71:A78"/>
    <mergeCell ref="A79:A86"/>
    <mergeCell ref="A87:A94"/>
    <mergeCell ref="A95:A102"/>
    <mergeCell ref="A103:A110"/>
    <mergeCell ref="A111:A118"/>
    <mergeCell ref="A119:A126"/>
    <mergeCell ref="A127:A134"/>
    <mergeCell ref="A135:A142"/>
    <mergeCell ref="A143:A150"/>
    <mergeCell ref="A151:A158"/>
    <mergeCell ref="A159:A166"/>
    <mergeCell ref="A167:A174"/>
    <mergeCell ref="A175:A182"/>
    <mergeCell ref="A183:A190"/>
    <mergeCell ref="A191:A198"/>
    <mergeCell ref="A341:A348"/>
    <mergeCell ref="B341:T341"/>
    <mergeCell ref="B342:T342"/>
    <mergeCell ref="B343:H343"/>
    <mergeCell ref="I343:I348"/>
    <mergeCell ref="J343:J348"/>
    <mergeCell ref="K343:K348"/>
    <mergeCell ref="L343:L348"/>
    <mergeCell ref="M343:M348"/>
    <mergeCell ref="N343:N348"/>
    <mergeCell ref="O343:O348"/>
    <mergeCell ref="P343:P348"/>
    <mergeCell ref="Q343:Q348"/>
    <mergeCell ref="R343:R348"/>
    <mergeCell ref="S343:S348"/>
    <mergeCell ref="T343:T348"/>
    <mergeCell ref="A1266:T1266"/>
    <mergeCell ref="B441:H441"/>
    <mergeCell ref="I441:I446"/>
    <mergeCell ref="J441:J446"/>
    <mergeCell ref="K441:K446"/>
    <mergeCell ref="L441:L446"/>
    <mergeCell ref="M441:M446"/>
    <mergeCell ref="N441:N446"/>
    <mergeCell ref="O441:O446"/>
    <mergeCell ref="A431:A438"/>
    <mergeCell ref="A439:A446"/>
    <mergeCell ref="B431:T431"/>
    <mergeCell ref="B432:T432"/>
    <mergeCell ref="B433:H433"/>
    <mergeCell ref="I433:I438"/>
    <mergeCell ref="J433:J438"/>
  </mergeCells>
  <pageMargins left="0.23622047244094491" right="0.23622047244094491" top="0.51181102362204722" bottom="0.11811023622047245" header="0.31496062992125984" footer="0.11811023622047245"/>
  <pageSetup paperSize="9" scale="49" fitToHeight="0" orientation="landscape" r:id="rId1"/>
  <rowBreaks count="22" manualBreakCount="22">
    <brk id="46" max="19" man="1"/>
    <brk id="102" max="19" man="1"/>
    <brk id="158" max="19" man="1"/>
    <brk id="214" max="19" man="1"/>
    <brk id="268" max="19" man="1"/>
    <brk id="324" max="19" man="1"/>
    <brk id="384" max="19" man="1"/>
    <brk id="438" max="19" man="1"/>
    <brk id="491" max="19" man="1"/>
    <brk id="548" max="19" man="1"/>
    <brk id="593" max="19" man="1"/>
    <brk id="638" max="19" man="1"/>
    <brk id="688" max="19" man="1"/>
    <brk id="744" max="19" man="1"/>
    <brk id="799" max="19" man="1"/>
    <brk id="855" max="19" man="1"/>
    <brk id="912" max="19" man="1"/>
    <brk id="974" max="19" man="1"/>
    <brk id="1030" max="19" man="1"/>
    <brk id="1086" max="19" man="1"/>
    <brk id="1146" max="19" man="1"/>
    <brk id="120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ИП2021+</vt:lpstr>
      <vt:lpstr>'ИП2021+'!Область_печати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Оксана Николаевна</dc:creator>
  <cp:lastModifiedBy>Ларионова Ольга Владимировна</cp:lastModifiedBy>
  <cp:lastPrinted>2021-02-15T05:34:16Z</cp:lastPrinted>
  <dcterms:created xsi:type="dcterms:W3CDTF">2013-06-03T21:57:32Z</dcterms:created>
  <dcterms:modified xsi:type="dcterms:W3CDTF">2021-02-19T21:45:06Z</dcterms:modified>
</cp:coreProperties>
</file>