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usr\MinEcon\Отдел государственных программ\00_Инвестиционная программа\2022 год\09_Оптимизация и изменения\6_Проект ИП_13.07.2022\4_утвержденный НПА\"/>
    </mc:Choice>
  </mc:AlternateContent>
  <bookViews>
    <workbookView xWindow="0" yWindow="0" windowWidth="25200" windowHeight="11385"/>
  </bookViews>
  <sheets>
    <sheet name="ИП2022" sheetId="71" r:id="rId1"/>
  </sheets>
  <definedNames>
    <definedName name="_xlnm._FilterDatabase" localSheetId="0" hidden="1">ИП2022!$A$8:$T$1427</definedName>
    <definedName name="_xlnm.Print_Titles" localSheetId="0">ИП2022!$9:$9</definedName>
    <definedName name="_xlnm.Print_Area" localSheetId="0">ИП2022!$A$1:$T$1461</definedName>
  </definedNames>
  <calcPr calcId="152511"/>
</workbook>
</file>

<file path=xl/calcChain.xml><?xml version="1.0" encoding="utf-8"?>
<calcChain xmlns="http://schemas.openxmlformats.org/spreadsheetml/2006/main">
  <c r="D285" i="71" l="1"/>
  <c r="D93" i="71"/>
  <c r="E770" i="71" l="1"/>
  <c r="F770" i="71"/>
  <c r="G770" i="71"/>
  <c r="H770" i="71"/>
  <c r="E771" i="71"/>
  <c r="F771" i="71"/>
  <c r="G771" i="71"/>
  <c r="H771" i="71"/>
  <c r="E772" i="71"/>
  <c r="F772" i="71"/>
  <c r="G772" i="71"/>
  <c r="H772" i="71"/>
  <c r="E773" i="71"/>
  <c r="F773" i="71"/>
  <c r="G773" i="71"/>
  <c r="H773" i="71"/>
  <c r="D771" i="71"/>
  <c r="D772" i="71"/>
  <c r="D773" i="71"/>
  <c r="D770" i="71"/>
  <c r="E860" i="71" l="1"/>
  <c r="D133" i="71" l="1"/>
  <c r="E1045" i="71" l="1"/>
  <c r="C1087" i="71"/>
  <c r="C1086" i="71"/>
  <c r="C1085" i="71"/>
  <c r="C1084" i="71"/>
  <c r="H1083" i="71"/>
  <c r="G1083" i="71"/>
  <c r="F1083" i="71"/>
  <c r="E1083" i="71"/>
  <c r="D1083" i="71"/>
  <c r="C1083" i="71" l="1"/>
  <c r="D583" i="71"/>
  <c r="E1370" i="71" l="1"/>
  <c r="F1370" i="71"/>
  <c r="G1370" i="71"/>
  <c r="H1370" i="71"/>
  <c r="E1371" i="71"/>
  <c r="F1371" i="71"/>
  <c r="G1371" i="71"/>
  <c r="H1371" i="71"/>
  <c r="E1372" i="71"/>
  <c r="F1372" i="71"/>
  <c r="G1372" i="71"/>
  <c r="H1372" i="71"/>
  <c r="E1373" i="71"/>
  <c r="F1373" i="71"/>
  <c r="G1373" i="71"/>
  <c r="H1373" i="71"/>
  <c r="D1371" i="71"/>
  <c r="D1372" i="71"/>
  <c r="D1373" i="71"/>
  <c r="D1370" i="71"/>
  <c r="D1348" i="71"/>
  <c r="D1403" i="71"/>
  <c r="C1403" i="71" s="1"/>
  <c r="C1405" i="71"/>
  <c r="C1404" i="71"/>
  <c r="C1402" i="71"/>
  <c r="H1401" i="71"/>
  <c r="G1401" i="71"/>
  <c r="F1401" i="71"/>
  <c r="E1401" i="71"/>
  <c r="C1401" i="71" l="1"/>
  <c r="D1401" i="71"/>
  <c r="E532" i="71" l="1"/>
  <c r="F532" i="71"/>
  <c r="G532" i="71"/>
  <c r="H532" i="71"/>
  <c r="G528" i="71"/>
  <c r="H528" i="71"/>
  <c r="F529" i="71"/>
  <c r="G529" i="71"/>
  <c r="H529" i="71"/>
  <c r="G530" i="71"/>
  <c r="H530" i="71"/>
  <c r="E531" i="71"/>
  <c r="F531" i="71"/>
  <c r="G531" i="71"/>
  <c r="H531" i="71"/>
  <c r="D531" i="71"/>
  <c r="E290" i="71"/>
  <c r="F290" i="71"/>
  <c r="G290" i="71"/>
  <c r="H290" i="71"/>
  <c r="G291" i="71"/>
  <c r="H291" i="71"/>
  <c r="E292" i="71"/>
  <c r="F292" i="71"/>
  <c r="G292" i="71"/>
  <c r="H292" i="71"/>
  <c r="E293" i="71"/>
  <c r="F293" i="71"/>
  <c r="G293" i="71"/>
  <c r="H293" i="71"/>
  <c r="D293" i="71"/>
  <c r="D290" i="71"/>
  <c r="G1267" i="71" l="1"/>
  <c r="E1267" i="71"/>
  <c r="E1107" i="71"/>
  <c r="E779" i="71" l="1"/>
  <c r="F316" i="71" l="1"/>
  <c r="E294" i="71"/>
  <c r="F294" i="71"/>
  <c r="G294" i="71"/>
  <c r="H294" i="71"/>
  <c r="C390" i="71"/>
  <c r="C391" i="71"/>
  <c r="C392" i="71"/>
  <c r="C393" i="71"/>
  <c r="C389" i="71"/>
  <c r="D388" i="71"/>
  <c r="E388" i="71"/>
  <c r="F388" i="71"/>
  <c r="G388" i="71"/>
  <c r="H388" i="71"/>
  <c r="C381" i="71"/>
  <c r="C382" i="71"/>
  <c r="C383" i="71"/>
  <c r="C384" i="71"/>
  <c r="C380" i="71"/>
  <c r="D379" i="71"/>
  <c r="E379" i="71"/>
  <c r="F379" i="71"/>
  <c r="G379" i="71"/>
  <c r="H379" i="71"/>
  <c r="C388" i="71" l="1"/>
  <c r="C379" i="71"/>
  <c r="D375" i="71"/>
  <c r="C372" i="71"/>
  <c r="C373" i="71"/>
  <c r="C374" i="71"/>
  <c r="C371" i="71"/>
  <c r="E370" i="71"/>
  <c r="F370" i="71"/>
  <c r="G370" i="71"/>
  <c r="H370" i="71"/>
  <c r="C375" i="71" l="1"/>
  <c r="C370" i="71" s="1"/>
  <c r="D294" i="71"/>
  <c r="C294" i="71" s="1"/>
  <c r="D370" i="71"/>
  <c r="D511" i="71" l="1"/>
  <c r="C511" i="71" s="1"/>
  <c r="D510" i="71"/>
  <c r="D460" i="71" s="1"/>
  <c r="E460" i="71"/>
  <c r="E1459" i="71" s="1"/>
  <c r="F460" i="71"/>
  <c r="F1459" i="71" s="1"/>
  <c r="G460" i="71"/>
  <c r="G1459" i="71" s="1"/>
  <c r="H460" i="71"/>
  <c r="H1459" i="71" s="1"/>
  <c r="E461" i="71"/>
  <c r="E1460" i="71" s="1"/>
  <c r="F461" i="71"/>
  <c r="F1460" i="71" s="1"/>
  <c r="G461" i="71"/>
  <c r="G1460" i="71" s="1"/>
  <c r="H461" i="71"/>
  <c r="H1460" i="71" s="1"/>
  <c r="D459" i="71"/>
  <c r="C507" i="71"/>
  <c r="C508" i="71"/>
  <c r="C509" i="71"/>
  <c r="C506" i="71"/>
  <c r="E505" i="71"/>
  <c r="F505" i="71"/>
  <c r="G505" i="71"/>
  <c r="H505" i="71"/>
  <c r="C510" i="71" l="1"/>
  <c r="C505" i="71" s="1"/>
  <c r="D505" i="71"/>
  <c r="D461" i="71"/>
  <c r="D1460" i="71" s="1"/>
  <c r="D1459" i="71"/>
  <c r="C1460" i="71" l="1"/>
  <c r="C1459" i="71"/>
  <c r="C460" i="71"/>
  <c r="C461" i="71"/>
  <c r="D427" i="71"/>
  <c r="D405" i="71"/>
  <c r="D308" i="71" l="1"/>
  <c r="D364" i="71" l="1"/>
  <c r="G289" i="71" l="1"/>
  <c r="C363" i="71"/>
  <c r="C364" i="71"/>
  <c r="C365" i="71"/>
  <c r="C366" i="71"/>
  <c r="D362" i="71"/>
  <c r="E362" i="71"/>
  <c r="F362" i="71"/>
  <c r="G362" i="71"/>
  <c r="H362" i="71"/>
  <c r="H289" i="71" l="1"/>
  <c r="C362" i="71"/>
  <c r="D585" i="71"/>
  <c r="D582" i="71"/>
  <c r="D621" i="71"/>
  <c r="D619" i="71"/>
  <c r="D618" i="71"/>
  <c r="D637" i="71"/>
  <c r="D636" i="71"/>
  <c r="D630" i="71"/>
  <c r="D628" i="71"/>
  <c r="D627" i="71"/>
  <c r="D558" i="71"/>
  <c r="D556" i="71"/>
  <c r="D555" i="71"/>
  <c r="D549" i="71"/>
  <c r="D547" i="71"/>
  <c r="D546" i="71"/>
  <c r="D576" i="71"/>
  <c r="D574" i="71"/>
  <c r="D573" i="71"/>
  <c r="D567" i="71"/>
  <c r="D565" i="71"/>
  <c r="D564" i="71"/>
  <c r="D594" i="71"/>
  <c r="D592" i="71"/>
  <c r="D591" i="71"/>
  <c r="D612" i="71"/>
  <c r="D610" i="71"/>
  <c r="D609" i="71"/>
  <c r="D603" i="71"/>
  <c r="D601" i="71"/>
  <c r="D600" i="71"/>
  <c r="G1107" i="71" l="1"/>
  <c r="F1106" i="71"/>
  <c r="F1107" i="71"/>
  <c r="E1106" i="71"/>
  <c r="D1106" i="71"/>
  <c r="E820" i="71"/>
  <c r="E893" i="71" l="1"/>
  <c r="F1267" i="71" l="1"/>
  <c r="D965" i="71" l="1"/>
  <c r="D877" i="71"/>
  <c r="D869" i="71"/>
  <c r="E1343" i="71" l="1"/>
  <c r="E726" i="71"/>
  <c r="E530" i="71" s="1"/>
  <c r="E725" i="71"/>
  <c r="E538" i="71"/>
  <c r="E529" i="71" s="1"/>
  <c r="F1090" i="71" l="1"/>
  <c r="G1090" i="71"/>
  <c r="H1090" i="71"/>
  <c r="G1091" i="71"/>
  <c r="H1091" i="71"/>
  <c r="E1092" i="71"/>
  <c r="F1092" i="71"/>
  <c r="G1092" i="71"/>
  <c r="H1092" i="71"/>
  <c r="E1093" i="71"/>
  <c r="F1093" i="71"/>
  <c r="G1093" i="71"/>
  <c r="H1093" i="71"/>
  <c r="D1092" i="71"/>
  <c r="D1093" i="71"/>
  <c r="C1301" i="71"/>
  <c r="C1300" i="71"/>
  <c r="C1299" i="71"/>
  <c r="D1298" i="71"/>
  <c r="C1298" i="71" s="1"/>
  <c r="H1297" i="71"/>
  <c r="G1297" i="71"/>
  <c r="F1297" i="71"/>
  <c r="E1297" i="71"/>
  <c r="D1297" i="71" l="1"/>
  <c r="C1297" i="71"/>
  <c r="E396" i="71"/>
  <c r="F396" i="71"/>
  <c r="G396" i="71"/>
  <c r="H396" i="71"/>
  <c r="E397" i="71"/>
  <c r="F397" i="71"/>
  <c r="G397" i="71"/>
  <c r="H397" i="71"/>
  <c r="E398" i="71"/>
  <c r="F398" i="71"/>
  <c r="G398" i="71"/>
  <c r="H398" i="71"/>
  <c r="E399" i="71"/>
  <c r="F399" i="71"/>
  <c r="G399" i="71"/>
  <c r="H399" i="71"/>
  <c r="D398" i="71"/>
  <c r="D399" i="71"/>
  <c r="D396" i="71"/>
  <c r="F196" i="71" l="1"/>
  <c r="C1109" i="71" l="1"/>
  <c r="C1108" i="71"/>
  <c r="F1105" i="71"/>
  <c r="E1105" i="71"/>
  <c r="D1107" i="71"/>
  <c r="C1106" i="71"/>
  <c r="H1105" i="71"/>
  <c r="G1105" i="71"/>
  <c r="C1107" i="71" l="1"/>
  <c r="D1105" i="71"/>
  <c r="C1105" i="71" s="1"/>
  <c r="E514" i="71"/>
  <c r="F514" i="71"/>
  <c r="G514" i="71"/>
  <c r="H514" i="71"/>
  <c r="E515" i="71"/>
  <c r="F515" i="71"/>
  <c r="G515" i="71"/>
  <c r="H515" i="71"/>
  <c r="E516" i="71"/>
  <c r="F516" i="71"/>
  <c r="G516" i="71"/>
  <c r="H516" i="71"/>
  <c r="E517" i="71"/>
  <c r="F517" i="71"/>
  <c r="G517" i="71"/>
  <c r="H517" i="71"/>
  <c r="D515" i="71"/>
  <c r="D516" i="71"/>
  <c r="D517" i="71"/>
  <c r="D514" i="71"/>
  <c r="G197" i="71" l="1"/>
  <c r="G196" i="71"/>
  <c r="D855" i="71" l="1"/>
  <c r="D854" i="71"/>
  <c r="D853" i="71"/>
  <c r="D14" i="71" l="1"/>
  <c r="D53" i="71" l="1"/>
  <c r="D301" i="71"/>
  <c r="D300" i="71"/>
  <c r="C357" i="71"/>
  <c r="C356" i="71"/>
  <c r="C358" i="71"/>
  <c r="C355" i="71"/>
  <c r="H354" i="71"/>
  <c r="G354" i="71"/>
  <c r="F354" i="71"/>
  <c r="E354" i="71"/>
  <c r="D292" i="71" l="1"/>
  <c r="D354" i="71"/>
  <c r="C354" i="71" s="1"/>
  <c r="C767" i="71"/>
  <c r="C766" i="71"/>
  <c r="D765" i="71"/>
  <c r="D763" i="71" s="1"/>
  <c r="C764" i="71"/>
  <c r="H763" i="71"/>
  <c r="G763" i="71"/>
  <c r="F763" i="71"/>
  <c r="E763" i="71"/>
  <c r="C765" i="71" l="1"/>
  <c r="C763" i="71" s="1"/>
  <c r="D717" i="71" l="1"/>
  <c r="F1179" i="71"/>
  <c r="F1091" i="71" s="1"/>
  <c r="D1187" i="71"/>
  <c r="D1243" i="71"/>
  <c r="C1243" i="71" s="1"/>
  <c r="C1245" i="71"/>
  <c r="C1244" i="71"/>
  <c r="C1242" i="71"/>
  <c r="H1241" i="71"/>
  <c r="G1241" i="71"/>
  <c r="F1241" i="71"/>
  <c r="E1241" i="71"/>
  <c r="D1241" i="71"/>
  <c r="C1241" i="71" l="1"/>
  <c r="D1251" i="71"/>
  <c r="D1123" i="71"/>
  <c r="D1227" i="71"/>
  <c r="D1195" i="71"/>
  <c r="D669" i="71" l="1"/>
  <c r="D21" i="71"/>
  <c r="C133" i="71"/>
  <c r="E1326" i="71"/>
  <c r="F1326" i="71"/>
  <c r="G1326" i="71"/>
  <c r="H1326" i="71"/>
  <c r="G1327" i="71"/>
  <c r="H1327" i="71"/>
  <c r="F1328" i="71"/>
  <c r="G1328" i="71"/>
  <c r="H1328" i="71"/>
  <c r="E1329" i="71"/>
  <c r="F1329" i="71"/>
  <c r="G1329" i="71"/>
  <c r="H1329" i="71"/>
  <c r="D1328" i="71"/>
  <c r="D1329" i="71"/>
  <c r="D1326" i="71"/>
  <c r="E1344" i="71"/>
  <c r="C1344" i="71" s="1"/>
  <c r="C1343" i="71"/>
  <c r="C1345" i="71"/>
  <c r="C1342" i="71"/>
  <c r="H1341" i="71"/>
  <c r="G1341" i="71"/>
  <c r="F1341" i="71"/>
  <c r="D1341" i="71"/>
  <c r="E1327" i="71" l="1"/>
  <c r="E1341" i="71"/>
  <c r="C1341" i="71" s="1"/>
  <c r="E1328" i="71"/>
  <c r="D538" i="71"/>
  <c r="D758" i="71"/>
  <c r="C758" i="71" s="1"/>
  <c r="D757" i="71"/>
  <c r="C757" i="71" s="1"/>
  <c r="C759" i="71"/>
  <c r="C756" i="71"/>
  <c r="H755" i="71"/>
  <c r="G755" i="71"/>
  <c r="F755" i="71"/>
  <c r="E755" i="71"/>
  <c r="C751" i="71"/>
  <c r="D750" i="71"/>
  <c r="C750" i="71" s="1"/>
  <c r="D749" i="71"/>
  <c r="C749" i="71" s="1"/>
  <c r="C748" i="71"/>
  <c r="H747" i="71"/>
  <c r="G747" i="71"/>
  <c r="F747" i="71"/>
  <c r="E747" i="71"/>
  <c r="C743" i="71"/>
  <c r="D742" i="71"/>
  <c r="D741" i="71"/>
  <c r="C740" i="71"/>
  <c r="H739" i="71"/>
  <c r="G739" i="71"/>
  <c r="F739" i="71"/>
  <c r="E739" i="71"/>
  <c r="C742" i="71" l="1"/>
  <c r="D530" i="71"/>
  <c r="D739" i="71"/>
  <c r="C739" i="71" s="1"/>
  <c r="C741" i="71"/>
  <c r="D755" i="71"/>
  <c r="C755" i="71" s="1"/>
  <c r="D747" i="71"/>
  <c r="C747" i="71" s="1"/>
  <c r="E731" i="71"/>
  <c r="F731" i="71"/>
  <c r="G731" i="71"/>
  <c r="H731" i="71"/>
  <c r="C732" i="71"/>
  <c r="D733" i="71"/>
  <c r="D731" i="71" s="1"/>
  <c r="C734" i="71"/>
  <c r="C735" i="71"/>
  <c r="C731" i="71" l="1"/>
  <c r="C733" i="71"/>
  <c r="D677" i="71"/>
  <c r="D910" i="71"/>
  <c r="D902" i="71"/>
  <c r="C814" i="71"/>
  <c r="C813" i="71"/>
  <c r="C812" i="71"/>
  <c r="C811" i="71"/>
  <c r="H810" i="71"/>
  <c r="G810" i="71"/>
  <c r="F810" i="71"/>
  <c r="E810" i="71"/>
  <c r="D810" i="71"/>
  <c r="C806" i="71"/>
  <c r="C805" i="71"/>
  <c r="C804" i="71"/>
  <c r="C803" i="71"/>
  <c r="H802" i="71"/>
  <c r="G802" i="71"/>
  <c r="F802" i="71"/>
  <c r="E802" i="71"/>
  <c r="D802" i="71"/>
  <c r="C798" i="71"/>
  <c r="C797" i="71"/>
  <c r="C796" i="71"/>
  <c r="C795" i="71"/>
  <c r="H794" i="71"/>
  <c r="G794" i="71"/>
  <c r="F794" i="71"/>
  <c r="E794" i="71"/>
  <c r="D794" i="71"/>
  <c r="C782" i="71"/>
  <c r="C781" i="71"/>
  <c r="C780" i="71"/>
  <c r="C779" i="71"/>
  <c r="H778" i="71"/>
  <c r="G778" i="71"/>
  <c r="F778" i="71"/>
  <c r="E778" i="71"/>
  <c r="D778" i="71"/>
  <c r="C778" i="71" l="1"/>
  <c r="C802" i="71"/>
  <c r="C810" i="71"/>
  <c r="C794" i="71"/>
  <c r="D845" i="71"/>
  <c r="D844" i="71"/>
  <c r="D820" i="71"/>
  <c r="D789" i="71"/>
  <c r="D788" i="71"/>
  <c r="D787" i="71"/>
  <c r="F332" i="71" l="1"/>
  <c r="D132" i="71" l="1"/>
  <c r="D131" i="71" s="1"/>
  <c r="D1163" i="71"/>
  <c r="D1155" i="71"/>
  <c r="D1267" i="71"/>
  <c r="D1365" i="71"/>
  <c r="D1357" i="71"/>
  <c r="D1091" i="71" l="1"/>
  <c r="D484" i="71"/>
  <c r="D458" i="71" s="1"/>
  <c r="E484" i="71" l="1"/>
  <c r="E45" i="71" l="1"/>
  <c r="E37" i="71"/>
  <c r="D324" i="71" l="1"/>
  <c r="D316" i="71"/>
  <c r="D291" i="71" s="1"/>
  <c r="D289" i="71" l="1"/>
  <c r="C1079" i="71"/>
  <c r="C1078" i="71"/>
  <c r="C1077" i="71"/>
  <c r="C1076" i="71"/>
  <c r="H1075" i="71"/>
  <c r="G1075" i="71"/>
  <c r="F1075" i="71"/>
  <c r="E1075" i="71"/>
  <c r="D1075" i="71"/>
  <c r="C1071" i="71"/>
  <c r="C1070" i="71"/>
  <c r="C1069" i="71"/>
  <c r="C1068" i="71"/>
  <c r="H1067" i="71"/>
  <c r="G1067" i="71"/>
  <c r="F1067" i="71"/>
  <c r="E1067" i="71"/>
  <c r="D1067" i="71"/>
  <c r="C1063" i="71"/>
  <c r="C1062" i="71"/>
  <c r="C1061" i="71"/>
  <c r="C1060" i="71"/>
  <c r="H1059" i="71"/>
  <c r="G1059" i="71"/>
  <c r="F1059" i="71"/>
  <c r="E1059" i="71"/>
  <c r="D1059" i="71"/>
  <c r="C1055" i="71"/>
  <c r="C1054" i="71"/>
  <c r="C1053" i="71"/>
  <c r="C1052" i="71"/>
  <c r="H1051" i="71"/>
  <c r="G1051" i="71"/>
  <c r="F1051" i="71"/>
  <c r="E1051" i="71"/>
  <c r="D1051" i="71"/>
  <c r="C1047" i="71"/>
  <c r="C1046" i="71"/>
  <c r="C1045" i="71"/>
  <c r="C1044" i="71"/>
  <c r="H1043" i="71"/>
  <c r="G1043" i="71"/>
  <c r="F1043" i="71"/>
  <c r="E1043" i="71"/>
  <c r="D1043" i="71"/>
  <c r="C1039" i="71"/>
  <c r="C1038" i="71"/>
  <c r="C1037" i="71"/>
  <c r="C1036" i="71"/>
  <c r="H1035" i="71"/>
  <c r="G1035" i="71"/>
  <c r="F1035" i="71"/>
  <c r="E1035" i="71"/>
  <c r="D1035" i="71"/>
  <c r="C1031" i="71"/>
  <c r="C1030" i="71"/>
  <c r="C1029" i="71"/>
  <c r="C1028" i="71"/>
  <c r="H1027" i="71"/>
  <c r="G1027" i="71"/>
  <c r="F1027" i="71"/>
  <c r="E1027" i="71"/>
  <c r="D1027" i="71"/>
  <c r="C1023" i="71"/>
  <c r="C1022" i="71"/>
  <c r="C1021" i="71"/>
  <c r="C1020" i="71"/>
  <c r="H1019" i="71"/>
  <c r="G1019" i="71"/>
  <c r="F1019" i="71"/>
  <c r="E1019" i="71"/>
  <c r="D1019" i="71"/>
  <c r="C1015" i="71"/>
  <c r="C1014" i="71"/>
  <c r="C1013" i="71"/>
  <c r="C1012" i="71"/>
  <c r="H1011" i="71"/>
  <c r="G1011" i="71"/>
  <c r="F1011" i="71"/>
  <c r="E1011" i="71"/>
  <c r="D1011" i="71"/>
  <c r="C1007" i="71"/>
  <c r="C1006" i="71"/>
  <c r="C1005" i="71"/>
  <c r="C1004" i="71"/>
  <c r="H1003" i="71"/>
  <c r="G1003" i="71"/>
  <c r="F1003" i="71"/>
  <c r="E1003" i="71"/>
  <c r="D1003" i="71"/>
  <c r="C999" i="71"/>
  <c r="C998" i="71"/>
  <c r="C997" i="71"/>
  <c r="C996" i="71"/>
  <c r="H995" i="71"/>
  <c r="G995" i="71"/>
  <c r="F995" i="71"/>
  <c r="E995" i="71"/>
  <c r="D995" i="71"/>
  <c r="C991" i="71"/>
  <c r="C990" i="71"/>
  <c r="C989" i="71"/>
  <c r="C988" i="71"/>
  <c r="H987" i="71"/>
  <c r="G987" i="71"/>
  <c r="F987" i="71"/>
  <c r="E987" i="71"/>
  <c r="D987" i="71"/>
  <c r="C983" i="71"/>
  <c r="C982" i="71"/>
  <c r="C981" i="71"/>
  <c r="C980" i="71"/>
  <c r="H979" i="71"/>
  <c r="G979" i="71"/>
  <c r="F979" i="71"/>
  <c r="E979" i="71"/>
  <c r="D979" i="71"/>
  <c r="C975" i="71"/>
  <c r="C974" i="71"/>
  <c r="C973" i="71"/>
  <c r="C972" i="71"/>
  <c r="H971" i="71"/>
  <c r="G971" i="71"/>
  <c r="F971" i="71"/>
  <c r="E971" i="71"/>
  <c r="D971" i="71"/>
  <c r="C967" i="71"/>
  <c r="C966" i="71"/>
  <c r="C965" i="71"/>
  <c r="C964" i="71"/>
  <c r="H963" i="71"/>
  <c r="G963" i="71"/>
  <c r="F963" i="71"/>
  <c r="E963" i="71"/>
  <c r="D963" i="71"/>
  <c r="C959" i="71"/>
  <c r="C958" i="71"/>
  <c r="C957" i="71"/>
  <c r="C956" i="71"/>
  <c r="H955" i="71"/>
  <c r="G955" i="71"/>
  <c r="F955" i="71"/>
  <c r="E955" i="71"/>
  <c r="D955" i="71"/>
  <c r="C951" i="71"/>
  <c r="C950" i="71"/>
  <c r="C949" i="71"/>
  <c r="C948" i="71"/>
  <c r="H947" i="71"/>
  <c r="G947" i="71"/>
  <c r="F947" i="71"/>
  <c r="E947" i="71"/>
  <c r="D947" i="71"/>
  <c r="C943" i="71"/>
  <c r="C942" i="71"/>
  <c r="C941" i="71"/>
  <c r="C940" i="71"/>
  <c r="H939" i="71"/>
  <c r="G939" i="71"/>
  <c r="F939" i="71"/>
  <c r="E939" i="71"/>
  <c r="D939" i="71"/>
  <c r="C935" i="71"/>
  <c r="C934" i="71"/>
  <c r="C933" i="71"/>
  <c r="C932" i="71"/>
  <c r="H931" i="71"/>
  <c r="G931" i="71"/>
  <c r="F931" i="71"/>
  <c r="E931" i="71"/>
  <c r="D931" i="71"/>
  <c r="C927" i="71"/>
  <c r="C926" i="71"/>
  <c r="C925" i="71"/>
  <c r="C924" i="71"/>
  <c r="H923" i="71"/>
  <c r="G923" i="71"/>
  <c r="F923" i="71"/>
  <c r="E923" i="71"/>
  <c r="D923" i="71"/>
  <c r="C919" i="71"/>
  <c r="D918" i="71"/>
  <c r="C917" i="71"/>
  <c r="C916" i="71"/>
  <c r="H915" i="71"/>
  <c r="G915" i="71"/>
  <c r="F915" i="71"/>
  <c r="E915" i="71"/>
  <c r="C911" i="71"/>
  <c r="C910" i="71"/>
  <c r="C909" i="71"/>
  <c r="C908" i="71"/>
  <c r="H907" i="71"/>
  <c r="G907" i="71"/>
  <c r="F907" i="71"/>
  <c r="E907" i="71"/>
  <c r="D907" i="71"/>
  <c r="D915" i="71" l="1"/>
  <c r="C918" i="71"/>
  <c r="C907" i="71"/>
  <c r="C931" i="71"/>
  <c r="C947" i="71"/>
  <c r="C963" i="71"/>
  <c r="C979" i="71"/>
  <c r="C1003" i="71"/>
  <c r="C1019" i="71"/>
  <c r="C1035" i="71"/>
  <c r="C1051" i="71"/>
  <c r="C1067" i="71"/>
  <c r="C915" i="71"/>
  <c r="C923" i="71"/>
  <c r="C939" i="71"/>
  <c r="C955" i="71"/>
  <c r="C971" i="71"/>
  <c r="C987" i="71"/>
  <c r="C995" i="71"/>
  <c r="C1011" i="71"/>
  <c r="C1027" i="71"/>
  <c r="C1043" i="71"/>
  <c r="C1059" i="71"/>
  <c r="C1075" i="71"/>
  <c r="C903" i="71"/>
  <c r="C902" i="71"/>
  <c r="C901" i="71"/>
  <c r="C900" i="71"/>
  <c r="H899" i="71"/>
  <c r="G899" i="71"/>
  <c r="F899" i="71"/>
  <c r="E899" i="71"/>
  <c r="D899" i="71"/>
  <c r="C1397" i="71"/>
  <c r="C1396" i="71"/>
  <c r="C1395" i="71"/>
  <c r="C1394" i="71"/>
  <c r="H1393" i="71"/>
  <c r="G1393" i="71"/>
  <c r="F1393" i="71"/>
  <c r="E1393" i="71"/>
  <c r="D1393" i="71"/>
  <c r="C1393" i="71" l="1"/>
  <c r="C899" i="71"/>
  <c r="D709" i="71"/>
  <c r="C727" i="71" l="1"/>
  <c r="C726" i="71"/>
  <c r="D725" i="71"/>
  <c r="D529" i="71" s="1"/>
  <c r="C724" i="71"/>
  <c r="H723" i="71"/>
  <c r="G723" i="71"/>
  <c r="F723" i="71"/>
  <c r="C719" i="71"/>
  <c r="C718" i="71"/>
  <c r="C717" i="71"/>
  <c r="C716" i="71"/>
  <c r="H715" i="71"/>
  <c r="G715" i="71"/>
  <c r="F715" i="71"/>
  <c r="E715" i="71"/>
  <c r="C414" i="71"/>
  <c r="D413" i="71"/>
  <c r="C412" i="71"/>
  <c r="H411" i="71"/>
  <c r="G411" i="71"/>
  <c r="F411" i="71"/>
  <c r="E411" i="71"/>
  <c r="C413" i="71" l="1"/>
  <c r="D397" i="71"/>
  <c r="E723" i="71"/>
  <c r="D715" i="71"/>
  <c r="C715" i="71" s="1"/>
  <c r="C725" i="71"/>
  <c r="D723" i="71"/>
  <c r="D411" i="71"/>
  <c r="C411" i="71" s="1"/>
  <c r="C723" i="71" l="1"/>
  <c r="D1335" i="71" l="1"/>
  <c r="D1327" i="71" s="1"/>
  <c r="C895" i="71" l="1"/>
  <c r="C894" i="71"/>
  <c r="C893" i="71"/>
  <c r="E892" i="71"/>
  <c r="D892" i="71"/>
  <c r="D891" i="71" s="1"/>
  <c r="H891" i="71"/>
  <c r="G891" i="71"/>
  <c r="F891" i="71"/>
  <c r="C887" i="71"/>
  <c r="C886" i="71"/>
  <c r="C885" i="71"/>
  <c r="E884" i="71"/>
  <c r="E883" i="71" s="1"/>
  <c r="D884" i="71"/>
  <c r="D883" i="71" s="1"/>
  <c r="H883" i="71"/>
  <c r="G883" i="71"/>
  <c r="F883" i="71"/>
  <c r="C892" i="71" l="1"/>
  <c r="E891" i="71"/>
  <c r="C891" i="71" s="1"/>
  <c r="C883" i="71"/>
  <c r="C884" i="71"/>
  <c r="E819" i="71"/>
  <c r="D819" i="71"/>
  <c r="F1417" i="71" l="1"/>
  <c r="F1415" i="71" s="1"/>
  <c r="D1417" i="71"/>
  <c r="D1416" i="71"/>
  <c r="E1415" i="71"/>
  <c r="D1415" i="71" l="1"/>
  <c r="F228" i="71" l="1"/>
  <c r="F220" i="71"/>
  <c r="F212" i="71"/>
  <c r="F204" i="71"/>
  <c r="F124" i="71"/>
  <c r="F188" i="71"/>
  <c r="F100" i="71"/>
  <c r="E93" i="71" l="1"/>
  <c r="E69" i="71"/>
  <c r="E29" i="71"/>
  <c r="G100" i="71"/>
  <c r="E101" i="71"/>
  <c r="E117" i="71"/>
  <c r="D117" i="71"/>
  <c r="C711" i="71" l="1"/>
  <c r="C710" i="71"/>
  <c r="C709" i="71"/>
  <c r="C708" i="71"/>
  <c r="H707" i="71"/>
  <c r="G707" i="71"/>
  <c r="F707" i="71"/>
  <c r="E707" i="71"/>
  <c r="D707" i="71"/>
  <c r="C707" i="71" l="1"/>
  <c r="D639" i="71"/>
  <c r="D532" i="71" s="1"/>
  <c r="C639" i="71" l="1"/>
  <c r="C638" i="71"/>
  <c r="C637" i="71"/>
  <c r="C636" i="71"/>
  <c r="C635" i="71"/>
  <c r="H634" i="71"/>
  <c r="G634" i="71"/>
  <c r="F634" i="71"/>
  <c r="E634" i="71"/>
  <c r="D634" i="71"/>
  <c r="D643" i="71"/>
  <c r="G643" i="71"/>
  <c r="H643" i="71"/>
  <c r="E644" i="71"/>
  <c r="F644" i="71"/>
  <c r="C645" i="71"/>
  <c r="C646" i="71"/>
  <c r="C647" i="71"/>
  <c r="C644" i="71" l="1"/>
  <c r="E643" i="71"/>
  <c r="C634" i="71"/>
  <c r="F643" i="71"/>
  <c r="C643" i="71" l="1"/>
  <c r="C1125" i="71"/>
  <c r="C1124" i="71"/>
  <c r="C1123" i="71"/>
  <c r="C1122" i="71"/>
  <c r="H1121" i="71"/>
  <c r="G1121" i="71"/>
  <c r="F1121" i="71"/>
  <c r="E1121" i="71"/>
  <c r="D1121" i="71"/>
  <c r="C1121" i="71" l="1"/>
  <c r="C1293" i="71"/>
  <c r="C1292" i="71"/>
  <c r="C1291" i="71"/>
  <c r="C1290" i="71"/>
  <c r="H1289" i="71"/>
  <c r="G1289" i="71"/>
  <c r="F1289" i="71"/>
  <c r="E1289" i="71"/>
  <c r="D1289" i="71"/>
  <c r="E1098" i="71"/>
  <c r="E1090" i="71" s="1"/>
  <c r="C1285" i="71"/>
  <c r="C1284" i="71"/>
  <c r="C1283" i="71"/>
  <c r="C1282" i="71"/>
  <c r="H1281" i="71"/>
  <c r="G1281" i="71"/>
  <c r="F1281" i="71"/>
  <c r="E1281" i="71"/>
  <c r="D1281" i="71"/>
  <c r="C1277" i="71"/>
  <c r="C1276" i="71"/>
  <c r="C1275" i="71"/>
  <c r="C1274" i="71"/>
  <c r="H1273" i="71"/>
  <c r="G1273" i="71"/>
  <c r="F1273" i="71"/>
  <c r="E1273" i="71"/>
  <c r="D1273" i="71"/>
  <c r="C1269" i="71"/>
  <c r="C1268" i="71"/>
  <c r="C1267" i="71"/>
  <c r="C1266" i="71"/>
  <c r="H1265" i="71"/>
  <c r="G1265" i="71"/>
  <c r="F1265" i="71"/>
  <c r="E1265" i="71"/>
  <c r="D1265" i="71"/>
  <c r="C1261" i="71"/>
  <c r="C1260" i="71"/>
  <c r="C1259" i="71"/>
  <c r="C1258" i="71"/>
  <c r="H1257" i="71"/>
  <c r="G1257" i="71"/>
  <c r="F1257" i="71"/>
  <c r="E1257" i="71"/>
  <c r="D1257" i="71"/>
  <c r="C1253" i="71"/>
  <c r="C1252" i="71"/>
  <c r="C1251" i="71"/>
  <c r="C1250" i="71"/>
  <c r="H1249" i="71"/>
  <c r="G1249" i="71"/>
  <c r="F1249" i="71"/>
  <c r="E1249" i="71"/>
  <c r="D1249" i="71"/>
  <c r="C1237" i="71"/>
  <c r="C1236" i="71"/>
  <c r="C1235" i="71"/>
  <c r="C1234" i="71"/>
  <c r="H1233" i="71"/>
  <c r="G1233" i="71"/>
  <c r="F1233" i="71"/>
  <c r="E1233" i="71"/>
  <c r="D1233" i="71"/>
  <c r="C1229" i="71"/>
  <c r="C1228" i="71"/>
  <c r="C1227" i="71"/>
  <c r="C1226" i="71"/>
  <c r="H1225" i="71"/>
  <c r="G1225" i="71"/>
  <c r="F1225" i="71"/>
  <c r="E1225" i="71"/>
  <c r="D1225" i="71"/>
  <c r="C1221" i="71"/>
  <c r="C1220" i="71"/>
  <c r="C1219" i="71"/>
  <c r="C1218" i="71"/>
  <c r="H1217" i="71"/>
  <c r="G1217" i="71"/>
  <c r="F1217" i="71"/>
  <c r="E1217" i="71"/>
  <c r="D1217" i="71"/>
  <c r="C1273" i="71" l="1"/>
  <c r="C1217" i="71"/>
  <c r="C1289" i="71"/>
  <c r="C1233" i="71"/>
  <c r="C1265" i="71"/>
  <c r="C1225" i="71"/>
  <c r="C1249" i="71"/>
  <c r="C1257" i="71"/>
  <c r="C1281" i="71"/>
  <c r="C1213" i="71"/>
  <c r="C1212" i="71"/>
  <c r="C1211" i="71"/>
  <c r="C1210" i="71"/>
  <c r="H1209" i="71"/>
  <c r="G1209" i="71"/>
  <c r="F1209" i="71"/>
  <c r="E1209" i="71"/>
  <c r="D1209" i="71"/>
  <c r="C1209" i="71" l="1"/>
  <c r="C1205" i="71"/>
  <c r="C1204" i="71"/>
  <c r="C1203" i="71"/>
  <c r="C1202" i="71"/>
  <c r="H1201" i="71"/>
  <c r="G1201" i="71"/>
  <c r="F1201" i="71"/>
  <c r="E1201" i="71"/>
  <c r="D1201" i="71"/>
  <c r="C1197" i="71"/>
  <c r="C1196" i="71"/>
  <c r="C1195" i="71"/>
  <c r="C1194" i="71"/>
  <c r="H1193" i="71"/>
  <c r="G1193" i="71"/>
  <c r="F1193" i="71"/>
  <c r="E1193" i="71"/>
  <c r="D1193" i="71"/>
  <c r="C1189" i="71"/>
  <c r="C1188" i="71"/>
  <c r="C1187" i="71"/>
  <c r="C1186" i="71"/>
  <c r="H1185" i="71"/>
  <c r="G1185" i="71"/>
  <c r="F1185" i="71"/>
  <c r="E1185" i="71"/>
  <c r="D1185" i="71"/>
  <c r="C1181" i="71"/>
  <c r="C1180" i="71"/>
  <c r="C1179" i="71"/>
  <c r="C1178" i="71"/>
  <c r="H1177" i="71"/>
  <c r="G1177" i="71"/>
  <c r="F1177" i="71"/>
  <c r="E1177" i="71"/>
  <c r="D1177" i="71"/>
  <c r="C1193" i="71" l="1"/>
  <c r="C1201" i="71"/>
  <c r="C1177" i="71"/>
  <c r="C1185" i="71"/>
  <c r="D1098" i="71"/>
  <c r="D1090" i="71" s="1"/>
  <c r="D1169" i="71" l="1"/>
  <c r="E1169" i="71"/>
  <c r="F1169" i="71"/>
  <c r="G1169" i="71"/>
  <c r="H1169" i="71"/>
  <c r="C1170" i="71"/>
  <c r="C1171" i="71"/>
  <c r="C1172" i="71"/>
  <c r="C1173" i="71"/>
  <c r="D1161" i="71"/>
  <c r="E1161" i="71"/>
  <c r="F1161" i="71"/>
  <c r="G1161" i="71"/>
  <c r="H1161" i="71"/>
  <c r="C1162" i="71"/>
  <c r="C1163" i="71"/>
  <c r="C1164" i="71"/>
  <c r="C1165" i="71"/>
  <c r="C1169" i="71" l="1"/>
  <c r="C1161" i="71"/>
  <c r="G456" i="71" l="1"/>
  <c r="H456" i="71"/>
  <c r="G457" i="71"/>
  <c r="H457" i="71"/>
  <c r="E458" i="71"/>
  <c r="F458" i="71"/>
  <c r="G458" i="71"/>
  <c r="H458" i="71"/>
  <c r="E459" i="71"/>
  <c r="F459" i="71"/>
  <c r="G459" i="71"/>
  <c r="H459" i="71"/>
  <c r="H455" i="71" l="1"/>
  <c r="G455" i="71"/>
  <c r="C1157" i="71"/>
  <c r="C1156" i="71"/>
  <c r="C1155" i="71"/>
  <c r="C1154" i="71"/>
  <c r="H1153" i="71"/>
  <c r="G1153" i="71"/>
  <c r="F1153" i="71"/>
  <c r="E1153" i="71"/>
  <c r="D1153" i="71"/>
  <c r="C1153" i="71" l="1"/>
  <c r="E1099" i="71"/>
  <c r="E1091" i="71" s="1"/>
  <c r="E483" i="71" l="1"/>
  <c r="E457" i="71" s="1"/>
  <c r="E482" i="71"/>
  <c r="E456" i="71" s="1"/>
  <c r="D483" i="71"/>
  <c r="D457" i="71" s="1"/>
  <c r="D482" i="71"/>
  <c r="D456" i="71" s="1"/>
  <c r="D455" i="71" s="1"/>
  <c r="E455" i="71" l="1"/>
  <c r="F1335" i="71"/>
  <c r="F1327" i="71" s="1"/>
  <c r="F340" i="71"/>
  <c r="F291" i="71" s="1"/>
  <c r="E308" i="71"/>
  <c r="E316" i="71"/>
  <c r="E291" i="71" l="1"/>
  <c r="F289" i="71"/>
  <c r="E289" i="71"/>
  <c r="F537" i="71"/>
  <c r="F12" i="71" l="1"/>
  <c r="H12" i="71"/>
  <c r="E13" i="71"/>
  <c r="F13" i="71"/>
  <c r="H13" i="71"/>
  <c r="E14" i="71"/>
  <c r="F14" i="71"/>
  <c r="G14" i="71"/>
  <c r="H14" i="71"/>
  <c r="E15" i="71"/>
  <c r="H15" i="71"/>
  <c r="D15" i="71"/>
  <c r="D277" i="71" l="1"/>
  <c r="D283" i="71" l="1"/>
  <c r="E283" i="71"/>
  <c r="F283" i="71"/>
  <c r="G283" i="71"/>
  <c r="H283" i="71"/>
  <c r="C284" i="71"/>
  <c r="C285" i="71"/>
  <c r="C286" i="71"/>
  <c r="C287" i="71"/>
  <c r="C279" i="71"/>
  <c r="C278" i="71"/>
  <c r="C277" i="71"/>
  <c r="G275" i="71"/>
  <c r="C276" i="71"/>
  <c r="H275" i="71"/>
  <c r="F275" i="71"/>
  <c r="E275" i="71"/>
  <c r="D275" i="71"/>
  <c r="C275" i="71" l="1"/>
  <c r="C283" i="71"/>
  <c r="D189" i="71"/>
  <c r="D101" i="71"/>
  <c r="D13" i="71" s="1"/>
  <c r="F702" i="71" l="1"/>
  <c r="F694" i="71"/>
  <c r="F686" i="71" l="1"/>
  <c r="F530" i="71" s="1"/>
  <c r="F467" i="71" l="1"/>
  <c r="F457" i="71" s="1"/>
  <c r="C1337" i="71" l="1"/>
  <c r="C1336" i="71"/>
  <c r="C1335" i="71"/>
  <c r="C1334" i="71"/>
  <c r="H1333" i="71"/>
  <c r="G1333" i="71"/>
  <c r="F1333" i="71"/>
  <c r="E1333" i="71"/>
  <c r="D1333" i="71"/>
  <c r="C1333" i="71" l="1"/>
  <c r="E537" i="71" l="1"/>
  <c r="F466" i="71" l="1"/>
  <c r="F456" i="71" s="1"/>
  <c r="F455" i="71" s="1"/>
  <c r="E132" i="71"/>
  <c r="E12" i="71" s="1"/>
  <c r="D12" i="71"/>
  <c r="D11" i="71" s="1"/>
  <c r="F700" i="71"/>
  <c r="F692" i="71"/>
  <c r="C703" i="71" l="1"/>
  <c r="C702" i="71"/>
  <c r="C701" i="71"/>
  <c r="C700" i="71"/>
  <c r="H699" i="71"/>
  <c r="G699" i="71"/>
  <c r="F699" i="71"/>
  <c r="E699" i="71"/>
  <c r="D699" i="71"/>
  <c r="C695" i="71"/>
  <c r="C694" i="71"/>
  <c r="C693" i="71"/>
  <c r="F691" i="71"/>
  <c r="C692" i="71"/>
  <c r="H691" i="71"/>
  <c r="G691" i="71"/>
  <c r="E691" i="71"/>
  <c r="D691" i="71"/>
  <c r="F684" i="71"/>
  <c r="C684" i="71" s="1"/>
  <c r="C687" i="71"/>
  <c r="C686" i="71"/>
  <c r="C685" i="71"/>
  <c r="H683" i="71"/>
  <c r="G683" i="71"/>
  <c r="E683" i="71"/>
  <c r="D683" i="71"/>
  <c r="F660" i="71"/>
  <c r="E660" i="71"/>
  <c r="F652" i="71"/>
  <c r="F528" i="71" s="1"/>
  <c r="E652" i="71"/>
  <c r="E528" i="71" s="1"/>
  <c r="D537" i="71"/>
  <c r="D528" i="71" s="1"/>
  <c r="F683" i="71" l="1"/>
  <c r="C683" i="71" s="1"/>
  <c r="C691" i="71"/>
  <c r="C699" i="71"/>
  <c r="G269" i="71"/>
  <c r="G268" i="71"/>
  <c r="G260" i="71"/>
  <c r="G261" i="71"/>
  <c r="G253" i="71"/>
  <c r="G252" i="71"/>
  <c r="G245" i="71"/>
  <c r="G244" i="71"/>
  <c r="G237" i="71"/>
  <c r="G236" i="71"/>
  <c r="G12" i="71" l="1"/>
  <c r="G13" i="71"/>
  <c r="C271" i="71"/>
  <c r="C270" i="71"/>
  <c r="C269" i="71"/>
  <c r="C268" i="71"/>
  <c r="H267" i="71"/>
  <c r="G267" i="71"/>
  <c r="F267" i="71"/>
  <c r="E267" i="71"/>
  <c r="D267" i="71"/>
  <c r="C263" i="71"/>
  <c r="C262" i="71"/>
  <c r="C261" i="71"/>
  <c r="C260" i="71"/>
  <c r="H259" i="71"/>
  <c r="G259" i="71"/>
  <c r="F259" i="71"/>
  <c r="E259" i="71"/>
  <c r="D259" i="71"/>
  <c r="C255" i="71"/>
  <c r="C254" i="71"/>
  <c r="C253" i="71"/>
  <c r="C252" i="71"/>
  <c r="H251" i="71"/>
  <c r="G251" i="71"/>
  <c r="F251" i="71"/>
  <c r="E251" i="71"/>
  <c r="D251" i="71"/>
  <c r="C247" i="71"/>
  <c r="C246" i="71"/>
  <c r="C245" i="71"/>
  <c r="C244" i="71"/>
  <c r="H243" i="71"/>
  <c r="G243" i="71"/>
  <c r="F243" i="71"/>
  <c r="E243" i="71"/>
  <c r="D243" i="71"/>
  <c r="C239" i="71"/>
  <c r="C238" i="71"/>
  <c r="C237" i="71"/>
  <c r="C236" i="71"/>
  <c r="H235" i="71"/>
  <c r="G235" i="71"/>
  <c r="F235" i="71"/>
  <c r="E235" i="71"/>
  <c r="D235" i="71"/>
  <c r="C251" i="71" l="1"/>
  <c r="C235" i="71"/>
  <c r="C259" i="71"/>
  <c r="C243" i="71"/>
  <c r="C267" i="71"/>
  <c r="E877" i="71" l="1"/>
  <c r="E869" i="71"/>
  <c r="C879" i="71" l="1"/>
  <c r="C878" i="71"/>
  <c r="C877" i="71"/>
  <c r="C876" i="71"/>
  <c r="H875" i="71"/>
  <c r="G875" i="71"/>
  <c r="F875" i="71"/>
  <c r="E875" i="71"/>
  <c r="D875" i="71"/>
  <c r="C871" i="71"/>
  <c r="C870" i="71"/>
  <c r="C869" i="71"/>
  <c r="C868" i="71"/>
  <c r="H867" i="71"/>
  <c r="G867" i="71"/>
  <c r="F867" i="71"/>
  <c r="E867" i="71"/>
  <c r="D867" i="71"/>
  <c r="C875" i="71" l="1"/>
  <c r="C867" i="71"/>
  <c r="C679" i="71" l="1"/>
  <c r="C678" i="71"/>
  <c r="C677" i="71"/>
  <c r="C676" i="71"/>
  <c r="H675" i="71"/>
  <c r="G675" i="71"/>
  <c r="F675" i="71"/>
  <c r="E675" i="71"/>
  <c r="D675" i="71" l="1"/>
  <c r="C675" i="71" s="1"/>
  <c r="E1408" i="71" l="1"/>
  <c r="F1408" i="71"/>
  <c r="G1408" i="71"/>
  <c r="H1408" i="71"/>
  <c r="E1409" i="71"/>
  <c r="F1409" i="71"/>
  <c r="G1409" i="71"/>
  <c r="H1409" i="71"/>
  <c r="E1410" i="71"/>
  <c r="F1410" i="71"/>
  <c r="G1410" i="71"/>
  <c r="H1410" i="71"/>
  <c r="E1411" i="71"/>
  <c r="F1411" i="71"/>
  <c r="G1411" i="71"/>
  <c r="H1411" i="71"/>
  <c r="D1410" i="71"/>
  <c r="D1411" i="71"/>
  <c r="D1408" i="71"/>
  <c r="C863" i="71" l="1"/>
  <c r="C862" i="71"/>
  <c r="D859" i="71"/>
  <c r="C861" i="71"/>
  <c r="C860" i="71"/>
  <c r="H859" i="71"/>
  <c r="G859" i="71"/>
  <c r="F859" i="71"/>
  <c r="E859" i="71"/>
  <c r="C859" i="71" l="1"/>
  <c r="C231" i="71" l="1"/>
  <c r="C230" i="71"/>
  <c r="C229" i="71"/>
  <c r="G227" i="71"/>
  <c r="F227" i="71"/>
  <c r="C228" i="71"/>
  <c r="H227" i="71"/>
  <c r="E227" i="71"/>
  <c r="D227" i="71"/>
  <c r="C223" i="71"/>
  <c r="C222" i="71"/>
  <c r="H219" i="71"/>
  <c r="C221" i="71"/>
  <c r="F219" i="71"/>
  <c r="G219" i="71"/>
  <c r="E219" i="71"/>
  <c r="D219" i="71"/>
  <c r="C199" i="71"/>
  <c r="C198" i="71"/>
  <c r="C197" i="71"/>
  <c r="E195" i="71"/>
  <c r="C196" i="71"/>
  <c r="H195" i="71"/>
  <c r="G195" i="71"/>
  <c r="F195" i="71"/>
  <c r="D195" i="71"/>
  <c r="C215" i="71"/>
  <c r="C214" i="71"/>
  <c r="C213" i="71"/>
  <c r="E211" i="71"/>
  <c r="C212" i="71"/>
  <c r="H211" i="71"/>
  <c r="G211" i="71"/>
  <c r="F211" i="71"/>
  <c r="D211" i="71"/>
  <c r="C195" i="71" l="1"/>
  <c r="C211" i="71"/>
  <c r="C227" i="71"/>
  <c r="C219" i="71"/>
  <c r="C220" i="71"/>
  <c r="C207" i="71" l="1"/>
  <c r="C206" i="71"/>
  <c r="C205" i="71"/>
  <c r="E203" i="71"/>
  <c r="C204" i="71"/>
  <c r="H203" i="71"/>
  <c r="G203" i="71"/>
  <c r="F203" i="71"/>
  <c r="D203" i="71"/>
  <c r="C203" i="71" l="1"/>
  <c r="C191" i="71"/>
  <c r="C190" i="71"/>
  <c r="C189" i="71"/>
  <c r="H187" i="71"/>
  <c r="C188" i="71"/>
  <c r="F187" i="71"/>
  <c r="E187" i="71"/>
  <c r="D187" i="71"/>
  <c r="G187" i="71" l="1"/>
  <c r="C187" i="71" s="1"/>
  <c r="D774" i="71" l="1"/>
  <c r="C774" i="71" s="1"/>
  <c r="D769" i="71" l="1"/>
  <c r="C773" i="71"/>
  <c r="C855" i="71"/>
  <c r="E850" i="71"/>
  <c r="C853" i="71"/>
  <c r="C852" i="71"/>
  <c r="C851" i="71"/>
  <c r="H850" i="71"/>
  <c r="G850" i="71"/>
  <c r="F850" i="71"/>
  <c r="D850" i="71" l="1"/>
  <c r="C850" i="71" s="1"/>
  <c r="C854" i="71"/>
  <c r="E1458" i="71" l="1"/>
  <c r="F1458" i="71"/>
  <c r="G1458" i="71"/>
  <c r="H1458" i="71"/>
  <c r="D1458" i="71"/>
  <c r="D625" i="71"/>
  <c r="E625" i="71"/>
  <c r="F625" i="71"/>
  <c r="G625" i="71"/>
  <c r="H625" i="71"/>
  <c r="C626" i="71"/>
  <c r="C627" i="71"/>
  <c r="C628" i="71"/>
  <c r="C629" i="71"/>
  <c r="C630" i="71"/>
  <c r="C621" i="71"/>
  <c r="C620" i="71"/>
  <c r="C619" i="71"/>
  <c r="C618" i="71"/>
  <c r="C617" i="71"/>
  <c r="H616" i="71"/>
  <c r="G616" i="71"/>
  <c r="F616" i="71"/>
  <c r="E616" i="71"/>
  <c r="D616" i="71"/>
  <c r="C612" i="71"/>
  <c r="C611" i="71"/>
  <c r="C610" i="71"/>
  <c r="C609" i="71"/>
  <c r="C608" i="71"/>
  <c r="H607" i="71"/>
  <c r="G607" i="71"/>
  <c r="F607" i="71"/>
  <c r="E607" i="71"/>
  <c r="D607" i="71"/>
  <c r="C1458" i="71" l="1"/>
  <c r="C616" i="71"/>
  <c r="C625" i="71"/>
  <c r="C607" i="71"/>
  <c r="C485" i="71"/>
  <c r="C493" i="71"/>
  <c r="C490" i="71"/>
  <c r="C491" i="71"/>
  <c r="C492" i="71"/>
  <c r="C483" i="71"/>
  <c r="F489" i="71"/>
  <c r="E489" i="71"/>
  <c r="D1409" i="71" l="1"/>
  <c r="C1149" i="71" l="1"/>
  <c r="C1148" i="71"/>
  <c r="C1147" i="71"/>
  <c r="C1146" i="71"/>
  <c r="H1145" i="71"/>
  <c r="G1145" i="71"/>
  <c r="F1145" i="71"/>
  <c r="E1145" i="71"/>
  <c r="D1145" i="71"/>
  <c r="C1141" i="71"/>
  <c r="C1140" i="71"/>
  <c r="C1139" i="71"/>
  <c r="C1138" i="71"/>
  <c r="H1137" i="71"/>
  <c r="G1137" i="71"/>
  <c r="F1137" i="71"/>
  <c r="E1137" i="71"/>
  <c r="D1137" i="71"/>
  <c r="C350" i="71"/>
  <c r="C349" i="71"/>
  <c r="C348" i="71"/>
  <c r="C347" i="71"/>
  <c r="H346" i="71"/>
  <c r="G346" i="71"/>
  <c r="F346" i="71"/>
  <c r="E346" i="71"/>
  <c r="D346" i="71"/>
  <c r="C1137" i="71" l="1"/>
  <c r="C1145" i="71"/>
  <c r="C346" i="71"/>
  <c r="C1419" i="71" l="1"/>
  <c r="C1418" i="71"/>
  <c r="C1417" i="71"/>
  <c r="C1416" i="71"/>
  <c r="H1415" i="71"/>
  <c r="G1415" i="71"/>
  <c r="C1367" i="71"/>
  <c r="C1366" i="71"/>
  <c r="C1365" i="71"/>
  <c r="C1364" i="71"/>
  <c r="C1359" i="71"/>
  <c r="C1358" i="71"/>
  <c r="C1356" i="71"/>
  <c r="C671" i="71"/>
  <c r="C670" i="71"/>
  <c r="C669" i="71"/>
  <c r="C668" i="71"/>
  <c r="D1407" i="71" l="1"/>
  <c r="C1415" i="71"/>
  <c r="C456" i="71"/>
  <c r="C477" i="71" l="1"/>
  <c r="C476" i="71"/>
  <c r="C475" i="71"/>
  <c r="C474" i="71"/>
  <c r="C469" i="71"/>
  <c r="C468" i="71"/>
  <c r="C467" i="71"/>
  <c r="C466" i="71"/>
  <c r="C435" i="71" l="1"/>
  <c r="C21" i="71" l="1"/>
  <c r="C23" i="71"/>
  <c r="C22" i="71"/>
  <c r="C20" i="71"/>
  <c r="D418" i="71" l="1"/>
  <c r="E418" i="71"/>
  <c r="F418" i="71"/>
  <c r="G418" i="71"/>
  <c r="H418" i="71"/>
  <c r="D419" i="71"/>
  <c r="E419" i="71"/>
  <c r="F419" i="71"/>
  <c r="G419" i="71"/>
  <c r="H419" i="71"/>
  <c r="D420" i="71"/>
  <c r="E420" i="71"/>
  <c r="F420" i="71"/>
  <c r="G420" i="71"/>
  <c r="H420" i="71"/>
  <c r="D421" i="71"/>
  <c r="E421" i="71"/>
  <c r="F421" i="71"/>
  <c r="G421" i="71"/>
  <c r="H421" i="71"/>
  <c r="E521" i="71"/>
  <c r="F521" i="71"/>
  <c r="G521" i="71"/>
  <c r="H521" i="71"/>
  <c r="C525" i="71"/>
  <c r="C524" i="71"/>
  <c r="C523" i="71"/>
  <c r="C522" i="71"/>
  <c r="D521" i="71"/>
  <c r="E1385" i="71"/>
  <c r="F1385" i="71"/>
  <c r="G1385" i="71"/>
  <c r="H1385" i="71"/>
  <c r="E1377" i="71"/>
  <c r="F1377" i="71"/>
  <c r="C1389" i="71"/>
  <c r="C1388" i="71"/>
  <c r="C1387" i="71"/>
  <c r="C1386" i="71"/>
  <c r="D1385" i="71"/>
  <c r="C1381" i="71"/>
  <c r="C1380" i="71"/>
  <c r="C1379" i="71"/>
  <c r="C1378" i="71"/>
  <c r="H1377" i="71"/>
  <c r="G1377" i="71"/>
  <c r="D1377" i="71"/>
  <c r="E1447" i="71"/>
  <c r="F1447" i="71"/>
  <c r="E1439" i="71"/>
  <c r="F1439" i="71"/>
  <c r="E1431" i="71"/>
  <c r="F1431" i="71"/>
  <c r="C1450" i="71"/>
  <c r="C1449" i="71"/>
  <c r="C1448" i="71"/>
  <c r="H1447" i="71"/>
  <c r="G1447" i="71"/>
  <c r="D1447" i="71"/>
  <c r="C1442" i="71"/>
  <c r="C1441" i="71"/>
  <c r="C1440" i="71"/>
  <c r="H1439" i="71"/>
  <c r="G1439" i="71"/>
  <c r="D1439" i="71"/>
  <c r="C1435" i="71"/>
  <c r="C1434" i="71"/>
  <c r="C1433" i="71"/>
  <c r="C1432" i="71"/>
  <c r="H1431" i="71"/>
  <c r="G1431" i="71"/>
  <c r="D1431" i="71"/>
  <c r="F1304" i="71"/>
  <c r="G1304" i="71"/>
  <c r="H1304" i="71"/>
  <c r="F1305" i="71"/>
  <c r="G1305" i="71"/>
  <c r="H1305" i="71"/>
  <c r="F1306" i="71"/>
  <c r="G1306" i="71"/>
  <c r="H1306" i="71"/>
  <c r="F1307" i="71"/>
  <c r="G1307" i="71"/>
  <c r="H1307" i="71"/>
  <c r="E1319" i="71"/>
  <c r="F1319" i="71"/>
  <c r="G1319" i="71"/>
  <c r="H1319" i="71"/>
  <c r="E1311" i="71"/>
  <c r="F1311" i="71"/>
  <c r="G1311" i="71"/>
  <c r="H1311" i="71"/>
  <c r="C1321" i="71"/>
  <c r="C1320" i="71"/>
  <c r="D1319" i="71"/>
  <c r="C1315" i="71"/>
  <c r="C1314" i="71"/>
  <c r="C1313" i="71"/>
  <c r="C1312" i="71"/>
  <c r="D1311" i="71"/>
  <c r="E1307" i="71"/>
  <c r="D1307" i="71"/>
  <c r="E1306" i="71"/>
  <c r="D1306" i="71"/>
  <c r="E1305" i="71"/>
  <c r="D1305" i="71"/>
  <c r="E1304" i="71"/>
  <c r="D1304" i="71"/>
  <c r="E497" i="71"/>
  <c r="F497" i="71"/>
  <c r="G497" i="71"/>
  <c r="C501" i="71"/>
  <c r="C500" i="71"/>
  <c r="C499" i="71"/>
  <c r="C498" i="71"/>
  <c r="H497" i="71"/>
  <c r="D497" i="71"/>
  <c r="E338" i="71"/>
  <c r="F338" i="71"/>
  <c r="G338" i="71"/>
  <c r="H338" i="71"/>
  <c r="C342" i="71"/>
  <c r="C341" i="71"/>
  <c r="C340" i="71"/>
  <c r="C339" i="71"/>
  <c r="D338" i="71"/>
  <c r="G489" i="71"/>
  <c r="H489" i="71"/>
  <c r="E481" i="71"/>
  <c r="F481" i="71"/>
  <c r="G481" i="71"/>
  <c r="H481" i="71"/>
  <c r="E473" i="71"/>
  <c r="F473" i="71"/>
  <c r="G473" i="71"/>
  <c r="D489" i="71"/>
  <c r="C484" i="71"/>
  <c r="C482" i="71"/>
  <c r="D481" i="71"/>
  <c r="H473" i="71"/>
  <c r="D473" i="71"/>
  <c r="E433" i="71"/>
  <c r="F433" i="71"/>
  <c r="E449" i="71"/>
  <c r="F449" i="71"/>
  <c r="E441" i="71"/>
  <c r="F441" i="71"/>
  <c r="C489" i="71" l="1"/>
  <c r="C481" i="71"/>
  <c r="C473" i="71"/>
  <c r="H1369" i="71"/>
  <c r="C1373" i="71"/>
  <c r="F1369" i="71"/>
  <c r="G1369" i="71"/>
  <c r="C1385" i="71"/>
  <c r="C517" i="71"/>
  <c r="H513" i="71"/>
  <c r="G513" i="71"/>
  <c r="C1372" i="71"/>
  <c r="C516" i="71"/>
  <c r="D513" i="71"/>
  <c r="F513" i="71"/>
  <c r="C514" i="71"/>
  <c r="C521" i="71"/>
  <c r="E513" i="71"/>
  <c r="C515" i="71"/>
  <c r="E1369" i="71"/>
  <c r="C1371" i="71"/>
  <c r="C1439" i="71"/>
  <c r="C1431" i="71"/>
  <c r="C1377" i="71"/>
  <c r="F1325" i="71"/>
  <c r="D1369" i="71"/>
  <c r="C1370" i="71"/>
  <c r="C1447" i="71"/>
  <c r="H1303" i="71"/>
  <c r="C1311" i="71"/>
  <c r="C1319" i="71"/>
  <c r="G1303" i="71"/>
  <c r="H1325" i="71"/>
  <c r="G1325" i="71"/>
  <c r="E1325" i="71"/>
  <c r="C1306" i="71"/>
  <c r="C1327" i="71"/>
  <c r="C1329" i="71"/>
  <c r="E1303" i="71"/>
  <c r="C1326" i="71"/>
  <c r="C1328" i="71"/>
  <c r="C1307" i="71"/>
  <c r="F1303" i="71"/>
  <c r="C1305" i="71"/>
  <c r="D1303" i="71"/>
  <c r="C1304" i="71"/>
  <c r="C497" i="71"/>
  <c r="C338" i="71"/>
  <c r="E330" i="71"/>
  <c r="F330" i="71"/>
  <c r="C333" i="71"/>
  <c r="C332" i="71"/>
  <c r="C331" i="71"/>
  <c r="G330" i="71"/>
  <c r="D330" i="71"/>
  <c r="C334" i="71" l="1"/>
  <c r="H330" i="71"/>
  <c r="C330" i="71" s="1"/>
  <c r="C513" i="71"/>
  <c r="C1369" i="71"/>
  <c r="D1325" i="71"/>
  <c r="C1325" i="71"/>
  <c r="C1303" i="71"/>
  <c r="F1423" i="71"/>
  <c r="F1363" i="71"/>
  <c r="F1355" i="71"/>
  <c r="F842" i="71"/>
  <c r="F834" i="71"/>
  <c r="F1407" i="71"/>
  <c r="F1348" i="71"/>
  <c r="F1349" i="71"/>
  <c r="F1350" i="71"/>
  <c r="F1351" i="71"/>
  <c r="F1089" i="71"/>
  <c r="F425" i="71"/>
  <c r="F1129" i="71"/>
  <c r="F1113" i="71"/>
  <c r="F1097" i="71"/>
  <c r="F826" i="71"/>
  <c r="F818" i="71"/>
  <c r="C788" i="71"/>
  <c r="F786" i="71"/>
  <c r="F667" i="71"/>
  <c r="F659" i="71"/>
  <c r="F651" i="71"/>
  <c r="G651" i="71"/>
  <c r="F598" i="71"/>
  <c r="G598" i="71"/>
  <c r="F589" i="71"/>
  <c r="G589" i="71"/>
  <c r="F580" i="71"/>
  <c r="G580" i="71"/>
  <c r="F571" i="71"/>
  <c r="G571" i="71"/>
  <c r="F562" i="71"/>
  <c r="G562" i="71"/>
  <c r="F553" i="71"/>
  <c r="G553" i="71"/>
  <c r="F544" i="71"/>
  <c r="G544" i="71"/>
  <c r="F536" i="71"/>
  <c r="F465" i="71"/>
  <c r="G465" i="71"/>
  <c r="F403" i="71"/>
  <c r="F322" i="71"/>
  <c r="F314" i="71"/>
  <c r="F306" i="71"/>
  <c r="F179" i="71"/>
  <c r="F171" i="71"/>
  <c r="F163" i="71"/>
  <c r="F155" i="71"/>
  <c r="F147" i="71"/>
  <c r="F51" i="71"/>
  <c r="F19" i="71"/>
  <c r="F139" i="71"/>
  <c r="F123" i="71"/>
  <c r="F115" i="71"/>
  <c r="F107" i="71"/>
  <c r="F99" i="71"/>
  <c r="F91" i="71"/>
  <c r="F83" i="71"/>
  <c r="F67" i="71"/>
  <c r="F75" i="71"/>
  <c r="F59" i="71"/>
  <c r="F43" i="71"/>
  <c r="C183" i="71"/>
  <c r="C182" i="71"/>
  <c r="C181" i="71"/>
  <c r="C180" i="71"/>
  <c r="H179" i="71"/>
  <c r="G179" i="71"/>
  <c r="E179" i="71"/>
  <c r="D179" i="71"/>
  <c r="C175" i="71"/>
  <c r="C174" i="71"/>
  <c r="C173" i="71"/>
  <c r="C172" i="71"/>
  <c r="H171" i="71"/>
  <c r="G171" i="71"/>
  <c r="E171" i="71"/>
  <c r="D171" i="71"/>
  <c r="C167" i="71"/>
  <c r="C166" i="71"/>
  <c r="C165" i="71"/>
  <c r="C164" i="71"/>
  <c r="H163" i="71"/>
  <c r="G163" i="71"/>
  <c r="E163" i="71"/>
  <c r="D163" i="71"/>
  <c r="C159" i="71"/>
  <c r="C158" i="71"/>
  <c r="C157" i="71"/>
  <c r="C156" i="71"/>
  <c r="H155" i="71"/>
  <c r="G155" i="71"/>
  <c r="E155" i="71"/>
  <c r="D155" i="71"/>
  <c r="C151" i="71"/>
  <c r="C150" i="71"/>
  <c r="C149" i="71"/>
  <c r="C148" i="71"/>
  <c r="H147" i="71"/>
  <c r="G147" i="71"/>
  <c r="E147" i="71"/>
  <c r="D147" i="71"/>
  <c r="C663" i="71"/>
  <c r="C662" i="71"/>
  <c r="C661" i="71"/>
  <c r="C660" i="71"/>
  <c r="H659" i="71"/>
  <c r="E659" i="71"/>
  <c r="D659" i="71"/>
  <c r="C655" i="71"/>
  <c r="C654" i="71"/>
  <c r="C653" i="71"/>
  <c r="C652" i="71"/>
  <c r="H651" i="71"/>
  <c r="E651" i="71"/>
  <c r="D651" i="71"/>
  <c r="C651" i="71" l="1"/>
  <c r="C659" i="71"/>
  <c r="F1456" i="71"/>
  <c r="F1455" i="71"/>
  <c r="F1454" i="71"/>
  <c r="F1347" i="71"/>
  <c r="F395" i="71"/>
  <c r="F417" i="71"/>
  <c r="F527" i="71"/>
  <c r="C179" i="71"/>
  <c r="C147" i="71"/>
  <c r="C171" i="71"/>
  <c r="C163" i="71"/>
  <c r="C155" i="71"/>
  <c r="G1089" i="71" l="1"/>
  <c r="E1089" i="71"/>
  <c r="H1089" i="71"/>
  <c r="G1407" i="71"/>
  <c r="C141" i="71" l="1"/>
  <c r="C142" i="71"/>
  <c r="C143" i="71"/>
  <c r="C140" i="71"/>
  <c r="H139" i="71"/>
  <c r="G139" i="71"/>
  <c r="E139" i="71"/>
  <c r="D139" i="71"/>
  <c r="C139" i="71" l="1"/>
  <c r="C844" i="71" l="1"/>
  <c r="C846" i="71"/>
  <c r="C845" i="71"/>
  <c r="C843" i="71"/>
  <c r="H842" i="71"/>
  <c r="G842" i="71"/>
  <c r="E842" i="71"/>
  <c r="D842" i="71"/>
  <c r="C842" i="71" l="1"/>
  <c r="C838" i="71"/>
  <c r="C837" i="71"/>
  <c r="C836" i="71"/>
  <c r="C835" i="71"/>
  <c r="H834" i="71"/>
  <c r="G834" i="71"/>
  <c r="E834" i="71"/>
  <c r="D834" i="71"/>
  <c r="C834" i="71" l="1"/>
  <c r="C820" i="71"/>
  <c r="H527" i="71" l="1"/>
  <c r="G527" i="71"/>
  <c r="C421" i="71" l="1"/>
  <c r="C399" i="71"/>
  <c r="C770" i="71"/>
  <c r="C1090" i="71"/>
  <c r="C420" i="71"/>
  <c r="C398" i="71"/>
  <c r="C1093" i="71"/>
  <c r="C419" i="71"/>
  <c r="C397" i="71"/>
  <c r="C293" i="71"/>
  <c r="C418" i="71"/>
  <c r="C396" i="71"/>
  <c r="C290" i="71"/>
  <c r="C291" i="71"/>
  <c r="C546" i="71"/>
  <c r="C547" i="71"/>
  <c r="C548" i="71"/>
  <c r="C549" i="71"/>
  <c r="C545" i="71"/>
  <c r="C557" i="71"/>
  <c r="C554" i="71"/>
  <c r="C564" i="71"/>
  <c r="C565" i="71"/>
  <c r="C566" i="71"/>
  <c r="C567" i="71"/>
  <c r="D562" i="71"/>
  <c r="C563" i="71"/>
  <c r="C573" i="71"/>
  <c r="C574" i="71"/>
  <c r="C575" i="71"/>
  <c r="C576" i="71"/>
  <c r="C572" i="71"/>
  <c r="C582" i="71"/>
  <c r="C583" i="71"/>
  <c r="C584" i="71"/>
  <c r="C585" i="71"/>
  <c r="C581" i="71"/>
  <c r="C591" i="71"/>
  <c r="C592" i="71"/>
  <c r="C593" i="71"/>
  <c r="C594" i="71"/>
  <c r="C590" i="71"/>
  <c r="C600" i="71"/>
  <c r="C601" i="71"/>
  <c r="C602" i="71"/>
  <c r="C603" i="71"/>
  <c r="C599" i="71"/>
  <c r="F769" i="71" l="1"/>
  <c r="C531" i="71" l="1"/>
  <c r="D1349" i="71" l="1"/>
  <c r="D1455" i="71" s="1"/>
  <c r="E1349" i="71"/>
  <c r="G1349" i="71"/>
  <c r="G1455" i="71" s="1"/>
  <c r="H1349" i="71"/>
  <c r="H1455" i="71" s="1"/>
  <c r="D1350" i="71"/>
  <c r="D1456" i="71" s="1"/>
  <c r="E1350" i="71"/>
  <c r="G1350" i="71"/>
  <c r="G1456" i="71" s="1"/>
  <c r="H1350" i="71"/>
  <c r="H1456" i="71" s="1"/>
  <c r="D1351" i="71"/>
  <c r="D1457" i="71" s="1"/>
  <c r="E1351" i="71"/>
  <c r="E1457" i="71" s="1"/>
  <c r="G1351" i="71"/>
  <c r="H1351" i="71"/>
  <c r="H1457" i="71" s="1"/>
  <c r="E1348" i="71"/>
  <c r="G1348" i="71"/>
  <c r="G1454" i="71" s="1"/>
  <c r="H1348" i="71"/>
  <c r="H1454" i="71" s="1"/>
  <c r="G395" i="71"/>
  <c r="H1453" i="71" l="1"/>
  <c r="C1349" i="71"/>
  <c r="C1348" i="71"/>
  <c r="C1350" i="71"/>
  <c r="C1351" i="71"/>
  <c r="C458" i="71"/>
  <c r="C1411" i="71"/>
  <c r="C1410" i="71"/>
  <c r="C1409" i="71"/>
  <c r="C459" i="71"/>
  <c r="C1408" i="71"/>
  <c r="E417" i="71"/>
  <c r="G417" i="71"/>
  <c r="E1347" i="71"/>
  <c r="H417" i="71"/>
  <c r="G1347" i="71"/>
  <c r="D1347" i="71"/>
  <c r="G769" i="71"/>
  <c r="D417" i="71"/>
  <c r="H769" i="71"/>
  <c r="H1347" i="71"/>
  <c r="C457" i="71" l="1"/>
  <c r="C455" i="71" s="1"/>
  <c r="C450" i="71" l="1"/>
  <c r="C451" i="71"/>
  <c r="G449" i="71"/>
  <c r="H449" i="71"/>
  <c r="D449" i="71"/>
  <c r="C442" i="71"/>
  <c r="C443" i="71"/>
  <c r="G441" i="71"/>
  <c r="H441" i="71"/>
  <c r="D441" i="71"/>
  <c r="C434" i="71"/>
  <c r="G433" i="71"/>
  <c r="H433" i="71"/>
  <c r="D433" i="71"/>
  <c r="C441" i="71" l="1"/>
  <c r="C449" i="71"/>
  <c r="C433" i="71"/>
  <c r="C1427" i="71"/>
  <c r="C1424" i="71"/>
  <c r="C1425" i="71"/>
  <c r="C1426" i="71"/>
  <c r="E1423" i="71"/>
  <c r="G1423" i="71"/>
  <c r="H1423" i="71"/>
  <c r="D1423" i="71"/>
  <c r="C1423" i="71" l="1"/>
  <c r="G1363" i="71" l="1"/>
  <c r="H1363" i="71"/>
  <c r="H1355" i="71"/>
  <c r="E1355" i="71"/>
  <c r="G1355" i="71"/>
  <c r="C1357" i="71"/>
  <c r="G667" i="71" l="1"/>
  <c r="G19" i="71" l="1"/>
  <c r="C819" i="71" l="1"/>
  <c r="C821" i="71"/>
  <c r="C822" i="71"/>
  <c r="D818" i="71"/>
  <c r="E818" i="71"/>
  <c r="G818" i="71"/>
  <c r="H818" i="71"/>
  <c r="C787" i="71"/>
  <c r="C789" i="71"/>
  <c r="C790" i="71"/>
  <c r="H786" i="71"/>
  <c r="G786" i="71"/>
  <c r="E786" i="71"/>
  <c r="D786" i="71"/>
  <c r="C818" i="71" l="1"/>
  <c r="C786" i="71"/>
  <c r="C1101" i="71"/>
  <c r="C1098" i="71"/>
  <c r="C1099" i="71"/>
  <c r="C1100" i="71"/>
  <c r="C771" i="71" l="1"/>
  <c r="E769" i="71"/>
  <c r="C769" i="71" s="1"/>
  <c r="C1092" i="71"/>
  <c r="H1097" i="71"/>
  <c r="G1097" i="71"/>
  <c r="E1097" i="71"/>
  <c r="D1097" i="71"/>
  <c r="C1114" i="71"/>
  <c r="C1115" i="71"/>
  <c r="C1116" i="71"/>
  <c r="C1117" i="71"/>
  <c r="H1113" i="71"/>
  <c r="G1113" i="71"/>
  <c r="E1113" i="71"/>
  <c r="D1113" i="71"/>
  <c r="D1089" i="71" l="1"/>
  <c r="C772" i="71"/>
  <c r="C1097" i="71"/>
  <c r="C1113" i="71"/>
  <c r="C1130" i="71"/>
  <c r="C1131" i="71"/>
  <c r="C1132" i="71"/>
  <c r="C1133" i="71"/>
  <c r="H1129" i="71"/>
  <c r="G1129" i="71"/>
  <c r="E1129" i="71"/>
  <c r="D1129" i="71"/>
  <c r="C1091" i="71" l="1"/>
  <c r="C1089" i="71" s="1"/>
  <c r="C1129" i="71"/>
  <c r="C827" i="71"/>
  <c r="C828" i="71"/>
  <c r="C829" i="71"/>
  <c r="C830" i="71"/>
  <c r="H826" i="71"/>
  <c r="G826" i="71"/>
  <c r="E826" i="71"/>
  <c r="D826" i="71"/>
  <c r="C826" i="71" l="1"/>
  <c r="C538" i="71" l="1"/>
  <c r="C539" i="71"/>
  <c r="C540" i="71"/>
  <c r="H536" i="71"/>
  <c r="G536" i="71"/>
  <c r="C429" i="71"/>
  <c r="C428" i="71"/>
  <c r="C427" i="71"/>
  <c r="C426" i="71"/>
  <c r="H425" i="71"/>
  <c r="G425" i="71"/>
  <c r="E425" i="71"/>
  <c r="D425" i="71"/>
  <c r="C405" i="71"/>
  <c r="C404" i="71"/>
  <c r="C406" i="71"/>
  <c r="C407" i="71"/>
  <c r="H403" i="71"/>
  <c r="G403" i="71"/>
  <c r="E403" i="71"/>
  <c r="D403" i="71"/>
  <c r="C528" i="71" l="1"/>
  <c r="D527" i="71"/>
  <c r="C425" i="71"/>
  <c r="C403" i="71"/>
  <c r="C537" i="71"/>
  <c r="D536" i="71"/>
  <c r="E536" i="71"/>
  <c r="C323" i="71"/>
  <c r="C324" i="71"/>
  <c r="C325" i="71"/>
  <c r="C326" i="71"/>
  <c r="C315" i="71"/>
  <c r="C316" i="71"/>
  <c r="C317" i="71"/>
  <c r="C318" i="71"/>
  <c r="C307" i="71"/>
  <c r="C308" i="71"/>
  <c r="C309" i="71"/>
  <c r="C310" i="71"/>
  <c r="C299" i="71"/>
  <c r="C300" i="71"/>
  <c r="C301" i="71"/>
  <c r="C302" i="71"/>
  <c r="C134" i="71"/>
  <c r="C124" i="71"/>
  <c r="C125" i="71"/>
  <c r="C126" i="71"/>
  <c r="C127" i="71"/>
  <c r="C116" i="71"/>
  <c r="C117" i="71"/>
  <c r="C118" i="71"/>
  <c r="C119" i="71"/>
  <c r="C108" i="71"/>
  <c r="C109" i="71"/>
  <c r="C110" i="71"/>
  <c r="C111" i="71"/>
  <c r="C100" i="71"/>
  <c r="C101" i="71"/>
  <c r="C102" i="71"/>
  <c r="C103" i="71"/>
  <c r="C92" i="71"/>
  <c r="C93" i="71"/>
  <c r="C94" i="71"/>
  <c r="C95" i="71"/>
  <c r="H322" i="71"/>
  <c r="G322" i="71"/>
  <c r="E322" i="71"/>
  <c r="D322" i="71"/>
  <c r="H314" i="71"/>
  <c r="G314" i="71"/>
  <c r="E314" i="71"/>
  <c r="D314" i="71"/>
  <c r="H306" i="71"/>
  <c r="G306" i="71"/>
  <c r="E306" i="71"/>
  <c r="D306" i="71"/>
  <c r="G135" i="71"/>
  <c r="G15" i="71" s="1"/>
  <c r="F135" i="71"/>
  <c r="F15" i="71" s="1"/>
  <c r="H131" i="71"/>
  <c r="H123" i="71"/>
  <c r="G123" i="71"/>
  <c r="E123" i="71"/>
  <c r="D123" i="71"/>
  <c r="H115" i="71"/>
  <c r="G115" i="71"/>
  <c r="E115" i="71"/>
  <c r="D115" i="71"/>
  <c r="H107" i="71"/>
  <c r="G107" i="71"/>
  <c r="E107" i="71"/>
  <c r="D107" i="71"/>
  <c r="H99" i="71"/>
  <c r="G99" i="71"/>
  <c r="E99" i="71"/>
  <c r="D99" i="71"/>
  <c r="H91" i="71"/>
  <c r="G91" i="71"/>
  <c r="E91" i="71"/>
  <c r="D91" i="71"/>
  <c r="C536" i="71" l="1"/>
  <c r="G1457" i="71"/>
  <c r="G1453" i="71" s="1"/>
  <c r="E11" i="71"/>
  <c r="F1457" i="71"/>
  <c r="F1453" i="71" s="1"/>
  <c r="F131" i="71"/>
  <c r="G131" i="71"/>
  <c r="C14" i="71"/>
  <c r="C13" i="71"/>
  <c r="H11" i="71"/>
  <c r="C115" i="71"/>
  <c r="C132" i="71"/>
  <c r="C314" i="71"/>
  <c r="C91" i="71"/>
  <c r="C107" i="71"/>
  <c r="C99" i="71"/>
  <c r="C123" i="71"/>
  <c r="C306" i="71"/>
  <c r="C322" i="71"/>
  <c r="C135" i="71"/>
  <c r="E131" i="71"/>
  <c r="C84" i="71"/>
  <c r="C85" i="71"/>
  <c r="C86" i="71"/>
  <c r="C87" i="71"/>
  <c r="H83" i="71"/>
  <c r="G83" i="71"/>
  <c r="E83" i="71"/>
  <c r="D83" i="71"/>
  <c r="C76" i="71"/>
  <c r="C77" i="71"/>
  <c r="C78" i="71"/>
  <c r="C79" i="71"/>
  <c r="C68" i="71"/>
  <c r="C69" i="71"/>
  <c r="C70" i="71"/>
  <c r="C71" i="71"/>
  <c r="C61" i="71"/>
  <c r="C60" i="71"/>
  <c r="H75" i="71"/>
  <c r="G75" i="71"/>
  <c r="E75" i="71"/>
  <c r="D75" i="71"/>
  <c r="H67" i="71"/>
  <c r="G67" i="71"/>
  <c r="E67" i="71"/>
  <c r="D67" i="71"/>
  <c r="C12" i="71" l="1"/>
  <c r="D1454" i="71"/>
  <c r="D1453" i="71" s="1"/>
  <c r="E1454" i="71"/>
  <c r="F11" i="71"/>
  <c r="C131" i="71"/>
  <c r="G11" i="71"/>
  <c r="C15" i="71"/>
  <c r="C67" i="71"/>
  <c r="C75" i="71"/>
  <c r="C83" i="71"/>
  <c r="C1454" i="71" l="1"/>
  <c r="C11" i="71"/>
  <c r="C62" i="71"/>
  <c r="C63" i="71"/>
  <c r="C52" i="71"/>
  <c r="C53" i="71"/>
  <c r="C54" i="71"/>
  <c r="C55" i="71"/>
  <c r="C44" i="71"/>
  <c r="C45" i="71"/>
  <c r="C46" i="71"/>
  <c r="C47" i="71"/>
  <c r="C36" i="71"/>
  <c r="C37" i="71"/>
  <c r="C38" i="71"/>
  <c r="C39" i="71"/>
  <c r="H59" i="71"/>
  <c r="G59" i="71"/>
  <c r="E59" i="71"/>
  <c r="D59" i="71"/>
  <c r="C59" i="71" l="1"/>
  <c r="H51" i="71"/>
  <c r="G51" i="71"/>
  <c r="E51" i="71"/>
  <c r="D51" i="71"/>
  <c r="C51" i="71" l="1"/>
  <c r="H43" i="71"/>
  <c r="G43" i="71"/>
  <c r="E43" i="71"/>
  <c r="D43" i="71"/>
  <c r="H35" i="71"/>
  <c r="G35" i="71"/>
  <c r="F35" i="71"/>
  <c r="E35" i="71"/>
  <c r="D35" i="71"/>
  <c r="C29" i="71"/>
  <c r="C30" i="71"/>
  <c r="C31" i="71"/>
  <c r="C28" i="71"/>
  <c r="H27" i="71"/>
  <c r="G27" i="71"/>
  <c r="F27" i="71"/>
  <c r="E27" i="71"/>
  <c r="D27" i="71"/>
  <c r="C43" i="71" l="1"/>
  <c r="C27" i="71"/>
  <c r="C35" i="71"/>
  <c r="C292" i="71" l="1"/>
  <c r="C289" i="71" s="1"/>
  <c r="D298" i="71" l="1"/>
  <c r="E298" i="71"/>
  <c r="F298" i="71"/>
  <c r="G298" i="71"/>
  <c r="H298" i="71"/>
  <c r="C298" i="71" l="1"/>
  <c r="D395" i="71" l="1"/>
  <c r="E395" i="71"/>
  <c r="H395" i="71"/>
  <c r="C395" i="71" l="1"/>
  <c r="H465" i="71" l="1"/>
  <c r="E465" i="71"/>
  <c r="D465" i="71"/>
  <c r="C465" i="71" l="1"/>
  <c r="E1456" i="71"/>
  <c r="E1455" i="71"/>
  <c r="E1453" i="71" s="1"/>
  <c r="E527" i="71" l="1"/>
  <c r="C529" i="71"/>
  <c r="C530" i="71"/>
  <c r="C532" i="71"/>
  <c r="C555" i="71"/>
  <c r="C556" i="71"/>
  <c r="C558" i="71"/>
  <c r="H544" i="71"/>
  <c r="E544" i="71"/>
  <c r="D544" i="71"/>
  <c r="C544" i="71" l="1"/>
  <c r="C527" i="71"/>
  <c r="H598" i="71" l="1"/>
  <c r="E598" i="71"/>
  <c r="D598" i="71"/>
  <c r="H589" i="71"/>
  <c r="E589" i="71"/>
  <c r="D589" i="71"/>
  <c r="H580" i="71"/>
  <c r="E580" i="71"/>
  <c r="D580" i="71"/>
  <c r="H571" i="71"/>
  <c r="E571" i="71"/>
  <c r="D571" i="71"/>
  <c r="H562" i="71"/>
  <c r="E562" i="71"/>
  <c r="C580" i="71" l="1"/>
  <c r="C598" i="71"/>
  <c r="C571" i="71"/>
  <c r="C589" i="71"/>
  <c r="C562" i="71"/>
  <c r="H1407" i="71" l="1"/>
  <c r="E1407" i="71"/>
  <c r="C1455" i="71" l="1"/>
  <c r="C1456" i="71"/>
  <c r="C1457" i="71"/>
  <c r="C1407" i="71"/>
  <c r="C1453" i="71" l="1"/>
  <c r="D667" i="71"/>
  <c r="E667" i="71"/>
  <c r="E19" i="71" l="1"/>
  <c r="H19" i="71"/>
  <c r="C417" i="71" l="1"/>
  <c r="E1363" i="71" l="1"/>
  <c r="D1363" i="71"/>
  <c r="D1355" i="71"/>
  <c r="C1355" i="71" s="1"/>
  <c r="E553" i="71"/>
  <c r="D553" i="71"/>
  <c r="D19" i="71"/>
  <c r="C19" i="71" s="1"/>
  <c r="C1363" i="71" l="1"/>
  <c r="C1347" i="71" l="1"/>
  <c r="H553" i="71" l="1"/>
  <c r="C553" i="71" s="1"/>
  <c r="H667" i="71" l="1"/>
  <c r="C667" i="71" s="1"/>
</calcChain>
</file>

<file path=xl/sharedStrings.xml><?xml version="1.0" encoding="utf-8"?>
<sst xmlns="http://schemas.openxmlformats.org/spreadsheetml/2006/main" count="3364" uniqueCount="834">
  <si>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</si>
  <si>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</si>
  <si>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</si>
  <si>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</si>
  <si>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</si>
  <si>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</si>
  <si>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</si>
  <si>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</si>
  <si>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</si>
  <si>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</si>
  <si>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</si>
  <si>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</si>
  <si>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</si>
  <si>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</si>
  <si>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</si>
  <si>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</si>
  <si>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</si>
  <si>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</si>
  <si>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</si>
  <si>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</si>
  <si>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</si>
  <si>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</si>
  <si>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2022 год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</si>
  <si>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</si>
  <si>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</si>
  <si>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</si>
  <si>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</si>
  <si>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</si>
  <si>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</si>
  <si>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региональная</t>
  </si>
  <si>
    <t>вновь начинаемый</t>
  </si>
  <si>
    <t>переходящий</t>
  </si>
  <si>
    <t>Усть-Большерецкий муниципальный район</t>
  </si>
  <si>
    <t>Елизовский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</si>
  <si>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</si>
  <si>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</si>
  <si>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</si>
  <si>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</si>
  <si>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</si>
  <si>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</si>
  <si>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</si>
  <si>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</si>
  <si>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2025 год</t>
  </si>
  <si>
    <t>2021-2022 годы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</si>
  <si>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</si>
  <si>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</si>
  <si>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Администрация городского округа "поселок Палана"</t>
  </si>
  <si>
    <t>Администрация Новолесновского сельского поселения</t>
  </si>
  <si>
    <t>Елизовское городское поселение</t>
  </si>
  <si>
    <t>КГУП "Камчатский водоканал"</t>
  </si>
  <si>
    <t>Эссовское сельское поселение</t>
  </si>
  <si>
    <t>Ключевское сельское поселение</t>
  </si>
  <si>
    <t>Администрация Ключевского сельского поселения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</si>
  <si>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</si>
  <si>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</si>
  <si>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</si>
  <si>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</si>
  <si>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</si>
  <si>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</si>
  <si>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>450 коек/150 посещений в смену</t>
  </si>
  <si>
    <t>2.</t>
  </si>
  <si>
    <t>3.</t>
  </si>
  <si>
    <t>4.</t>
  </si>
  <si>
    <t>5.</t>
  </si>
  <si>
    <t>6.</t>
  </si>
  <si>
    <t>7.</t>
  </si>
  <si>
    <t>8.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</si>
  <si>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</si>
  <si>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</si>
  <si>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</si>
  <si>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</si>
  <si>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</si>
  <si>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Администрация Елизовского муниципального района</t>
  </si>
  <si>
    <t>11.</t>
  </si>
  <si>
    <t>14.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</si>
  <si>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</si>
  <si>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</si>
  <si>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</si>
  <si>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</si>
  <si>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</si>
  <si>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Здание. Общеобразовательная школа по проспекту Рыбаков в г. Петропавловск-Камчатский</t>
  </si>
  <si>
    <t>650 мест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</si>
  <si>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</si>
  <si>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</si>
  <si>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Государственная программа Камчатского края "Социальная поддержка граждан в Камчатском крае"</t>
  </si>
  <si>
    <t>Министерство спорта Камчатского края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</si>
  <si>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</si>
  <si>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</si>
  <si>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</si>
  <si>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</si>
  <si>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</si>
  <si>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</si>
  <si>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</si>
  <si>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</si>
  <si>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</si>
  <si>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</si>
  <si>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160 мест</t>
  </si>
  <si>
    <t>Комплекс многоквартирных домов в жилом районе Приморский города Вилючинска Камчатского края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</si>
  <si>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</si>
  <si>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</si>
  <si>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Министерство транспорта и дорожного строительства Камчатского края </t>
  </si>
  <si>
    <t>Строительство "Пожарного депо на 2 выезда" в п. Озерновский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</si>
  <si>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</si>
  <si>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</si>
  <si>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</si>
  <si>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</si>
  <si>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100 мест</t>
  </si>
  <si>
    <t>1.1</t>
  </si>
  <si>
    <t>1.4</t>
  </si>
  <si>
    <t>2.1</t>
  </si>
  <si>
    <t>2.5</t>
  </si>
  <si>
    <t>4.1</t>
  </si>
  <si>
    <t>4.2</t>
  </si>
  <si>
    <t>4.3</t>
  </si>
  <si>
    <t>5.1</t>
  </si>
  <si>
    <t>5.2</t>
  </si>
  <si>
    <t>5.4</t>
  </si>
  <si>
    <t>6.1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</si>
  <si>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</si>
  <si>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</si>
  <si>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</si>
  <si>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</si>
  <si>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</si>
  <si>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</si>
  <si>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</si>
  <si>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</si>
  <si>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</si>
  <si>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</si>
  <si>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</si>
  <si>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</si>
  <si>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</si>
  <si>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</si>
  <si>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</si>
  <si>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12.1</t>
  </si>
  <si>
    <t>12.2</t>
  </si>
  <si>
    <t>13.1</t>
  </si>
  <si>
    <t>13.2</t>
  </si>
  <si>
    <t>14.1</t>
  </si>
  <si>
    <t>103 460,454 тыс. рублей</t>
  </si>
  <si>
    <t xml:space="preserve">Пенжинский муниципальный район </t>
  </si>
  <si>
    <t>64 527,642 тыс. рублей</t>
  </si>
  <si>
    <t>Министерство образования Камчатского края</t>
  </si>
  <si>
    <t>851 511,62 тыс. рублей</t>
  </si>
  <si>
    <t>средства Фонда содействия реформированию жилищно-коммунального хозяйства</t>
  </si>
  <si>
    <t>270 квартир</t>
  </si>
  <si>
    <t>60 000,00 м2</t>
  </si>
  <si>
    <t>13.</t>
  </si>
  <si>
    <t>Администрация Мильковского муниципального района</t>
  </si>
  <si>
    <t xml:space="preserve">Итого </t>
  </si>
  <si>
    <t>2.4</t>
  </si>
  <si>
    <t>2.6</t>
  </si>
  <si>
    <t>2.7</t>
  </si>
  <si>
    <t>5.3</t>
  </si>
  <si>
    <t>10.1</t>
  </si>
  <si>
    <t>11.1</t>
  </si>
  <si>
    <t>7.3</t>
  </si>
  <si>
    <t>7.4</t>
  </si>
  <si>
    <t>7.7</t>
  </si>
  <si>
    <t>Камчатский театр кукол г. Петропавловск-Камчатский</t>
  </si>
  <si>
    <t>4,42 км</t>
  </si>
  <si>
    <t xml:space="preserve">2025 год                                </t>
  </si>
  <si>
    <t>2,185 км</t>
  </si>
  <si>
    <t>Министерство сельского хозяйства, пищевой и перерабатывающей промышленности Камчатского края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</si>
  <si>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0 - км 5 </t>
  </si>
  <si>
    <t xml:space="preserve">4,92143 км </t>
  </si>
  <si>
    <t>500 мест</t>
  </si>
  <si>
    <t>Реконструкция руслорегулирующего сооружения реки Половинка, г. Елизово, Елизовский муниципальный район, Камчатский край</t>
  </si>
  <si>
    <t>Администрация Тигильского муниципального района</t>
  </si>
  <si>
    <t>Проектирование и строительство полигона твердых бытовых отходов на территории Мильковского муниципального района (в том числе проектные работы)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</si>
  <si>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"О порядке предоставления жилых помещений жилищного фонда Камчатского края по договорам социального найма"</t>
  </si>
  <si>
    <t>КГКУ "Единая дирекция по строительству объекта "Камчатская краевая больница"</t>
  </si>
  <si>
    <t>200 мест</t>
  </si>
  <si>
    <t>3 666,88 кв. м.</t>
  </si>
  <si>
    <t>Государственная программа Камчатского края "Социальное и экономическое развитие территории с особым статусом "Корякский округ"</t>
  </si>
  <si>
    <t>Государственная программа Камчатского края "Социальное и экономическое развитие территории с особым статусом "Корякский округ". Подпрограмма "Обеспечение доступным и комфортным жильем и коммунальными услугами населения Корякского округа".</t>
  </si>
  <si>
    <t>КГКУ "ЦОД"</t>
  </si>
  <si>
    <t>2026 год</t>
  </si>
  <si>
    <t>117 084,63 тыс. рублей</t>
  </si>
  <si>
    <t>178 825,34 тыс. рублей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</si>
  <si>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</si>
  <si>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>Государственная программа Камчатского края "Комплексное развитие сельских территорий Камчатского края". Подпрограмма  "Создание и развитие инфраструктуры на сельских территориях"</t>
  </si>
  <si>
    <t>2.8</t>
  </si>
  <si>
    <t>3.1</t>
  </si>
  <si>
    <t>3.2</t>
  </si>
  <si>
    <t xml:space="preserve"> от 29.01.2018  
№ 41-1-1-2-0003-18, 
от 10.08.2018  
№ 41-1-0155-18</t>
  </si>
  <si>
    <t xml:space="preserve">Привязка проекта повторного применения </t>
  </si>
  <si>
    <t>от 11.04.2018 
№ 41-1-1-3-0020-18</t>
  </si>
  <si>
    <t>от 16.08.2017 
№ 1-1-6-0048-17, 
от 02.08.2017 
№ 41-1-1-3-0051-17</t>
  </si>
  <si>
    <t>от 12.04.2018 
№ 41-1-0053-18, 
от 05.12.2017 
№ 41-1-1-3-0091-17</t>
  </si>
  <si>
    <t>Государственная программа Камчатского края "Комплексное развитие сельских территорий Камчатского края"</t>
  </si>
  <si>
    <t>Министерство строительства и жилищной политики Камчатского края</t>
  </si>
  <si>
    <t>Министерство социального благополучия и семейной политики Камчатского края</t>
  </si>
  <si>
    <t>Министерство специальных программ Камчатского края</t>
  </si>
  <si>
    <t>Строительство внеплощадочных сетей водоотведения для микрорайона Северный в г. Петропавловске-Камчатском</t>
  </si>
  <si>
    <t>700 п.м</t>
  </si>
  <si>
    <t>1300 п.м</t>
  </si>
  <si>
    <t>Строительство внеплощадочных сетей теплоснабжения для микрорайона Северный в г. Петропавловске-Камчатском</t>
  </si>
  <si>
    <t>администрация Петропавловск-Камчатского городского округа</t>
  </si>
  <si>
    <t>администрация Ключевского сельского поселения</t>
  </si>
  <si>
    <t>Паратунское сельское поселение</t>
  </si>
  <si>
    <t>администрация Паратунского сельского поселения</t>
  </si>
  <si>
    <t>администрация Эссовского сельского поселения</t>
  </si>
  <si>
    <t>Анавгайское сельское поселение</t>
  </si>
  <si>
    <t>администрация Анавгайского сельского поселения</t>
  </si>
  <si>
    <t>Сельское поселение "село Тигиль"</t>
  </si>
  <si>
    <t>администрация Сельского поселения "село Тигиль"</t>
  </si>
  <si>
    <t xml:space="preserve">администрация Усть-Большерецкого сельского поселения </t>
  </si>
  <si>
    <t>10 месяцев</t>
  </si>
  <si>
    <t>8 месяцев</t>
  </si>
  <si>
    <t>320 кв.м</t>
  </si>
  <si>
    <t>Усть-Камчатский муниципальный район</t>
  </si>
  <si>
    <t>3 100 кв.м</t>
  </si>
  <si>
    <t>Карагинский муниципальный район</t>
  </si>
  <si>
    <t>Соболевский муниципальный район</t>
  </si>
  <si>
    <t>127,4 кв.м</t>
  </si>
  <si>
    <t>70 кв.м</t>
  </si>
  <si>
    <t>Ледовый дворец в г. Елизово, Камчатский край</t>
  </si>
  <si>
    <t>1.7</t>
  </si>
  <si>
    <t>90 мест</t>
  </si>
  <si>
    <t>Строительство Камчатской краевой больницы</t>
  </si>
  <si>
    <t>15 196 053,0 тыс. рублей</t>
  </si>
  <si>
    <t>КГКУ "Служба заказчика Министерства строительства и жилищной политики Камчатского края"</t>
  </si>
  <si>
    <t>5.5</t>
  </si>
  <si>
    <t>200 чел</t>
  </si>
  <si>
    <t>2018 год</t>
  </si>
  <si>
    <t>Строительство автопассажирского парома</t>
  </si>
  <si>
    <t>Детский сад по ул. Вилюйская, 60 в г. Петропавловске-Камчатском</t>
  </si>
  <si>
    <t>399 346,1 тыс.рублей</t>
  </si>
  <si>
    <t>Проектная документация проходит государственную экспертизу</t>
  </si>
  <si>
    <t>2.3</t>
  </si>
  <si>
    <t>Администрация Олюторского муниципального района</t>
  </si>
  <si>
    <t>Сельский учебный комплекс в с. Вывенка, Олюторского муниципального района на 60 школьных и 30 дошкольных мест (в том числе проектные работы)</t>
  </si>
  <si>
    <t>Фельдшерско-акушерский пункт. Камчатский край, Пенжинский муниципальный район, с. Слаутное</t>
  </si>
  <si>
    <t xml:space="preserve">20 посещений в смену </t>
  </si>
  <si>
    <t>Фельдшерско-акушерский пункт. Камчатский край, Пенжинский муниципальный район, с. Аянка</t>
  </si>
  <si>
    <t>108 436,277 тыс. рублей</t>
  </si>
  <si>
    <t>от 23.03.2017
 № 41-1-1-3-0020-17, 
от 29.05.2017  
№ 1-1-6-0022-17</t>
  </si>
  <si>
    <t>от 23.03.2017  
№ 41-1-1-3-0019-17, 
от 29.05.2017 
№ 1-1-6-0020-17</t>
  </si>
  <si>
    <t xml:space="preserve">Олюторского муниципальный район </t>
  </si>
  <si>
    <t>74 719,506 тыс. рублей</t>
  </si>
  <si>
    <t xml:space="preserve">Олюторский муниципальный район </t>
  </si>
  <si>
    <t>от 12.08.2014 
№ 41-1-5-0077-14, 
от 08.06.2015 
№ 1-1-6-0023-15</t>
  </si>
  <si>
    <t xml:space="preserve">от 30.06.2014 
№ 41-1-5-0060-14, </t>
  </si>
  <si>
    <t>29 701,948 тыс. рублей</t>
  </si>
  <si>
    <t xml:space="preserve">Усть-Большерецкий муниципальный район </t>
  </si>
  <si>
    <t xml:space="preserve">347,4 кв.м/ 50 посещений в смену </t>
  </si>
  <si>
    <t>136 667,3  тыс. рублей</t>
  </si>
  <si>
    <t xml:space="preserve">Соболевский муниципальный район </t>
  </si>
  <si>
    <t>от 15.04.2019              № 41-1-1-3-008822-2019,  от 07.05.2019                                   № 41-1-0098-19</t>
  </si>
  <si>
    <t>2021-2022 годы                (6 месяцев)</t>
  </si>
  <si>
    <t>36 270,227 тыс. рублей</t>
  </si>
  <si>
    <t>2021-2022 годы                                        (4 месяца)</t>
  </si>
  <si>
    <t xml:space="preserve">Елизовский муниципальный район </t>
  </si>
  <si>
    <t>39 762,106 тыс. рублей</t>
  </si>
  <si>
    <t>16 302 м2/ 250 коек</t>
  </si>
  <si>
    <t>Средняя общеобразовательная школа в с. Кавалерское Усть-Большерецкого района</t>
  </si>
  <si>
    <t>2021  год</t>
  </si>
  <si>
    <t>400 000,00                     тыс. рублей</t>
  </si>
  <si>
    <t>241 место</t>
  </si>
  <si>
    <t>608 824,55            тыс. рублей</t>
  </si>
  <si>
    <t>Пенжинский муниципальный район</t>
  </si>
  <si>
    <t>от 22.04.2016 № 41-1-1-3-0019-16, 
 от 11.07.2016 № 1-1-6-0035-16</t>
  </si>
  <si>
    <t>931 457,08364  тыс.рублей</t>
  </si>
  <si>
    <t>Сельский учебный комплекс "Школа-детский сад" в с. Средние Пахачи Олюторского района</t>
  </si>
  <si>
    <t>Олюторский муниципальный район</t>
  </si>
  <si>
    <t xml:space="preserve">от 25.07.2017 № 41-1-1-3-0050-17, от 06.02.2018 № 41-1-0016-18 </t>
  </si>
  <si>
    <t>от 25.09.2013 № 41-1-4-0085-13, 
от 26.09.2013 № 41-1-6-0086-13</t>
  </si>
  <si>
    <t>Государственная программа Камчатского края "Развитие физической культуры и спорта в Камчатском крае"</t>
  </si>
  <si>
    <t>Государственная программа Камчатского края "Развитие физической культуры и спорта в Камчатском крае". Подпрограмма "Развитие инфраструктуры для занятий физической культурой и спортом"</t>
  </si>
  <si>
    <t>от 13.05.2016 № 1-6-3-0011-16; 
от 14.03.2016  № 41-1-3-0009-16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</si>
  <si>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благополучия".</t>
  </si>
  <si>
    <t>Реконструкция здания по адресу г. Петропавловск-Камчатский, ул. Тундровая, д. 1А под городскую станцию по борьбе с болезнями животных (в том числе проектные работы)</t>
  </si>
  <si>
    <t>58 пациентов в смену</t>
  </si>
  <si>
    <t xml:space="preserve">205 953,36 тыс. рублей </t>
  </si>
  <si>
    <t xml:space="preserve">разработка проектной документации </t>
  </si>
  <si>
    <t>7 340,0 п.м</t>
  </si>
  <si>
    <t xml:space="preserve"> от 25.12.2012 № 41-1-3-0129-12 </t>
  </si>
  <si>
    <t>50 пасс/7 автомобилей</t>
  </si>
  <si>
    <t xml:space="preserve">от 29.11.2018 № 41-1-1-3-005946-2018 </t>
  </si>
  <si>
    <t>Строительство подъезда к проектируемому  аэровокзалу в г. Елизово от автомобильной дороги А-401 "Подъездная дорога от морского порта Петропавловск-Камчатский к аэропорту Петропавловск-Камчатский (Елизово) на участке км 34"</t>
  </si>
  <si>
    <t>3,0341 км</t>
  </si>
  <si>
    <t>№ 41-1-1-3-033132-2020 от 23.07.2020,№ 41-1-1-2-053310-2020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</si>
  <si>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  Подпрограмма "Чистая вода в Камчатском крае" </t>
  </si>
  <si>
    <t>Реконструкция системы водоснабжения в п.  Ключи Усть-Камчатского района Камчатского края</t>
  </si>
  <si>
    <t>среднесуточное 844,76 м3/сут, максимальное суточное 913,28 м3/сут</t>
  </si>
  <si>
    <t>Реконструкция системы водоотведения центральной части г. Петропавловска-Камчатского. Канализационная насосная станция КНС "Мехзавод"</t>
  </si>
  <si>
    <t>7500 м3/сут</t>
  </si>
  <si>
    <t>Проектирование и строительство полигона твердых бытовых отходов для с. Ковран и с. Усть-Хайрюзово Тигильского муниципального района</t>
  </si>
  <si>
    <t>350 мест / 9356,2 кв. м</t>
  </si>
  <si>
    <t>12 месяцев</t>
  </si>
  <si>
    <t>Строительство двухквартирного жилого дома (поз. 1) в с. Крутоберегово Усть-Камчатского района Камчатского края</t>
  </si>
  <si>
    <t>Строительство 12-квартирного жилого дома по ул. 60 лет Октября в пос. Усть-Камчатск на мысе Погодный</t>
  </si>
  <si>
    <t xml:space="preserve">площадь 5270,9 </t>
  </si>
  <si>
    <t>площадь 214,4</t>
  </si>
  <si>
    <t>площадь 745,2 кв. метра</t>
  </si>
  <si>
    <t>Администрация Эссовского сельского поселения</t>
  </si>
  <si>
    <t>4.4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</si>
  <si>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</t>
  </si>
  <si>
    <t>Строительство дома ночного пребывания на базе КГАПУ СЗ "Камчатский комплексный центр по оказанию помощи лицам без определенного места жительства и занятий и социальной реабилитации граждан" в  г. Петропавловске-Камчатском (в том числе проектные работы)</t>
  </si>
  <si>
    <t xml:space="preserve">Строительство нового корпуса КГАУ СЗ "Елизовский психоневрологический интернат для детей "Ягодка"  (в том числе проектные работы) </t>
  </si>
  <si>
    <t>60 мест</t>
  </si>
  <si>
    <t>50 мест</t>
  </si>
  <si>
    <t>120 000,00 тыс.рублей</t>
  </si>
  <si>
    <t>265 000,00 тыс.рублей</t>
  </si>
  <si>
    <t xml:space="preserve">Петропавловск-Камчатский городской округ. </t>
  </si>
  <si>
    <t xml:space="preserve">Строительство здания многофункционального спортивного центра по биатлону в г. Петропавловске-Камчатском </t>
  </si>
  <si>
    <t>Хоккейная коробка в г.Елизово</t>
  </si>
  <si>
    <t>Стадион "Спартак" в г. Петропавловск-Камчатский</t>
  </si>
  <si>
    <t>400 чел/сут</t>
  </si>
  <si>
    <t>16 143,16 тыс. рублей</t>
  </si>
  <si>
    <t>от 25.12.2017 № 41-1-0114-17</t>
  </si>
  <si>
    <t>Строительство многофункционального  спортивного комплекса, п. Николаевка, Елизовский район, Камчатский край</t>
  </si>
  <si>
    <t>32 чел</t>
  </si>
  <si>
    <t>КГБУ "Спортивная школа по футболу"</t>
  </si>
  <si>
    <t>100 987,38 тыс. рублей</t>
  </si>
  <si>
    <t>от 03.07.2018                                         № 41-1-1-3-0042-18,                                                   от 28.08.2018 № 41-1-0175-18</t>
  </si>
  <si>
    <t>10.2</t>
  </si>
  <si>
    <t>Елизовская районная больница</t>
  </si>
  <si>
    <t xml:space="preserve">Усть-Большерецкий муниципальный район  </t>
  </si>
  <si>
    <t xml:space="preserve">Пенжинский муниципальный район  </t>
  </si>
  <si>
    <t>Офис врача общей практики в п. Крутогоровский Соболевского района Камчатского края</t>
  </si>
  <si>
    <t>1,096 км</t>
  </si>
  <si>
    <t>1.8</t>
  </si>
  <si>
    <t>1.9</t>
  </si>
  <si>
    <t>1.10</t>
  </si>
  <si>
    <t>1.11</t>
  </si>
  <si>
    <t>1.12</t>
  </si>
  <si>
    <t>1.13</t>
  </si>
  <si>
    <t>1.14</t>
  </si>
  <si>
    <t>1.15</t>
  </si>
  <si>
    <t>7.5</t>
  </si>
  <si>
    <t>7.6</t>
  </si>
  <si>
    <t>7.8</t>
  </si>
  <si>
    <t>7.9</t>
  </si>
  <si>
    <t>7.10</t>
  </si>
  <si>
    <t>7.11</t>
  </si>
  <si>
    <t>7.12</t>
  </si>
  <si>
    <t>7.13</t>
  </si>
  <si>
    <t>7.14</t>
  </si>
  <si>
    <t>7.15</t>
  </si>
  <si>
    <t>1.2</t>
  </si>
  <si>
    <t>1.3</t>
  </si>
  <si>
    <t>1.5</t>
  </si>
  <si>
    <t>1.6</t>
  </si>
  <si>
    <t>ГРБС, наименование государственной программы, мероприятия, источник финансирования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</si>
  <si>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</si>
  <si>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Озерновская районная больница. Государственное бюджетное учреждение здравоохранения Камчатского края "Озерновская районная больница"</t>
  </si>
  <si>
    <t>Фельдшерско-акушерский пункт. Камчатский край, Олюторский муниципальный район, село Апука</t>
  </si>
  <si>
    <t>Карагинская районная больница. Государственное бюджетное учреждение здравоохранения Камчатского края "Карагинская районная больница"</t>
  </si>
  <si>
    <t>Фельдшерский здравпункт. Камчатский край, Усть-Камчатский муниципальный район, с. Крутоберегово. Государственное бюджетное учреждение здравоохранения Камчатского края "Усть-Камчатская районная больница"</t>
  </si>
  <si>
    <t>Врачебная амбулатория. Камчатский край, Усть-Камчатский муниципальный район, п. Козыревск. Государственное бюджетное учреждение здравоохранения Камчатского края "Ключевская районная больница"</t>
  </si>
  <si>
    <t>Врачебная амбулатория. Камчатский край, Елизовский муниципальный район, с. Николаевка. Государственное бюджетное учреждение здравоохранения Камчатского края "Елизовская районная больница"</t>
  </si>
  <si>
    <t>Врачебная амбулатория. Камчатский край, Елизовский муниципальный район, п. Пионерский. Государственное бюджетное учреждение здравоохранения Камчатского края "Елизовская районная больница"</t>
  </si>
  <si>
    <t>Фельдшерско-акушерский пункт. Камчатский край, Олюторский муниципальный район, село Ачайваям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</si>
  <si>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                  
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</si>
  <si>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(в том числе проектные работы)</t>
  </si>
  <si>
    <t xml:space="preserve">
от 05.07.2016
№ 2-1-6-0033-16
</t>
  </si>
  <si>
    <t>Водоснабжение села Соболево на территории Соболевского муниципального района Камчатского края</t>
  </si>
  <si>
    <t>1034,16 м3/сутки</t>
  </si>
  <si>
    <t>137 кв.м</t>
  </si>
  <si>
    <t>1.16</t>
  </si>
  <si>
    <t>1.17</t>
  </si>
  <si>
    <t>1.18</t>
  </si>
  <si>
    <t>1.19</t>
  </si>
  <si>
    <t>1.20</t>
  </si>
  <si>
    <t>1.21</t>
  </si>
  <si>
    <t>7.1</t>
  </si>
  <si>
    <t>7.2</t>
  </si>
  <si>
    <t xml:space="preserve">Министерство социального благополучия и семейной политики Камчатского края </t>
  </si>
  <si>
    <t>Здание дома культуры на 100 мест в поселке Лесной Новолесновского сельского поселения Елизовского муниципального района</t>
  </si>
  <si>
    <t>МКУ "Елизовское РУС"</t>
  </si>
  <si>
    <t>КГАУ "СШОР по ЗВС"</t>
  </si>
  <si>
    <t>30 000,00 тыс. рублей</t>
  </si>
  <si>
    <t>Сметная стоимость будет определена после разработки проектной документации</t>
  </si>
  <si>
    <t>208 900,00 тыс. рублей</t>
  </si>
  <si>
    <t>1 324 170,00 тыс. рублей</t>
  </si>
  <si>
    <t>1 044 198,30 тыс. рублей</t>
  </si>
  <si>
    <t>146 822,71 тыс. рублей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</si>
  <si>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</si>
  <si>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>120 000,00 тыс. рублей</t>
  </si>
  <si>
    <t>1 495 153,49 тыс. рублей</t>
  </si>
  <si>
    <t>42 467,28 тыс. рублей</t>
  </si>
  <si>
    <t>21 453,90 тыс. рублей</t>
  </si>
  <si>
    <t>237 509,90 тыс. рублей</t>
  </si>
  <si>
    <t>20 000,00 тыс. рублей</t>
  </si>
  <si>
    <t>городской округ "поселок Палана"</t>
  </si>
  <si>
    <t>№ 41-1-50002-11</t>
  </si>
  <si>
    <t>285 966,13 тыс. рублей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</si>
  <si>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</si>
  <si>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>507 610,90 тыс. рублей</t>
  </si>
  <si>
    <t xml:space="preserve">2023 год </t>
  </si>
  <si>
    <t>1 157 662,67 тыс. рублей</t>
  </si>
  <si>
    <t>495 000,00
 тыс. рублей</t>
  </si>
  <si>
    <t>85 368,163 тыс. рублей.</t>
  </si>
  <si>
    <t>25 186,62 тыс. рублей.</t>
  </si>
  <si>
    <t xml:space="preserve">от 05.03.2019 
№ 41-1-1-3-004985-2019; 
от 20.09.2019 
№ 41-1-0289-19 </t>
  </si>
  <si>
    <t>279 932,62 тыс. рублей</t>
  </si>
  <si>
    <t xml:space="preserve">Новолесновское сельское поселение </t>
  </si>
  <si>
    <t>123 138,26 тыс. рублей</t>
  </si>
  <si>
    <t xml:space="preserve"> 18 887,61 тыс. рублей</t>
  </si>
  <si>
    <t xml:space="preserve">№ 41-1-1-2-000762-2021 от 14.01.2021
</t>
  </si>
  <si>
    <t>№ 1-1-6-0035-14 от 29.07.2014</t>
  </si>
  <si>
    <t>64 866,37 тыс. рублей</t>
  </si>
  <si>
    <t>2027 год</t>
  </si>
  <si>
    <t>Строительство автомобильной дорогипо ул. Ларина с устройством транпортной развязки и водопропускными сооружениями (участок от ул. Ларина до конца жилой застройки)</t>
  </si>
  <si>
    <t>Строительство (в том числе проектные (изыскательские ) работы) по объекту "Примыкание к автомобильной дороге А-401 подьездная дорога от морского порта Петропавловск-Камчатский к аэропорту Петропавловск-Камчатский (Елизово) на км 10+980 (справа по направлению движения из г. Петропавловск-Камчатский) участка дороги от ул. Ларина до ул. Академика Королева</t>
  </si>
  <si>
    <t>187 114,83 тыс. рублей</t>
  </si>
  <si>
    <t>1 132 000,00 тыс. рублей</t>
  </si>
  <si>
    <t>295 791,08 тыс. рублей</t>
  </si>
  <si>
    <t>2.2</t>
  </si>
  <si>
    <t>14.2</t>
  </si>
  <si>
    <t>14.3</t>
  </si>
  <si>
    <t>14.4</t>
  </si>
  <si>
    <t>14.5</t>
  </si>
  <si>
    <t>Водовод с водозабором в с. Тигиль</t>
  </si>
  <si>
    <t>№41-1-1-2-025104-2020 от 17.06.2020; №41-1-1-3-010996-2020 от 08.04.2020</t>
  </si>
  <si>
    <t>239 696,08 тыс. рублей</t>
  </si>
  <si>
    <t>Инвестиционная программа Камчатского края на 2022 год и на плановый период 2023–2024 годов и прогнозный период 2025–2026 годов</t>
  </si>
  <si>
    <t>2.9</t>
  </si>
  <si>
    <t>Отделение общей врачебной практики (семейной медицины). Камчатский край, Пенжинский муниципальный район, с. Манилы. Государственное бюджетное учреждение здравоохранения Камчатского края "Пенжинская районная больница"</t>
  </si>
  <si>
    <t>Мощность - площадь 3677,8
Количество мест - 300</t>
  </si>
  <si>
    <t>Новоавачинское сельское поселение</t>
  </si>
  <si>
    <t xml:space="preserve">Администрация Новоавачинского сельского поселения </t>
  </si>
  <si>
    <t>353231,78 тыс. рублей</t>
  </si>
  <si>
    <t>7.16</t>
  </si>
  <si>
    <t xml:space="preserve">Елизовское городское поселение </t>
  </si>
  <si>
    <t>администрация Елизовского городского поселения</t>
  </si>
  <si>
    <t xml:space="preserve">Вулканное городское поселение </t>
  </si>
  <si>
    <t>администрация Вулканного городского поселения</t>
  </si>
  <si>
    <t xml:space="preserve">Мильковское сельское поселение </t>
  </si>
  <si>
    <t>администрация Мильковского сельского поселения</t>
  </si>
  <si>
    <t>7.17</t>
  </si>
  <si>
    <t>7.18</t>
  </si>
  <si>
    <t>8.10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</si>
  <si>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</si>
  <si>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Реконструкция канализационных очистных сооружений на мысе Погодном Усть-Камчатского сельского поселения</t>
  </si>
  <si>
    <t>1500 м³/сут</t>
  </si>
  <si>
    <t>Усть-Камчатское сельское поселение</t>
  </si>
  <si>
    <t>МУП "Водоканал Усть-Камчатского сельского поселения"</t>
  </si>
  <si>
    <t>543 354,62 тыс. руб.</t>
  </si>
  <si>
    <t xml:space="preserve">от 04.09.2019 
№ 41-1-262-19 </t>
  </si>
  <si>
    <t>1.22</t>
  </si>
  <si>
    <t>Быстринская районная больница. Государственное бюджетное учреждение здравоохранения Камчатского края "Быстринская районная больница"</t>
  </si>
  <si>
    <t>2 500 кв.м</t>
  </si>
  <si>
    <t>Сметная стоимость будет внесена по итогам разработки проектной документации</t>
  </si>
  <si>
    <t>Быстринский муниципальный район</t>
  </si>
  <si>
    <t>1.23</t>
  </si>
  <si>
    <t>Отделение общей врачебной практики (семейной медицины). Камчатский край, Олюторский муниципальный район, с. Пахачи. Государственное бюджетное учреждение здравоохранения Камчатского края "Олюторская районная больница"</t>
  </si>
  <si>
    <t>4 кв. 2024</t>
  </si>
  <si>
    <t>347,4 кв.м</t>
  </si>
  <si>
    <t>Олюторский муницпальный район</t>
  </si>
  <si>
    <t>1.24</t>
  </si>
  <si>
    <t>Отделение общей врачебной практики (семейной медицины). Камчатский край, Карагинский муниципальный район, с. Тымлат. Государственное бюджетное учреждение здравоохранения Камчатского края "Карагинская районная больница"</t>
  </si>
  <si>
    <t>1.25</t>
  </si>
  <si>
    <t>Соболевская районная больница. Государственное бюджетное учреждение здравоохранения Камчатского края "Соболевская районная больница"</t>
  </si>
  <si>
    <t>4 кв. 2025</t>
  </si>
  <si>
    <t>15 месяцев</t>
  </si>
  <si>
    <t>1.26</t>
  </si>
  <si>
    <t>Фельдшерско-акушерский пункт. Камчатский край, Тигильский муниципальный район, с. Ковран. Государственное бюджетное учреждение здравоохранения Камчатского края "Тигильская районная больница"</t>
  </si>
  <si>
    <t>192,4 кв.м</t>
  </si>
  <si>
    <t>1.27</t>
  </si>
  <si>
    <t>Фельдшерско-акушерский пункт. Камчатский край, Тигильский муниципальный район, с. Хайрюзово. Государственное бюджетное учреждение здравоохранения Камчатского края "Тигильская районная больница"</t>
  </si>
  <si>
    <t>182,4 кв.м</t>
  </si>
  <si>
    <t>Проведение мероприятий, направленных на реконструкцию и строительство систем водоснабжения</t>
  </si>
  <si>
    <t>Спортивный зал единоборств в г. Елизово</t>
  </si>
  <si>
    <t>Строительство внеплощадочных сетей водоснабжения для микрорайона Северный в г. Петропавловске-Камчатском</t>
  </si>
  <si>
    <t>Строительство 18 квартирного трехэтажного жилого дома по адресу: Камчатский край, Быстринский район, с. Эссо, ул. Речная 2 (проектные работы)</t>
  </si>
  <si>
    <t>332,90 м³/сут</t>
  </si>
  <si>
    <t>Здание. Учебный корпус МБОУ "Средняя школа № 40 по ул. Вольского микрорайона "Северо-Восток" в г. Петропавловске-Камчатском</t>
  </si>
  <si>
    <t>Администрация Усть-Камчатского сельского поселения</t>
  </si>
  <si>
    <t>Министерство жилищно-коммунального хозяйства и энергетики Камчатского края</t>
  </si>
  <si>
    <t>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</si>
  <si>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Сельский учебный комплекс школа-детский сад в с. Каменское Пенжинского района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</si>
  <si>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</si>
  <si>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Группа смешанной жилой застройки по улице Кутузова в Петропавловск-Камчатском городском округе</t>
  </si>
  <si>
    <t>2340,14 м2</t>
  </si>
  <si>
    <t>223 283,20 тыс. рублей</t>
  </si>
  <si>
    <t xml:space="preserve"> от 29.06.2018
№ 41-1-1-3-0041-18; 
от 03.07.2018
№ 41-1-0105-18 </t>
  </si>
  <si>
    <t>7.19</t>
  </si>
  <si>
    <t>Приобретение жилых помещений в строящемся многоквартирном доме</t>
  </si>
  <si>
    <t>Министерство ЖКХ и энергетики Камчатского края</t>
  </si>
  <si>
    <t>12000 м3</t>
  </si>
  <si>
    <t xml:space="preserve">Министерство ЖКХ и энергетики Камчатского края </t>
  </si>
  <si>
    <t>Реконструкция напорного коллектора Д-700 (в том числе проектные работы)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</si>
  <si>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</si>
  <si>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4300 п.м.</t>
  </si>
  <si>
    <t>Никольская районная больница. Государственное бюджетное учреждение здравоохранения Камчатского края "Никольская районная больница"</t>
  </si>
  <si>
    <t>4 кв. 2026</t>
  </si>
  <si>
    <t>15 месяца</t>
  </si>
  <si>
    <t>900 кв.м</t>
  </si>
  <si>
    <t>Отсутствует</t>
  </si>
  <si>
    <t>Отделение общей врачебной практики (семейной медицины). Камчатский край, Тигильский муниципальный район, с. Седанка. Государственное бюджетное учреждение здравоохранения Камчатского края "Тигильская районная больница"</t>
  </si>
  <si>
    <t>Фельдшерско-акушерский пункт. Камчатский край, Усть-Большерецкий муниципальный район, с. Запорожье. Государственное бюджетное учреждение здравоохранения Камчатского края "Озерновская районная больница"</t>
  </si>
  <si>
    <t>Фельдшерско-акушерский пункт. Камчатский край, Усть-Большерецкий муниципальный район, с. Кавалерское.  Государственное бюджетное учреждение здравоохранения Камчатского края "Усть-Большерецкая районная больница"</t>
  </si>
  <si>
    <t>Фельдшерско-акушерский пункт. Камчатский край, Карагинский муниципальный район, с. Карага. Государственное бюджетное учреждение здравоохранения Камчатского края  "Карагинская районная больница"</t>
  </si>
  <si>
    <t>1.28</t>
  </si>
  <si>
    <t>1.29</t>
  </si>
  <si>
    <t>1.30</t>
  </si>
  <si>
    <t>1.31</t>
  </si>
  <si>
    <t>1.32</t>
  </si>
  <si>
    <t>1.33</t>
  </si>
  <si>
    <t>".</t>
  </si>
  <si>
    <t>"Приложение к постановлению  Правительства Камчатского края
от 29.11.2021 № 507-П</t>
  </si>
  <si>
    <t>Дом-интернат для граждан пожилого возраста. По адресу: г. Петропавловск-Камчатский, ул. Пограничная</t>
  </si>
  <si>
    <t>7.20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</si>
  <si>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"Стимулирование развития жилищного строительства". </t>
  </si>
  <si>
    <t>Строительство улично-дорожной сети для микрорайона "Солнечный" г. Елизово</t>
  </si>
  <si>
    <t>7.21</t>
  </si>
  <si>
    <t>7.22</t>
  </si>
  <si>
    <t>Строительство улично-дорожной сети в границах улиц В. Кручины - ул. Геофизическая - ул. Спортивная - ул. Жупановская г. Елизово</t>
  </si>
  <si>
    <t>Алеутский муниципальный округ</t>
  </si>
  <si>
    <t>Сельское поселение "село Слаутное"</t>
  </si>
  <si>
    <t>Министерство по делам местного самоуправления и развитию Корякского округа Камчатского края</t>
  </si>
  <si>
    <t>Администрация сельского поселения "село Слаутное"</t>
  </si>
  <si>
    <t>Сельское поселение "село Слаутное" Пенжинский муниципальный район</t>
  </si>
  <si>
    <t> Строительство улично-дорожной сети для микрорайона "Садовый" в г. Елизово</t>
  </si>
  <si>
    <t>6,9 км</t>
  </si>
  <si>
    <t>579 600,00 тыс. рублей</t>
  </si>
  <si>
    <t>3,93 км</t>
  </si>
  <si>
    <t>330 120,00 тыс. рублей</t>
  </si>
  <si>
    <t>4,883 км</t>
  </si>
  <si>
    <t>418 500,00 тыс. рублей</t>
  </si>
  <si>
    <t>1.34</t>
  </si>
  <si>
    <t>42 968,91 тыс. рублей</t>
  </si>
  <si>
    <t>от 08.12.2021                                   №41-1-1-2-074820-2021</t>
  </si>
  <si>
    <t>Фельдшерско-акушерский пункт. Камчатский край, Елизовский муниципальный район, п. Березняки</t>
  </si>
  <si>
    <t>43 943,36 тыс. рублей</t>
  </si>
  <si>
    <t>от 17.12.2021                                   №41-1-1-2-0778748-2021</t>
  </si>
  <si>
    <t>Фельдшерско-акушерский пункт. Камчатский край, Елизовский муниципальный район, п. Новый</t>
  </si>
  <si>
    <t xml:space="preserve">Усть-Большерецкое сельское поселение </t>
  </si>
  <si>
    <t>Сельское поселение "село Тигиль", Тигильский муниципальный район</t>
  </si>
  <si>
    <t>Ключевское сельское поселение, Усть-Камчатский муниципальный район</t>
  </si>
  <si>
    <t>Паратунское сельское поселение, Елизовский муниципальный район</t>
  </si>
  <si>
    <t xml:space="preserve">Вулканное городское поселение, Елизовский муниципальный район </t>
  </si>
  <si>
    <t xml:space="preserve">Новолесновское сельское поселение, Елизовский муниципальный район </t>
  </si>
  <si>
    <t>Новоавачинское сельское поселение, Елизовский муниципальный район</t>
  </si>
  <si>
    <t>Эссовское сельское поселение, Быстринский муниципальный район</t>
  </si>
  <si>
    <t>Анавгайское сельское поселение, Быстринский муниципальный район</t>
  </si>
  <si>
    <t>Соболевское сельское поселение</t>
  </si>
  <si>
    <t>Администрация Соболевского сельского поселения</t>
  </si>
  <si>
    <t>Соболевское сельское поселение, Соболевский муниципальный район</t>
  </si>
  <si>
    <t>Министерство по чрезвычайным ситуациям Камчатского края</t>
  </si>
  <si>
    <t xml:space="preserve">Петропавловск-Камчатский городской округ </t>
  </si>
  <si>
    <t>Реконструкция автомобильной дороги Петропавловск-Камчатский – Мильково 40 км – Пиначево с подъездом к п. Раздольный и к базе с/х Заречный на участке км 1 - км 16,4. 1 этап (участок ПК28+00 - ПК80+00)</t>
  </si>
  <si>
    <t>5,21071 км</t>
  </si>
  <si>
    <t xml:space="preserve">772 929,561
тыс. рублей </t>
  </si>
  <si>
    <t>№ 41-1-1-3-0055-18 от 27.08.2018, № 41-1-0213-18 от 24.10.2018</t>
  </si>
  <si>
    <t>9.7</t>
  </si>
  <si>
    <t>9.8</t>
  </si>
  <si>
    <t>Реконструкция автомобильной дороги Петропавловск-Камчатский – Мильково 40 км – Пиначево с подъездом к п. Раздольный и к базе с/х Заречный на участке км 1 - км 16,4. 2 этап (участок ПК00+00 - ПК28+00)</t>
  </si>
  <si>
    <t>2,8 км</t>
  </si>
  <si>
    <t>207 993,724
 тыс. рублей</t>
  </si>
  <si>
    <t xml:space="preserve"> № 41-1-1-3-0085-17 от 22.11.2017, № 41-1-0121-18 от 19.07.2018</t>
  </si>
  <si>
    <t>9.9</t>
  </si>
  <si>
    <t>Реконструкция автомобильной дороги Петропавловск-Камчатский – Мильково 40 км – Пиначево с подъездом к п. Раздольный и к базе с/х Заречный на участке км 1 - км 16,4. 3 этап (проектные работы)</t>
  </si>
  <si>
    <t>7,117 км (уточнится проектом)</t>
  </si>
  <si>
    <t>477 491,091 тыс. рублей (уточнится проектом)</t>
  </si>
  <si>
    <t>корректировка проектной документации</t>
  </si>
  <si>
    <t>№ 41-1-1-3-0093-17 от 08.12.2017, № 41-1-0078-18 от 28.05.2018</t>
  </si>
  <si>
    <t>Строительство причальных сооружений через протоку Озерная в Усть-Камчатском районе Камчатского края</t>
  </si>
  <si>
    <t>2 причала</t>
  </si>
  <si>
    <t xml:space="preserve">236 017,227
тыс. рублей </t>
  </si>
  <si>
    <t>№ 41-1-1-3-0063-18 от 01.10.2018
№ 41-1-0222-18 от 31.10.2018</t>
  </si>
  <si>
    <t>9.10</t>
  </si>
  <si>
    <t>9.11</t>
  </si>
  <si>
    <t>Реконструкция автомобильной дороги Петропавловск-Камчатский - Мильково на участке км 12 - км 17 с подъездом к федеральной дороге. 2 этап. (проектные работы)</t>
  </si>
  <si>
    <t>4 973 км (уточнится проектом)</t>
  </si>
  <si>
    <t xml:space="preserve">1 004 487,529
тыс. рублей (уточнится проектом) </t>
  </si>
  <si>
    <t>9.12</t>
  </si>
  <si>
    <t>12,0 п.м. (уточнится проектом)</t>
  </si>
  <si>
    <t>51,012
тыс. рублей (уточнится проектом)</t>
  </si>
  <si>
    <t>подготовка проектной документации</t>
  </si>
  <si>
    <t>Реконструкция мостового перехода через реку Михакина на км 1+743 автомобильной дороги Палана-строящийся аэропорт (проектные работы)</t>
  </si>
  <si>
    <t>9.13</t>
  </si>
  <si>
    <t>15,94 км /
0,40874 км</t>
  </si>
  <si>
    <t>305 578,49
тыс. рублей (уточнится проектом)</t>
  </si>
  <si>
    <t>9.14</t>
  </si>
  <si>
    <t>21,14 п.м./
0,12117 км</t>
  </si>
  <si>
    <t>432 770,99
тыс. рублей (уточнится проектом)</t>
  </si>
  <si>
    <t>9.15</t>
  </si>
  <si>
    <t>Реконструкция мостового перехода через р. Амшарик на км 3+865 автомобильной дороги Мильково – Кирганик (проектные работы)</t>
  </si>
  <si>
    <t>17,285 п.м./
0,212715 км</t>
  </si>
  <si>
    <t>135 828,09
тыс. рублей (уточнится проектом)</t>
  </si>
  <si>
    <t>9.16</t>
  </si>
  <si>
    <t>Реконструкция мостового перехода через руч. Хуторской на км 1+698 автомобильной дороги Елизово - Паратунка, 4 км -п. Садовый - Учебный центр (проектные работы)</t>
  </si>
  <si>
    <t>11,9 п.м./
0,26936 км</t>
  </si>
  <si>
    <t>263 151,95
тыс. рублей (уточнится проектом)</t>
  </si>
  <si>
    <t>Реконструкция мостового перехода через р. Палана на км 6+363 автомобильной дороги Палана-строящийся аэропорт (проектные работы)</t>
  </si>
  <si>
    <t>135,20 п.м./
0,5293 км</t>
  </si>
  <si>
    <t>789 213,13
тыс. рублей (уточнится проектом)</t>
  </si>
  <si>
    <t>9.17</t>
  </si>
  <si>
    <t>Реконструкция автомобильной дороги  Мильково – Ключи – Усть-Камчатск на участке км 0 - км 10 (проектные работы)</t>
  </si>
  <si>
    <t>10 км (уточнится проектом)</t>
  </si>
  <si>
    <t>1 315 611,513
тыс. рублей (уточнится проектом)</t>
  </si>
  <si>
    <t>9.18</t>
  </si>
  <si>
    <t>Строительство автостанции регионального значения с реконструкцией имеющихся зданий и сооружений (проектные работы)</t>
  </si>
  <si>
    <t>1,0 тыс.чел. в сутки</t>
  </si>
  <si>
    <t>550 000,0
тыс. рублей (уточнится проектом)</t>
  </si>
  <si>
    <t>Государственная программа Камчатского края "Развитие транспортной системы в Камчатском крае". Подпрограмма "Развитие пассажирского автомобильного транспорта"</t>
  </si>
  <si>
    <t>9.19</t>
  </si>
  <si>
    <t xml:space="preserve">Строительство автостанции регионального значения с реконструкцией имеющихся зданий и сооружений </t>
  </si>
  <si>
    <t>9.20</t>
  </si>
  <si>
    <t>9.21</t>
  </si>
  <si>
    <t>Приобретение грузопассажирских барж грузоподъёмностью 20 тонн</t>
  </si>
  <si>
    <t>2019 год</t>
  </si>
  <si>
    <t xml:space="preserve">69 442,50 тыс. рублей
тыс. рублей </t>
  </si>
  <si>
    <t>Олюторскиймуниципальный район</t>
  </si>
  <si>
    <t>Приобретение грузопассажирских барж грузоподъёмностью 40 тонн</t>
  </si>
  <si>
    <t>12000 пассажиров, 0,5 тыс. тонн груза в год</t>
  </si>
  <si>
    <t>88 931,25 тыс. рублей</t>
  </si>
  <si>
    <t>9.22</t>
  </si>
  <si>
    <t>Строительство грузовой баржи грузоподъемностью 40 тонн</t>
  </si>
  <si>
    <t>100 000,00 тыс. рублей</t>
  </si>
  <si>
    <t>строительство</t>
  </si>
  <si>
    <t>9.23</t>
  </si>
  <si>
    <t>Реконструкция автомобильной дороги Начикинский совхоз – Усть-Большерецк – п. Октябрьский с подъездом к пристани Косоево – колхоз им. Октябрьской революции 0 - 107,2 км на участке км 5 - км 10 (проектные работы)</t>
  </si>
  <si>
    <t>5 км (уточнится проектом)</t>
  </si>
  <si>
    <t>667 395,0
тыс. рублей (уточнится проектом)</t>
  </si>
  <si>
    <t>9.24</t>
  </si>
  <si>
    <t>7.23</t>
  </si>
  <si>
    <t>Администрация Алеутского муниципального округа</t>
  </si>
  <si>
    <t>Жилая застройка на ул. Арсеньева в г. Петропавловске-Камчатском (разработка проектной документации)</t>
  </si>
  <si>
    <t>3 200,0 м2</t>
  </si>
  <si>
    <t>304 000,00 тыс. рублей</t>
  </si>
  <si>
    <t>7.24</t>
  </si>
  <si>
    <t>Реконструкция здания КГБУ ДО "Корякская школа искусств им. Д.Б. Кабалевского"</t>
  </si>
  <si>
    <t>7.25</t>
  </si>
  <si>
    <t>Многоквартирный жилой дом в районе ул. Жупановская в г. Елизово Камчатского края (разработка проектной документации)</t>
  </si>
  <si>
    <t>8.11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</si>
  <si>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</si>
  <si>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Реконструкция котельной №20 (ул. Деркачева) с передачей нагрузок котельной №10</t>
  </si>
  <si>
    <t>8.12</t>
  </si>
  <si>
    <t>7.26</t>
  </si>
  <si>
    <t>Строительство инженерной инфраструктуры на территории жилого района в Вулканном городском поселении Елизовского района Камчатского края</t>
  </si>
  <si>
    <t>7.27</t>
  </si>
  <si>
    <t>Внутриплощадочные сети инженерно-технического обеспечения микрорайона жилой застройки в п. Лесной Елизовского района, в том числе для многодетных семей (2 очередь) (проектные работы)</t>
  </si>
  <si>
    <t>156 914,31 тыс. рублей</t>
  </si>
  <si>
    <t>пусковой</t>
  </si>
  <si>
    <t>от 18.07.2018 № 41-1-1-3-0032-18</t>
  </si>
  <si>
    <t>2020-2022 годы</t>
  </si>
  <si>
    <t>3 553,00  м</t>
  </si>
  <si>
    <t>Администрация Вулканного городского поселения</t>
  </si>
  <si>
    <t>Вулканное городское поселение</t>
  </si>
  <si>
    <t>от 08.08.2017                                
№ 41-1-1-3-0053-17                                                  
 от 17.08.2017                                                  
№ 1-1-6-0050-17</t>
  </si>
  <si>
    <t>2 800,00 м</t>
  </si>
  <si>
    <t xml:space="preserve">Администрация Новолесновского сельского поселения </t>
  </si>
  <si>
    <t>32 099,05 тыс. рублей</t>
  </si>
  <si>
    <t>15,305 Гкал/ч</t>
  </si>
  <si>
    <t>13.3</t>
  </si>
  <si>
    <t>ГУП "Спецтранс"</t>
  </si>
  <si>
    <t>Строительство системы хозяйственно-питьевого водоснабжения с. Лесная Тигильского района Камчатского края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</si>
  <si>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</si>
  <si>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</si>
  <si>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</si>
  <si>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Муниципальная</t>
  </si>
  <si>
    <t>от 06.03.2019 № 41-1-0042-19</t>
  </si>
  <si>
    <t>8.13</t>
  </si>
  <si>
    <t>8.14</t>
  </si>
  <si>
    <t>Обустройство водозаборных сооружений с бурением дополнительной скважины и строительством централизованной системы водоснабжения в с. Апука Олюторского района  (в том числе проектные работы)</t>
  </si>
  <si>
    <t>250 м куб./сут</t>
  </si>
  <si>
    <t>Сельское поселение "село Апука"</t>
  </si>
  <si>
    <t>Администрация сельского поселения "село Апука"</t>
  </si>
  <si>
    <t>8.15</t>
  </si>
  <si>
    <t>Реконструкция и строительство канализационных сетей, со строительством очистных сооружений мощностью 500 м3/сут. в Раздольненском сельском поселении Елизовского муниципального район, Камчатского края (в том числе проектные работы)</t>
  </si>
  <si>
    <t>500 м куб./сут</t>
  </si>
  <si>
    <t>Раздольненское сельское поселение</t>
  </si>
  <si>
    <t>Администрация Раздольненского сельского поселения</t>
  </si>
  <si>
    <t>8.16</t>
  </si>
  <si>
    <t>Реконструкция существующего водозабора в пгт Палана Тигильского района Камчатского края (в том числе проектные работы)</t>
  </si>
  <si>
    <t>8.17</t>
  </si>
  <si>
    <t>5*3000 куб.м</t>
  </si>
  <si>
    <t>8.18</t>
  </si>
  <si>
    <t>1600 п.м</t>
  </si>
  <si>
    <t>8.19</t>
  </si>
  <si>
    <t>1460 п.м</t>
  </si>
  <si>
    <t>8.20</t>
  </si>
  <si>
    <t>8.21</t>
  </si>
  <si>
    <t>11500 м.куб/сут</t>
  </si>
  <si>
    <t>8.22</t>
  </si>
  <si>
    <t>8.23</t>
  </si>
  <si>
    <t xml:space="preserve"> 16500 м.куб./сут.</t>
  </si>
  <si>
    <t>8.24</t>
  </si>
  <si>
    <t xml:space="preserve"> 800 м.куб./сут.</t>
  </si>
  <si>
    <t>8.25</t>
  </si>
  <si>
    <t>8.26</t>
  </si>
  <si>
    <t xml:space="preserve"> 1000 м.куб./сут.</t>
  </si>
  <si>
    <t>8.27</t>
  </si>
  <si>
    <t xml:space="preserve"> 150 м.куб./сут.</t>
  </si>
  <si>
    <t>8.28</t>
  </si>
  <si>
    <t>8.29</t>
  </si>
  <si>
    <t>8.30</t>
  </si>
  <si>
    <t>8.31</t>
  </si>
  <si>
    <t xml:space="preserve">Строительство КНС-11П (в том числе проектные работы) </t>
  </si>
  <si>
    <t>8.32</t>
  </si>
  <si>
    <t xml:space="preserve">Строительство напорного коллектора от КНС-6 (выпуск "Совхозный") до новой КНС-11П (в том числе проектные работы) </t>
  </si>
  <si>
    <t>10000 м.куб/сут</t>
  </si>
  <si>
    <t>8.33</t>
  </si>
  <si>
    <t xml:space="preserve">Реконструкция КНС-6 (в том числе проектные работы) </t>
  </si>
  <si>
    <t>8.34</t>
  </si>
  <si>
    <t>900 м.куб./сут</t>
  </si>
  <si>
    <t>8.35</t>
  </si>
  <si>
    <t>Реконструкция самотечного главного коллектора от 8 км (камеры на перекрестке дорог Молчанова - Кавказская) до приемной камеры очистных сооружений "Чавыча" (в том числе проектные работы)</t>
  </si>
  <si>
    <t>1200 п.м</t>
  </si>
  <si>
    <t>8.36</t>
  </si>
  <si>
    <t>Строительство самотечного коллектора от площадки застройки до самотечного коллектора по ул. Кавказская (в том числе проектные работы)</t>
  </si>
  <si>
    <t>8.37</t>
  </si>
  <si>
    <t>Реконструкция самотечного коллектора по ул. Кавказская (в том числе проектные работы)</t>
  </si>
  <si>
    <t>900 п.м</t>
  </si>
  <si>
    <t>8.38</t>
  </si>
  <si>
    <t>Реконструкция сетей водопровода с раскачкой имеющихся трёх скважин, установкой оборудования водоподготовки и строительство закольцованной системы водоснабжения в селе Ильпырское (в том числе проектные работы)</t>
  </si>
  <si>
    <t>сельское поселение "село Ильпырь"</t>
  </si>
  <si>
    <t>администрация сельского поселения "село Ильпырь"</t>
  </si>
  <si>
    <t>Строительство локальных очистных сооружений производительностью 800 м.куб./сут. Богородское озеро (в том числе проектные работы)</t>
  </si>
  <si>
    <t>Строительство перемычки по Госпитальному переулку от РЧВ пр. Циолковского 3/1 до ул. Пограничная, 31а Д600 протяженностью 1460 метров (в том числе проектные работы)</t>
  </si>
  <si>
    <t>Строительство КНС "Фрунзе" производительностью 11500 м.куб./сут., строительство напорных коллекторов от КНС "Фрунзе" до КНС "Сероглазка" (в том числе проектные работы)</t>
  </si>
  <si>
    <t>Строительство КНС "Моховая". Строительство напорных коллекторов от КНС "Моховая" до самотечного коллектора ул. Арсеньева (в том числе проектные работы)</t>
  </si>
  <si>
    <t>Строительство КНС "Сероглазка" производительностью 16500 м.куб./сут., строительство напорных коллекторов от КНС "Сероглазка" до КОС "Чавыча" (в том числе проектные работы)</t>
  </si>
  <si>
    <t>Строительство КНС "Драмтеатр" производительностью 1000 м.куб./сут. Строительство мостового перехода через протоку, соединяющую оз. Култучное и Авачинскую губу (в том числе проектные работы)</t>
  </si>
  <si>
    <t>Строительство локальных очистных сооружений производительностью 150м. куб./сут. Тундровый (в том числе проектные работы)</t>
  </si>
  <si>
    <t>Строительство КНС "Торговый порт" производительностью 150 м.куб./сут, строительство напорных коллекторов от КНС "Торговый порт" до КНС "Рыбный порт" (в том числе проектные работы)</t>
  </si>
  <si>
    <t>Строительство системы канализования мкр. "Солнечный" (в том числе канализационные станции КНС-1С, КНС-2С, КНС-3С, самотечные и напорные канализационные коллекторы до КОС (в том числе проектные работы)</t>
  </si>
  <si>
    <t>Реконструкция ВНС "Моховая" (в том числе проектные работы)</t>
  </si>
  <si>
    <t>Строительство нового водовода Д300 от ул. Пограничная до водовода Д500 мкр. Кутузовский, протяжённость ориентировочно 1600 метров (в том числе проектные работы)</t>
  </si>
  <si>
    <t>40 чел</t>
  </si>
  <si>
    <t>305037,05 тыс. рублей</t>
  </si>
  <si>
    <t>от 07.09.2021 
№ 41-1-1-3-050637-2021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</si>
  <si>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</si>
  <si>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7472,8 м</t>
  </si>
  <si>
    <t>120 364,6 тыс. рублей</t>
  </si>
  <si>
    <t>№41-1-5-0037-14 от 23.05.2013, 
№ 41-1-1-2-049267-2021 от 31.08.2021</t>
  </si>
  <si>
    <t>4117 м</t>
  </si>
  <si>
    <t>23 988,6 тыс. рублей</t>
  </si>
  <si>
    <t>№ 41-1-50002-11, № 41-1-1-2-018331-2021 от 15.04.2021</t>
  </si>
  <si>
    <t>1656 м</t>
  </si>
  <si>
    <t>8 118,9 тыс. рублей</t>
  </si>
  <si>
    <t>4335 м</t>
  </si>
  <si>
    <t>14 463,5 тыс. рублей</t>
  </si>
  <si>
    <t>Реконструкция системы водоснабжения в п.  Ключи Усть-Камчатского района Камчатского края Этап № 5</t>
  </si>
  <si>
    <t>Реконструкция системы водоснабжения в п.  Ключи Усть-Камчатского района Камчатского края Этап № 6</t>
  </si>
  <si>
    <t>Реконструкция системы водоснабжения в п.  Ключи Усть-Камчатского района Камчатского края Этап №  7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</si>
  <si>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</si>
  <si>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 xml:space="preserve">Переселение граждан из аварийных жилых домов и непригодных для проживания жилых помещений в соответствии с жилищным законодательством </t>
  </si>
  <si>
    <t>Корякское сельское поселение</t>
  </si>
  <si>
    <t>администрация Корякского сельского поселения</t>
  </si>
  <si>
    <t>администрация Алеутского муниципального округа</t>
  </si>
  <si>
    <t>Корякское сельское поселение, Елизовский муниципальный район</t>
  </si>
  <si>
    <t xml:space="preserve">Строительство 4-х квартирного дома </t>
  </si>
  <si>
    <t>4 квартиры</t>
  </si>
  <si>
    <t>Сельское поселение "село Хайрюзово"</t>
  </si>
  <si>
    <t>администрация Сельского поселения "село Хайрюзово"рае</t>
  </si>
  <si>
    <t>23 326,31000 тыс. рублей</t>
  </si>
  <si>
    <t>от 01.12.2013 № 41-1-5-0101-13</t>
  </si>
  <si>
    <t>11.2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</si>
  <si>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(проектные работы)</t>
  </si>
  <si>
    <t xml:space="preserve">2023 год, 2 года </t>
  </si>
  <si>
    <t>2020-2021 годы</t>
  </si>
  <si>
    <t>0,3 км / 50,84 п.м. (уточнится проектом)</t>
  </si>
  <si>
    <t>182 249,700  тыс. рублей (уточнится проектом)</t>
  </si>
  <si>
    <t>3 дома/135 квартир</t>
  </si>
  <si>
    <t xml:space="preserve">Детский сад в жилом районе Рыбачий в г. Вилючинск </t>
  </si>
  <si>
    <t>260 мест</t>
  </si>
  <si>
    <t>Администрация Вилючинского городского округа</t>
  </si>
  <si>
    <t>756 865,59 тыс.рублей</t>
  </si>
  <si>
    <t>от 27.05.2020 
№ 41-1-0090-20</t>
  </si>
  <si>
    <t>7.28</t>
  </si>
  <si>
    <t>9.25</t>
  </si>
  <si>
    <t>Автомобильная дорога общего пользования регионального значения Камчатского края "п. Термальный - туристский кластер "Три вулкана" (1-3 этапы)"</t>
  </si>
  <si>
    <t>32,063 км</t>
  </si>
  <si>
    <t>Заключение от 17.12.2021 № 41-1-1-3-078735-2021</t>
  </si>
  <si>
    <t>Жилая застройка на улице Пограничной в г. Петропавловске-Камчатском (проектные работы)</t>
  </si>
  <si>
    <t>Автомобильная дорога для резидента ООО "Соколиный центр "Камчатка"</t>
  </si>
  <si>
    <t>3,38464 км (уточнится проектом)</t>
  </si>
  <si>
    <t>650 000,0
тыс. рублей (уточнится проектом)</t>
  </si>
  <si>
    <t>9.26</t>
  </si>
  <si>
    <t>Доработка проектной и рабочей документации: Насосная станция второго подъема и закрытое распределительное устройство (ЗРУ-6 кВ) "Авачинского водозабора"</t>
  </si>
  <si>
    <t>Строительство межмуниципального Комплекса по обработке, утилизации, обезвреживанию и размещению отходов (Экотехнопарк) в Елизовском муниципальном районе (в том числе проектные работы)</t>
  </si>
  <si>
    <t>от 12.05.2022 № 41-1-1-3-028782-2022</t>
  </si>
  <si>
    <t>1000 м3/сутки</t>
  </si>
  <si>
    <t>359 387,19388 тыс. рублей</t>
  </si>
  <si>
    <t>8 411 004,588 тыс. рублей</t>
  </si>
  <si>
    <t>Предусмотренный объем финансирования (тыс. рублей)</t>
  </si>
  <si>
    <t>2.10</t>
  </si>
  <si>
    <t>Государственная программа Камчатского края "Развитие образования в Камчатском крае". Подпрограмма "Организация отдыха и оздоровления детей  в Камчатском крае"</t>
  </si>
  <si>
    <t>159 спальных мест</t>
  </si>
  <si>
    <t>716165,719 тыс. рублей</t>
  </si>
  <si>
    <t>федеральный бюджет (остатки прошлых лет)</t>
  </si>
  <si>
    <t>краевой бюджет  (остатки прошлых лет)</t>
  </si>
  <si>
    <r>
      <t>1 920,0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/сут</t>
    </r>
  </si>
  <si>
    <t>КГАУ СШОР "Эдельвейс"</t>
  </si>
  <si>
    <t>153 780,94 тыс. рублей</t>
  </si>
  <si>
    <t>от 08.11.2019 № 41-1-1-2-030855-2019, от 15.01.2020 № 41-1-0006-20</t>
  </si>
  <si>
    <t>5.6</t>
  </si>
  <si>
    <t>КГБОУ "Камчатская школа-интернат для обучающихся с ограниченными возможностями здоровья"</t>
  </si>
  <si>
    <t>34 634,14 тыс. рублей</t>
  </si>
  <si>
    <t>переходящий,</t>
  </si>
  <si>
    <t>краевой бюджет (остатки прошлых лет)</t>
  </si>
  <si>
    <t>2.11</t>
  </si>
  <si>
    <t>от 24.11.2020 № 41-1-1-2-059197-2020</t>
  </si>
  <si>
    <t>Приобретение жилых помещений специализированного жилищного фонда в Камчатском крае для педагогических и руководящих работников учреждений</t>
  </si>
  <si>
    <t xml:space="preserve"> КГОБУ "Тиличинская школа-интернат для обучающихся с ограниченными возможностями здоровья" </t>
  </si>
  <si>
    <t>с. Тиличики, Олюторский муниципальный район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</si>
  <si>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</si>
  <si>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2.12</t>
  </si>
  <si>
    <t>660333,493
тыс. рублей (уточнится проектом)</t>
  </si>
  <si>
    <t xml:space="preserve">КГКУ "Служба заказчика Министерства строительства и жилищной политики Камчатского края» </t>
  </si>
  <si>
    <t>КГКУ "Единая дирекция по строительству объекта "Камчатская краевая больница»</t>
  </si>
  <si>
    <t>Здание патолого-анатомического отделения ГБУЗ КК "Пенжинская районная больница» (с. Каменское, Пенжинский муниципальный район)</t>
  </si>
  <si>
    <t>Здание патолого-анатомического отделения ГБУЗ КК "Олюторская районная больница» (с. Тиличики, Олюторский муниципальный район)</t>
  </si>
  <si>
    <t>Здание патолого-анатомического отделения ГБУЗ КК "Тигильская районная больница (с. Тигиль, Тигильский муниципальный район)</t>
  </si>
  <si>
    <t>Здание патолого-анатомического отделения ГБУЗ КК "Усть-Камчатская районная больница (п. Усть-Камчатск, Усть-Камчатский муниципальный район)</t>
  </si>
  <si>
    <t>Здание патолого-анатомического отделения ГБУЗ КК "Усть-Большерецкая районная больница (п. Усть-Большерецк, Усть-Большерецкий муниципальный район)</t>
  </si>
  <si>
    <t>Здание патолого-анатомического отделения ГБУЗ КК "Мильковская районная больница (п. Мильково, Мильковский муниципальный район)</t>
  </si>
  <si>
    <t>Строительство хозяйственного корпуса по адресу: Камчатский край, г.Петропавловск-Камчатский, проспект 50 лет Октября, д. 13б для КГОБУ "Камчатская школа-интернат для обучающихся с ограниченными возможностями здоровья»</t>
  </si>
  <si>
    <t>Государственная программа Камчатского края  "Развитие образования в Камчатском крае". Подпрограмма "Обеспечение реализации Программы»</t>
  </si>
  <si>
    <t>КГПОБУ "Камчатский сельскохозяйственный техникум»</t>
  </si>
  <si>
    <t>Городской округ "посёлок Палана»</t>
  </si>
  <si>
    <t xml:space="preserve">Строительство нового здания КГАУ СЗ "Камчатский центр социальной помощи семье и детям "Семья» </t>
  </si>
  <si>
    <t>Реконструкция инфраструктуры горнолыжного комплекса Камчатского края. 2-я очередь. Горнолыжная база "Эдельвейс» г. Петропавловск-Камчатский, Строительство системы искусственного снегообразования и системы искусственного освещения трасс, строительство скоростной канатной дороги гондольного типа и буксировочных канатных дорог. Строительство СИС – система искусственного снегообразования</t>
  </si>
  <si>
    <t>Реконструкция резервуаров чистой воды "Богородское озеро» (в том числе проектные работы)</t>
  </si>
  <si>
    <t>Реконструкция мостового перехода через р. Железная-1 на 9 км автомобильной дороги "Садовое кольцо» в Елизовском районе Камчатского края (проектные работы)</t>
  </si>
  <si>
    <t>Реконструкция мостового перехода через р. Железная-2 на 12 км автомобильной дороги "Садовое кольцо» в Елизовском районе Камчатского края (проектные работы)</t>
  </si>
  <si>
    <t xml:space="preserve">Строительство объекта "Учебно-тренировочная башня» расположенного по адресу: Камчатский край, Елизовский район, г. Елизово, ул. Попова д. 8 
  </t>
  </si>
  <si>
    <t>Реконструкция существующего "Дома культуры» (со спортивным залом) по адресу: Камчатский край, Елизовский район, пос. Новый, ул. Молодежная, д. 5</t>
  </si>
  <si>
    <t>Государственная программа Камчатского края "Комплексное развитие сельских территорий Камчатского края". Подпрограмма "Создание условий для обеспечения доступным и комфортным жильем сельского населения».</t>
  </si>
  <si>
    <t>8.39</t>
  </si>
  <si>
    <t>13.4</t>
  </si>
  <si>
    <t>Проектирование и строительство объекта "Полигон твердых коммунальных отходов с сортировкой и переработкой мусора, инсинератором для утилизации животных и биологических отходов в городском округе "поселок Палана" Камчатского края"</t>
  </si>
  <si>
    <t>Городской округ "поселок Палана"</t>
  </si>
  <si>
    <t>Реконструкция системы водоотведения Елизовского городского поселения. 1 Этап. Реконструкция КОС-29 км, строительство сливной станции.</t>
  </si>
  <si>
    <t>Корректировка проектно-сметной документации шифр 4641/2012 по объекту "Реконструкция водовода от водозабора до пгт Палана и внутриплощадочных сетей водовода территории совхоза пгт Палана Тигильского района Камчатского края"</t>
  </si>
  <si>
    <t>Строительство КНС -1/1Е, со строительством сетей водоотведения по ул.Береговой, Октябрьской, Мирная (разработка проектной документации)</t>
  </si>
  <si>
    <t>3500 м.куб/сут</t>
  </si>
  <si>
    <t>Завершение строительства ДОЛ им. Ю.А. Гагарина</t>
  </si>
  <si>
    <t>Приложение к постановлению  Правительства Камчатского края
от 09.08.2022 № 418-П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</si>
</sst>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3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9" applyNumberFormat="0" applyAlignment="0" applyProtection="0"/>
    <xf numFmtId="0" fontId="7" fillId="11" borderId="10" applyNumberFormat="0" applyAlignment="0" applyProtection="0"/>
    <xf numFmtId="0" fontId="8" fillId="11" borderId="9" applyNumberFormat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12" borderId="15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4" borderId="16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17" applyNumberFormat="0" applyFill="0" applyAlignment="0" applyProtection="0"/>
    <xf numFmtId="0" fontId="16" fillId="0" borderId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" borderId="0" applyNumberFormat="0" applyBorder="0" applyAlignment="0" applyProtection="0"/>
    <xf numFmtId="166" fontId="1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/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" fontId="28" fillId="0" borderId="0" xfId="0" applyNumberFormat="1" applyFont="1" applyFill="1" applyBorder="1" applyAlignment="1">
      <alignment vertical="top"/>
    </xf>
    <xf numFmtId="0" fontId="30" fillId="0" borderId="0" xfId="0" applyFont="1" applyFill="1"/>
    <xf numFmtId="0" fontId="29" fillId="0" borderId="0" xfId="0" applyFont="1" applyFill="1"/>
    <xf numFmtId="164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3" fillId="0" borderId="0" xfId="0" applyFont="1" applyFill="1"/>
    <xf numFmtId="1" fontId="2" fillId="0" borderId="27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31" fillId="0" borderId="1" xfId="73" applyNumberFormat="1" applyFont="1" applyFill="1" applyBorder="1" applyAlignment="1">
      <alignment horizontal="right" vertical="center" wrapText="1"/>
    </xf>
    <xf numFmtId="164" fontId="31" fillId="0" borderId="1" xfId="73" applyNumberFormat="1" applyFont="1" applyFill="1" applyBorder="1" applyAlignment="1">
      <alignment vertical="center" wrapText="1"/>
    </xf>
    <xf numFmtId="164" fontId="2" fillId="0" borderId="1" xfId="73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1" xfId="73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31" fillId="0" borderId="2" xfId="73" applyFont="1" applyFill="1" applyBorder="1" applyAlignment="1">
      <alignment horizontal="center" vertical="center" textRotation="90" wrapText="1"/>
    </xf>
    <xf numFmtId="0" fontId="31" fillId="0" borderId="3" xfId="73" applyFont="1" applyFill="1" applyBorder="1" applyAlignment="1">
      <alignment horizontal="center" vertical="center" textRotation="90" wrapText="1"/>
    </xf>
    <xf numFmtId="0" fontId="31" fillId="0" borderId="4" xfId="73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0" fillId="0" borderId="29" xfId="0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16" fontId="2" fillId="0" borderId="19" xfId="0" applyNumberFormat="1" applyFont="1" applyFill="1" applyBorder="1" applyAlignment="1">
      <alignment horizontal="left" vertical="top" wrapText="1"/>
    </xf>
    <xf numFmtId="16" fontId="2" fillId="0" borderId="1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46" xfId="0" applyNumberFormat="1" applyFont="1" applyFill="1" applyBorder="1" applyAlignment="1">
      <alignment horizontal="left" vertical="center" wrapText="1"/>
    </xf>
    <xf numFmtId="1" fontId="2" fillId="0" borderId="4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0" fontId="31" fillId="0" borderId="30" xfId="73" applyFont="1" applyFill="1" applyBorder="1" applyAlignment="1">
      <alignment horizontal="center" vertical="center" textRotation="90" wrapText="1"/>
    </xf>
    <xf numFmtId="0" fontId="31" fillId="0" borderId="31" xfId="73" applyFont="1" applyFill="1" applyBorder="1" applyAlignment="1">
      <alignment horizontal="center" vertical="center" textRotation="90" wrapText="1"/>
    </xf>
    <xf numFmtId="0" fontId="31" fillId="0" borderId="32" xfId="73" applyFont="1" applyFill="1" applyBorder="1" applyAlignment="1">
      <alignment horizontal="center" vertical="center" textRotation="90" wrapText="1"/>
    </xf>
    <xf numFmtId="0" fontId="2" fillId="0" borderId="19" xfId="73" applyFont="1" applyFill="1" applyBorder="1" applyAlignment="1">
      <alignment horizontal="left" vertical="top" wrapText="1"/>
    </xf>
    <xf numFmtId="0" fontId="2" fillId="0" borderId="18" xfId="73" applyFont="1" applyFill="1" applyBorder="1" applyAlignment="1">
      <alignment horizontal="left" vertical="top" wrapText="1"/>
    </xf>
    <xf numFmtId="0" fontId="2" fillId="0" borderId="8" xfId="73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textRotation="90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31" fillId="0" borderId="1" xfId="73" applyFont="1" applyFill="1" applyBorder="1" applyAlignment="1">
      <alignment horizontal="center" vertical="center" textRotation="90" wrapText="1"/>
    </xf>
    <xf numFmtId="0" fontId="31" fillId="0" borderId="28" xfId="73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28" xfId="1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textRotation="90" wrapText="1"/>
    </xf>
    <xf numFmtId="4" fontId="2" fillId="0" borderId="3" xfId="1" applyNumberFormat="1" applyFont="1" applyFill="1" applyBorder="1" applyAlignment="1">
      <alignment horizontal="center" vertical="center" textRotation="90" wrapText="1"/>
    </xf>
    <xf numFmtId="4" fontId="2" fillId="0" borderId="4" xfId="1" applyNumberFormat="1" applyFont="1" applyFill="1" applyBorder="1" applyAlignment="1">
      <alignment horizontal="center" vertical="center" textRotation="90" wrapText="1"/>
    </xf>
    <xf numFmtId="0" fontId="2" fillId="0" borderId="30" xfId="1" applyFont="1" applyFill="1" applyBorder="1" applyAlignment="1">
      <alignment horizontal="center" vertical="center" textRotation="90" wrapText="1"/>
    </xf>
    <xf numFmtId="0" fontId="2" fillId="0" borderId="31" xfId="1" applyFont="1" applyFill="1" applyBorder="1" applyAlignment="1">
      <alignment horizontal="center" vertical="center" textRotation="90" wrapText="1"/>
    </xf>
    <xf numFmtId="0" fontId="2" fillId="0" borderId="32" xfId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164" fontId="2" fillId="0" borderId="5" xfId="0" applyNumberFormat="1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textRotation="90" wrapText="1"/>
    </xf>
    <xf numFmtId="164" fontId="2" fillId="0" borderId="23" xfId="0" applyNumberFormat="1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0" xfId="0" applyFont="1" applyFill="1" applyBorder="1" applyAlignment="1">
      <alignment horizontal="justify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4" fontId="31" fillId="0" borderId="1" xfId="73" applyNumberFormat="1" applyFont="1" applyFill="1" applyBorder="1" applyAlignment="1">
      <alignment horizontal="center" vertical="center" textRotation="90" wrapText="1"/>
    </xf>
    <xf numFmtId="0" fontId="3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justify" vertical="top" wrapText="1"/>
    </xf>
    <xf numFmtId="0" fontId="2" fillId="0" borderId="29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4" fontId="2" fillId="0" borderId="1" xfId="1" applyNumberFormat="1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center" vertical="center" textRotation="90" wrapText="1"/>
    </xf>
    <xf numFmtId="0" fontId="32" fillId="0" borderId="3" xfId="0" applyFont="1" applyFill="1" applyBorder="1" applyAlignment="1">
      <alignment horizontal="center" vertical="center" textRotation="90" wrapText="1"/>
    </xf>
    <xf numFmtId="0" fontId="32" fillId="0" borderId="4" xfId="0" applyFont="1" applyFill="1" applyBorder="1" applyAlignment="1">
      <alignment horizontal="center" vertical="center" textRotation="90" wrapText="1"/>
    </xf>
    <xf numFmtId="0" fontId="32" fillId="0" borderId="30" xfId="0" applyFont="1" applyFill="1" applyBorder="1" applyAlignment="1">
      <alignment horizontal="center" vertical="center" textRotation="90" wrapText="1"/>
    </xf>
    <xf numFmtId="0" fontId="32" fillId="0" borderId="31" xfId="0" applyFont="1" applyFill="1" applyBorder="1" applyAlignment="1">
      <alignment horizontal="center" vertical="center" textRotation="90" wrapText="1"/>
    </xf>
    <xf numFmtId="0" fontId="32" fillId="0" borderId="32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164" fontId="32" fillId="0" borderId="2" xfId="0" applyNumberFormat="1" applyFont="1" applyFill="1" applyBorder="1" applyAlignment="1">
      <alignment horizontal="center" vertical="center" textRotation="90" wrapText="1"/>
    </xf>
    <xf numFmtId="164" fontId="32" fillId="0" borderId="3" xfId="0" applyNumberFormat="1" applyFont="1" applyFill="1" applyBorder="1" applyAlignment="1">
      <alignment horizontal="center" vertical="center" textRotation="90" wrapText="1"/>
    </xf>
    <xf numFmtId="164" fontId="32" fillId="0" borderId="4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</cellXfs>
  <cellStyles count="74">
    <cellStyle name="_Информация по  дорожным работам 2010 года" xfId="4"/>
    <cellStyle name="Normal_вып720-767ведом объемов(лот1)2 русск" xfId="5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Денежный 2" xfId="42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44"/>
    <cellStyle name="Обычный 11" xfId="45"/>
    <cellStyle name="Обычный 12" xfId="43"/>
    <cellStyle name="Обычный 16" xfId="46"/>
    <cellStyle name="Обычный 2" xfId="1"/>
    <cellStyle name="Обычный 2 2" xfId="23"/>
    <cellStyle name="Обычный 2 3" xfId="47"/>
    <cellStyle name="Обычный 2 3 2" xfId="73"/>
    <cellStyle name="Обычный 2 4" xfId="24"/>
    <cellStyle name="Обычный 3" xfId="25"/>
    <cellStyle name="Обычный 3 2" xfId="48"/>
    <cellStyle name="Обычный 3 3" xfId="2"/>
    <cellStyle name="Обычный 4" xfId="26"/>
    <cellStyle name="Обычный 4 2" xfId="49"/>
    <cellStyle name="Обычный 5" xfId="27"/>
    <cellStyle name="Обычный 6" xfId="28"/>
    <cellStyle name="Обычный 6 2" xfId="50"/>
    <cellStyle name="Обычный 6 2 2" xfId="51"/>
    <cellStyle name="Обычный 7" xfId="3"/>
    <cellStyle name="Обычный 7 2" xfId="52"/>
    <cellStyle name="Обычный 8" xfId="53"/>
    <cellStyle name="Обычный 8 2" xfId="54"/>
    <cellStyle name="Обычный 9" xfId="55"/>
    <cellStyle name="Плохой 2" xfId="29"/>
    <cellStyle name="Пояснение 2" xfId="30"/>
    <cellStyle name="Примечание 2" xfId="31"/>
    <cellStyle name="Процентный 2" xfId="32"/>
    <cellStyle name="Процентный 2 2" xfId="57"/>
    <cellStyle name="Процентный 2 3" xfId="56"/>
    <cellStyle name="Процентный 3" xfId="33"/>
    <cellStyle name="Процентный 3 2" xfId="58"/>
    <cellStyle name="Процентный 4" xfId="34"/>
    <cellStyle name="Процентный 4 2" xfId="59"/>
    <cellStyle name="Связанная ячейка 2" xfId="35"/>
    <cellStyle name="Стиль 1" xfId="36"/>
    <cellStyle name="Стиль 1 2" xfId="60"/>
    <cellStyle name="Текст предупреждения 2" xfId="37"/>
    <cellStyle name="Тысячи [0]_S2-ETAL" xfId="38"/>
    <cellStyle name="Тысячи_S2-ETAL" xfId="39"/>
    <cellStyle name="Финансовый 2" xfId="40"/>
    <cellStyle name="Финансовый 2 2" xfId="61"/>
    <cellStyle name="Финансовый 2 2 2" xfId="67"/>
    <cellStyle name="Финансовый 2 3" xfId="63"/>
    <cellStyle name="Финансовый 2 3 2" xfId="69"/>
    <cellStyle name="Финансовый 2 4" xfId="65"/>
    <cellStyle name="Финансовый 2 4 2" xfId="71"/>
    <cellStyle name="Финансовый 3" xfId="62"/>
    <cellStyle name="Финансовый 3 2" xfId="64"/>
    <cellStyle name="Финансовый 3 2 2" xfId="70"/>
    <cellStyle name="Финансовый 3 3" xfId="66"/>
    <cellStyle name="Финансовый 3 3 2" xfId="72"/>
    <cellStyle name="Финансовый 3 4" xfId="68"/>
    <cellStyle name="Хороший 2" xfId="41"/>
  </cellStyles>
  <dxfs count="0"/>
  <tableStyles count="0" defaultTableStyle="TableStyleMedium2" defaultPivotStyle="PivotStyleLight16"/>
  <colors>
    <mruColors>
      <color rgb="FF66FFCC"/>
      <color rgb="FF96F101"/>
      <color rgb="FFFF6600"/>
      <color rgb="FF33CC33"/>
      <color rgb="FFFF0066"/>
      <color rgb="FFCCFFCC"/>
      <color rgb="FFCCCC00"/>
      <color rgb="FFCCCCFF"/>
      <color rgb="FFAAFE2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61"/>
  <sheetViews>
    <sheetView tabSelected="1" view="pageBreakPreview" zoomScale="73" zoomScaleNormal="85" zoomScaleSheetLayoutView="73" workbookViewId="0">
      <selection activeCell="E2" sqref="E2"/>
    </sheetView>
  </sheetViews>
  <sheetFormatPr defaultColWidth="11.5703125" defaultRowHeight="12.75" x14ac:dyDescent="0.2"/>
  <cols>
    <col min="1" max="1" width="7.42578125" style="4" customWidth="1"/>
    <col min="2" max="2" width="25.5703125" style="4" customWidth="1"/>
    <col min="3" max="3" width="19.42578125" style="4" bestFit="1" customWidth="1"/>
    <col min="4" max="6" width="18.28515625" style="4" customWidth="1"/>
    <col min="7" max="7" width="17.5703125" style="4" customWidth="1"/>
    <col min="8" max="8" width="19.140625" style="4" customWidth="1"/>
    <col min="9" max="9" width="11" style="4" customWidth="1"/>
    <col min="10" max="10" width="9" style="4" customWidth="1"/>
    <col min="11" max="11" width="21.140625" style="4" customWidth="1"/>
    <col min="12" max="12" width="8.85546875" style="4" customWidth="1"/>
    <col min="13" max="13" width="15.7109375" style="4" customWidth="1"/>
    <col min="14" max="14" width="14.5703125" style="4" customWidth="1"/>
    <col min="15" max="15" width="16.28515625" style="4" customWidth="1"/>
    <col min="16" max="16" width="13.7109375" style="4" customWidth="1"/>
    <col min="17" max="17" width="7" style="4" customWidth="1"/>
    <col min="18" max="18" width="16.85546875" style="4" customWidth="1"/>
    <col min="19" max="19" width="8.28515625" style="4" customWidth="1"/>
    <col min="20" max="20" width="15.85546875" style="4" customWidth="1"/>
    <col min="21" max="16384" width="11.5703125" style="4"/>
  </cols>
  <sheetData>
    <row r="1" spans="1:20" ht="90" customHeight="1" x14ac:dyDescent="0.4">
      <c r="P1" s="113" t="s">
        <v>833</v>
      </c>
      <c r="Q1" s="113"/>
      <c r="R1" s="113"/>
      <c r="S1" s="113"/>
      <c r="T1" s="113"/>
    </row>
    <row r="2" spans="1:20" ht="18.75" customHeight="1" x14ac:dyDescent="0.2"/>
    <row r="3" spans="1:20" ht="96.75" customHeight="1" x14ac:dyDescent="0.2">
      <c r="P3" s="128" t="s">
        <v>502</v>
      </c>
      <c r="Q3" s="128"/>
      <c r="R3" s="128"/>
      <c r="S3" s="128"/>
      <c r="T3" s="128"/>
    </row>
    <row r="4" spans="1:20" s="5" customFormat="1" ht="15.75" x14ac:dyDescent="0.2">
      <c r="P4" s="6"/>
      <c r="Q4" s="6"/>
      <c r="R4" s="6"/>
      <c r="S4" s="6"/>
      <c r="T4" s="6"/>
    </row>
    <row r="5" spans="1:20" ht="26.25" x14ac:dyDescent="0.2">
      <c r="A5" s="129" t="s">
        <v>417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1:20" ht="23.25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 ht="23.25" customHeight="1" x14ac:dyDescent="0.2">
      <c r="A7" s="131" t="s">
        <v>25</v>
      </c>
      <c r="B7" s="132" t="s">
        <v>344</v>
      </c>
      <c r="C7" s="134" t="s">
        <v>780</v>
      </c>
      <c r="D7" s="135"/>
      <c r="E7" s="135"/>
      <c r="F7" s="135"/>
      <c r="G7" s="135"/>
      <c r="H7" s="136"/>
      <c r="I7" s="137" t="s">
        <v>14</v>
      </c>
      <c r="J7" s="137" t="s">
        <v>26</v>
      </c>
      <c r="K7" s="137" t="s">
        <v>13</v>
      </c>
      <c r="L7" s="137" t="s">
        <v>4</v>
      </c>
      <c r="M7" s="137" t="s">
        <v>11</v>
      </c>
      <c r="N7" s="137" t="s">
        <v>12</v>
      </c>
      <c r="O7" s="137" t="s">
        <v>15</v>
      </c>
      <c r="P7" s="137" t="s">
        <v>18</v>
      </c>
      <c r="Q7" s="137" t="s">
        <v>16</v>
      </c>
      <c r="R7" s="137" t="s">
        <v>17</v>
      </c>
      <c r="S7" s="137" t="s">
        <v>27</v>
      </c>
      <c r="T7" s="151" t="s">
        <v>6</v>
      </c>
    </row>
    <row r="8" spans="1:20" s="7" customFormat="1" ht="136.5" customHeight="1" x14ac:dyDescent="0.2">
      <c r="A8" s="104"/>
      <c r="B8" s="133"/>
      <c r="C8" s="32" t="s">
        <v>148</v>
      </c>
      <c r="D8" s="32" t="s">
        <v>22</v>
      </c>
      <c r="E8" s="32" t="s">
        <v>23</v>
      </c>
      <c r="F8" s="32" t="s">
        <v>28</v>
      </c>
      <c r="G8" s="32" t="s">
        <v>42</v>
      </c>
      <c r="H8" s="32" t="s">
        <v>176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152"/>
    </row>
    <row r="9" spans="1:20" s="7" customFormat="1" x14ac:dyDescent="0.2">
      <c r="A9" s="16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30">
        <v>20</v>
      </c>
    </row>
    <row r="10" spans="1:20" s="7" customFormat="1" ht="15.95" customHeight="1" x14ac:dyDescent="0.2">
      <c r="A10" s="89" t="s">
        <v>9</v>
      </c>
      <c r="B10" s="78" t="s">
        <v>53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</row>
    <row r="11" spans="1:20" ht="15.95" customHeight="1" x14ac:dyDescent="0.2">
      <c r="A11" s="89"/>
      <c r="B11" s="31" t="s">
        <v>5</v>
      </c>
      <c r="C11" s="3">
        <f t="shared" ref="C11:H11" si="0">SUM(C12:C15)</f>
        <v>16326138.20177</v>
      </c>
      <c r="D11" s="3">
        <f t="shared" si="0"/>
        <v>2664493.3499400001</v>
      </c>
      <c r="E11" s="3">
        <f t="shared" si="0"/>
        <v>5700313.7484200001</v>
      </c>
      <c r="F11" s="3">
        <f t="shared" si="0"/>
        <v>4305301.9164100001</v>
      </c>
      <c r="G11" s="3">
        <f t="shared" si="0"/>
        <v>3656029.1869999999</v>
      </c>
      <c r="H11" s="3">
        <f t="shared" si="0"/>
        <v>0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/>
    </row>
    <row r="12" spans="1:20" ht="15.95" customHeight="1" x14ac:dyDescent="0.2">
      <c r="A12" s="89"/>
      <c r="B12" s="31" t="s">
        <v>0</v>
      </c>
      <c r="C12" s="3">
        <f>D12+E12+F12+G12+H12</f>
        <v>7679872.6266799998</v>
      </c>
      <c r="D12" s="3">
        <f t="shared" ref="D12:H15" si="1">D20+D28+D36+D44+D52+D60+D68+D76+D84+D92+D100+D108+D116+D124+D132+D140+D148+D156+D164+D172+D180+D188+D204+D212+D196+D220+D228+D236+D244+D252+D260+D268+D276+D284</f>
        <v>1572945.8698800001</v>
      </c>
      <c r="E12" s="3">
        <f t="shared" si="1"/>
        <v>4482880.1259599999</v>
      </c>
      <c r="F12" s="3">
        <f t="shared" si="1"/>
        <v>769110.94941</v>
      </c>
      <c r="G12" s="3">
        <f t="shared" si="1"/>
        <v>854935.68143</v>
      </c>
      <c r="H12" s="3">
        <f t="shared" si="1"/>
        <v>0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</row>
    <row r="13" spans="1:20" ht="15.95" customHeight="1" x14ac:dyDescent="0.2">
      <c r="A13" s="89"/>
      <c r="B13" s="31" t="s">
        <v>1</v>
      </c>
      <c r="C13" s="3">
        <f>D13+E13+F13+G13+H13</f>
        <v>2476412.5750900004</v>
      </c>
      <c r="D13" s="3">
        <f t="shared" si="1"/>
        <v>1091547.48006</v>
      </c>
      <c r="E13" s="3">
        <f t="shared" si="1"/>
        <v>1217433.62246</v>
      </c>
      <c r="F13" s="3">
        <f t="shared" si="1"/>
        <v>84283.967000000004</v>
      </c>
      <c r="G13" s="3">
        <f t="shared" si="1"/>
        <v>83147.505569999994</v>
      </c>
      <c r="H13" s="3">
        <f t="shared" si="1"/>
        <v>0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</row>
    <row r="14" spans="1:20" ht="15.95" customHeight="1" x14ac:dyDescent="0.2">
      <c r="A14" s="89"/>
      <c r="B14" s="31" t="s">
        <v>2</v>
      </c>
      <c r="C14" s="3">
        <f>D14+E14+F14+G14+H14</f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</row>
    <row r="15" spans="1:20" ht="15.95" customHeight="1" x14ac:dyDescent="0.2">
      <c r="A15" s="89"/>
      <c r="B15" s="31" t="s">
        <v>3</v>
      </c>
      <c r="C15" s="3">
        <f>D15+E15+F15+G15+H15</f>
        <v>6169853</v>
      </c>
      <c r="D15" s="3">
        <f t="shared" si="1"/>
        <v>0</v>
      </c>
      <c r="E15" s="3">
        <f t="shared" si="1"/>
        <v>0</v>
      </c>
      <c r="F15" s="3">
        <f t="shared" si="1"/>
        <v>3451907</v>
      </c>
      <c r="G15" s="3">
        <f t="shared" si="1"/>
        <v>2717946</v>
      </c>
      <c r="H15" s="3">
        <f t="shared" si="1"/>
        <v>0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</row>
    <row r="16" spans="1:20" ht="15.95" customHeight="1" x14ac:dyDescent="0.2">
      <c r="A16" s="34" t="s">
        <v>107</v>
      </c>
      <c r="B16" s="78" t="s">
        <v>44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</row>
    <row r="17" spans="1:20" ht="15.95" customHeight="1" x14ac:dyDescent="0.2">
      <c r="A17" s="34"/>
      <c r="B17" s="50" t="s">
        <v>75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</row>
    <row r="18" spans="1:20" ht="39.950000000000003" customHeight="1" x14ac:dyDescent="0.2">
      <c r="A18" s="34"/>
      <c r="B18" s="80" t="s">
        <v>45</v>
      </c>
      <c r="C18" s="80"/>
      <c r="D18" s="80"/>
      <c r="E18" s="80"/>
      <c r="F18" s="80"/>
      <c r="G18" s="80"/>
      <c r="H18" s="80"/>
      <c r="I18" s="48" t="s">
        <v>22</v>
      </c>
      <c r="J18" s="48"/>
      <c r="K18" s="48" t="s">
        <v>54</v>
      </c>
      <c r="L18" s="48"/>
      <c r="M18" s="48" t="s">
        <v>44</v>
      </c>
      <c r="N18" s="48" t="s">
        <v>44</v>
      </c>
      <c r="O18" s="48" t="s">
        <v>44</v>
      </c>
      <c r="P18" s="38" t="s">
        <v>372</v>
      </c>
      <c r="Q18" s="48" t="s">
        <v>29</v>
      </c>
      <c r="R18" s="48" t="s">
        <v>55</v>
      </c>
      <c r="S18" s="48" t="s">
        <v>76</v>
      </c>
      <c r="T18" s="55"/>
    </row>
    <row r="19" spans="1:20" ht="15.95" customHeight="1" x14ac:dyDescent="0.2">
      <c r="A19" s="34"/>
      <c r="B19" s="25" t="s">
        <v>5</v>
      </c>
      <c r="C19" s="2">
        <f>D19+E19+F19+H19+G19</f>
        <v>25560.672999999999</v>
      </c>
      <c r="D19" s="1">
        <f t="shared" ref="D19:H19" si="2">SUM(D20:D23)</f>
        <v>25560.672999999999</v>
      </c>
      <c r="E19" s="1">
        <f t="shared" si="2"/>
        <v>0</v>
      </c>
      <c r="F19" s="1">
        <f t="shared" si="2"/>
        <v>0</v>
      </c>
      <c r="G19" s="1">
        <f t="shared" si="2"/>
        <v>0</v>
      </c>
      <c r="H19" s="1">
        <f t="shared" si="2"/>
        <v>0</v>
      </c>
      <c r="I19" s="48"/>
      <c r="J19" s="48"/>
      <c r="K19" s="48"/>
      <c r="L19" s="48"/>
      <c r="M19" s="48"/>
      <c r="N19" s="48"/>
      <c r="O19" s="48"/>
      <c r="P19" s="38"/>
      <c r="Q19" s="48"/>
      <c r="R19" s="48"/>
      <c r="S19" s="48"/>
      <c r="T19" s="55"/>
    </row>
    <row r="20" spans="1:20" ht="15.95" customHeight="1" x14ac:dyDescent="0.2">
      <c r="A20" s="34"/>
      <c r="B20" s="25" t="s">
        <v>0</v>
      </c>
      <c r="C20" s="2">
        <f>D20+E20+F20+G20+H20</f>
        <v>0</v>
      </c>
      <c r="D20" s="1"/>
      <c r="E20" s="1"/>
      <c r="F20" s="1"/>
      <c r="G20" s="1"/>
      <c r="H20" s="1"/>
      <c r="I20" s="48"/>
      <c r="J20" s="48"/>
      <c r="K20" s="48"/>
      <c r="L20" s="48"/>
      <c r="M20" s="48"/>
      <c r="N20" s="48"/>
      <c r="O20" s="48"/>
      <c r="P20" s="38"/>
      <c r="Q20" s="48"/>
      <c r="R20" s="48"/>
      <c r="S20" s="48"/>
      <c r="T20" s="55"/>
    </row>
    <row r="21" spans="1:20" ht="15.95" customHeight="1" x14ac:dyDescent="0.2">
      <c r="A21" s="34"/>
      <c r="B21" s="25" t="s">
        <v>1</v>
      </c>
      <c r="C21" s="2">
        <f>D21+E21+F21+G21+H21</f>
        <v>25560.672999999999</v>
      </c>
      <c r="D21" s="1">
        <f>30000-4439.327</f>
        <v>25560.672999999999</v>
      </c>
      <c r="E21" s="1"/>
      <c r="F21" s="1"/>
      <c r="G21" s="1"/>
      <c r="H21" s="1"/>
      <c r="I21" s="48"/>
      <c r="J21" s="48"/>
      <c r="K21" s="48"/>
      <c r="L21" s="48"/>
      <c r="M21" s="48"/>
      <c r="N21" s="48"/>
      <c r="O21" s="48"/>
      <c r="P21" s="38"/>
      <c r="Q21" s="48"/>
      <c r="R21" s="48"/>
      <c r="S21" s="48"/>
      <c r="T21" s="55"/>
    </row>
    <row r="22" spans="1:20" ht="15.95" customHeight="1" x14ac:dyDescent="0.2">
      <c r="A22" s="34"/>
      <c r="B22" s="25" t="s">
        <v>2</v>
      </c>
      <c r="C22" s="2">
        <f>D22+E22+F22+G22+H22</f>
        <v>0</v>
      </c>
      <c r="D22" s="1"/>
      <c r="E22" s="1"/>
      <c r="F22" s="1"/>
      <c r="G22" s="1"/>
      <c r="H22" s="1"/>
      <c r="I22" s="48"/>
      <c r="J22" s="48"/>
      <c r="K22" s="48"/>
      <c r="L22" s="48"/>
      <c r="M22" s="48"/>
      <c r="N22" s="48"/>
      <c r="O22" s="48"/>
      <c r="P22" s="38"/>
      <c r="Q22" s="48"/>
      <c r="R22" s="48"/>
      <c r="S22" s="48"/>
      <c r="T22" s="55"/>
    </row>
    <row r="23" spans="1:20" s="7" customFormat="1" ht="15.95" customHeight="1" x14ac:dyDescent="0.2">
      <c r="A23" s="34"/>
      <c r="B23" s="25" t="s">
        <v>3</v>
      </c>
      <c r="C23" s="2">
        <f>D23+E23+F23+G23+H23</f>
        <v>0</v>
      </c>
      <c r="D23" s="1"/>
      <c r="E23" s="1"/>
      <c r="F23" s="1"/>
      <c r="G23" s="1"/>
      <c r="H23" s="1"/>
      <c r="I23" s="48"/>
      <c r="J23" s="48"/>
      <c r="K23" s="48"/>
      <c r="L23" s="48"/>
      <c r="M23" s="48"/>
      <c r="N23" s="48"/>
      <c r="O23" s="48"/>
      <c r="P23" s="38"/>
      <c r="Q23" s="48"/>
      <c r="R23" s="48"/>
      <c r="S23" s="48"/>
      <c r="T23" s="55"/>
    </row>
    <row r="24" spans="1:20" s="7" customFormat="1" ht="15.95" customHeight="1" x14ac:dyDescent="0.2">
      <c r="A24" s="34" t="s">
        <v>340</v>
      </c>
      <c r="B24" s="78" t="s">
        <v>190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</row>
    <row r="25" spans="1:20" s="7" customFormat="1" ht="15.95" customHeight="1" x14ac:dyDescent="0.2">
      <c r="A25" s="34"/>
      <c r="B25" s="50" t="s">
        <v>77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</row>
    <row r="26" spans="1:20" s="7" customFormat="1" ht="39.950000000000003" customHeight="1" x14ac:dyDescent="0.2">
      <c r="A26" s="34"/>
      <c r="B26" s="80" t="s">
        <v>232</v>
      </c>
      <c r="C26" s="80"/>
      <c r="D26" s="80"/>
      <c r="E26" s="80"/>
      <c r="F26" s="80"/>
      <c r="G26" s="80"/>
      <c r="H26" s="80"/>
      <c r="I26" s="48" t="s">
        <v>23</v>
      </c>
      <c r="J26" s="48"/>
      <c r="K26" s="48" t="s">
        <v>35</v>
      </c>
      <c r="L26" s="48" t="s">
        <v>233</v>
      </c>
      <c r="M26" s="48" t="s">
        <v>804</v>
      </c>
      <c r="N26" s="48" t="s">
        <v>190</v>
      </c>
      <c r="O26" s="48" t="s">
        <v>804</v>
      </c>
      <c r="P26" s="38" t="s">
        <v>138</v>
      </c>
      <c r="Q26" s="48" t="s">
        <v>29</v>
      </c>
      <c r="R26" s="48" t="s">
        <v>139</v>
      </c>
      <c r="S26" s="48" t="s">
        <v>31</v>
      </c>
      <c r="T26" s="55" t="s">
        <v>236</v>
      </c>
    </row>
    <row r="27" spans="1:20" s="7" customFormat="1" ht="15.95" customHeight="1" x14ac:dyDescent="0.2">
      <c r="A27" s="34"/>
      <c r="B27" s="25" t="s">
        <v>5</v>
      </c>
      <c r="C27" s="2">
        <f>D27+E27+F27+G27+H27</f>
        <v>97792.860450000007</v>
      </c>
      <c r="D27" s="1">
        <f>SUM(D28:D31)</f>
        <v>52000.820449999999</v>
      </c>
      <c r="E27" s="1">
        <f t="shared" ref="E27:H27" si="3">SUM(E28:E31)</f>
        <v>45792.04</v>
      </c>
      <c r="F27" s="1">
        <f t="shared" si="3"/>
        <v>0</v>
      </c>
      <c r="G27" s="1">
        <f t="shared" si="3"/>
        <v>0</v>
      </c>
      <c r="H27" s="1">
        <f t="shared" si="3"/>
        <v>0</v>
      </c>
      <c r="I27" s="48"/>
      <c r="J27" s="48"/>
      <c r="K27" s="48"/>
      <c r="L27" s="48"/>
      <c r="M27" s="48"/>
      <c r="N27" s="48"/>
      <c r="O27" s="48"/>
      <c r="P27" s="38"/>
      <c r="Q27" s="48"/>
      <c r="R27" s="48"/>
      <c r="S27" s="48"/>
      <c r="T27" s="55"/>
    </row>
    <row r="28" spans="1:20" s="7" customFormat="1" ht="15.95" customHeight="1" x14ac:dyDescent="0.2">
      <c r="A28" s="34"/>
      <c r="B28" s="25" t="s">
        <v>0</v>
      </c>
      <c r="C28" s="2">
        <f>D28+E28+F28+G28+H28</f>
        <v>35284.456449999998</v>
      </c>
      <c r="D28" s="1">
        <v>35284.456449999998</v>
      </c>
      <c r="E28" s="1"/>
      <c r="F28" s="1"/>
      <c r="G28" s="1"/>
      <c r="H28" s="1"/>
      <c r="I28" s="48"/>
      <c r="J28" s="48"/>
      <c r="K28" s="48"/>
      <c r="L28" s="48"/>
      <c r="M28" s="48"/>
      <c r="N28" s="48"/>
      <c r="O28" s="48"/>
      <c r="P28" s="38"/>
      <c r="Q28" s="48"/>
      <c r="R28" s="48"/>
      <c r="S28" s="48"/>
      <c r="T28" s="55"/>
    </row>
    <row r="29" spans="1:20" s="7" customFormat="1" ht="15.95" customHeight="1" x14ac:dyDescent="0.2">
      <c r="A29" s="34"/>
      <c r="B29" s="25" t="s">
        <v>1</v>
      </c>
      <c r="C29" s="2">
        <f>D29+E29+F29+G29+H29</f>
        <v>62508.404000000002</v>
      </c>
      <c r="D29" s="1">
        <v>16716.364000000001</v>
      </c>
      <c r="E29" s="1">
        <f>0+45792.04</f>
        <v>45792.04</v>
      </c>
      <c r="F29" s="1"/>
      <c r="G29" s="1"/>
      <c r="H29" s="1"/>
      <c r="I29" s="48"/>
      <c r="J29" s="48"/>
      <c r="K29" s="48"/>
      <c r="L29" s="48"/>
      <c r="M29" s="48"/>
      <c r="N29" s="48"/>
      <c r="O29" s="48"/>
      <c r="P29" s="38"/>
      <c r="Q29" s="48"/>
      <c r="R29" s="48"/>
      <c r="S29" s="48"/>
      <c r="T29" s="55"/>
    </row>
    <row r="30" spans="1:20" s="7" customFormat="1" ht="15.95" customHeight="1" x14ac:dyDescent="0.2">
      <c r="A30" s="34"/>
      <c r="B30" s="25" t="s">
        <v>2</v>
      </c>
      <c r="C30" s="2">
        <f>D30+E30+F30+G30+H30</f>
        <v>0</v>
      </c>
      <c r="D30" s="1"/>
      <c r="E30" s="1"/>
      <c r="F30" s="1"/>
      <c r="G30" s="1"/>
      <c r="H30" s="1"/>
      <c r="I30" s="48"/>
      <c r="J30" s="48"/>
      <c r="K30" s="48"/>
      <c r="L30" s="48"/>
      <c r="M30" s="48"/>
      <c r="N30" s="48"/>
      <c r="O30" s="48"/>
      <c r="P30" s="38"/>
      <c r="Q30" s="48"/>
      <c r="R30" s="48"/>
      <c r="S30" s="48"/>
      <c r="T30" s="55"/>
    </row>
    <row r="31" spans="1:20" s="7" customFormat="1" ht="15.95" customHeight="1" x14ac:dyDescent="0.2">
      <c r="A31" s="34"/>
      <c r="B31" s="25" t="s">
        <v>3</v>
      </c>
      <c r="C31" s="2">
        <f>D31+E31+F31+G31+H31</f>
        <v>0</v>
      </c>
      <c r="D31" s="1"/>
      <c r="E31" s="1"/>
      <c r="F31" s="1"/>
      <c r="G31" s="1"/>
      <c r="H31" s="1"/>
      <c r="I31" s="48"/>
      <c r="J31" s="48"/>
      <c r="K31" s="48"/>
      <c r="L31" s="48"/>
      <c r="M31" s="48"/>
      <c r="N31" s="48"/>
      <c r="O31" s="48"/>
      <c r="P31" s="38"/>
      <c r="Q31" s="48"/>
      <c r="R31" s="48"/>
      <c r="S31" s="48"/>
      <c r="T31" s="55"/>
    </row>
    <row r="32" spans="1:20" s="7" customFormat="1" ht="15.95" customHeight="1" x14ac:dyDescent="0.2">
      <c r="A32" s="34" t="s">
        <v>341</v>
      </c>
      <c r="B32" s="78" t="s">
        <v>190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</row>
    <row r="33" spans="1:20" s="7" customFormat="1" ht="15.95" customHeight="1" x14ac:dyDescent="0.2">
      <c r="A33" s="34"/>
      <c r="B33" s="50" t="s">
        <v>77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</row>
    <row r="34" spans="1:20" s="7" customFormat="1" ht="39.950000000000003" customHeight="1" x14ac:dyDescent="0.2">
      <c r="A34" s="34"/>
      <c r="B34" s="80" t="s">
        <v>234</v>
      </c>
      <c r="C34" s="80"/>
      <c r="D34" s="80"/>
      <c r="E34" s="80"/>
      <c r="F34" s="80"/>
      <c r="G34" s="80"/>
      <c r="H34" s="80"/>
      <c r="I34" s="48" t="s">
        <v>23</v>
      </c>
      <c r="J34" s="48"/>
      <c r="K34" s="48" t="s">
        <v>35</v>
      </c>
      <c r="L34" s="48" t="s">
        <v>233</v>
      </c>
      <c r="M34" s="48" t="s">
        <v>804</v>
      </c>
      <c r="N34" s="48" t="s">
        <v>190</v>
      </c>
      <c r="O34" s="48" t="s">
        <v>804</v>
      </c>
      <c r="P34" s="38" t="s">
        <v>235</v>
      </c>
      <c r="Q34" s="48" t="s">
        <v>29</v>
      </c>
      <c r="R34" s="48" t="s">
        <v>139</v>
      </c>
      <c r="S34" s="48" t="s">
        <v>31</v>
      </c>
      <c r="T34" s="55" t="s">
        <v>237</v>
      </c>
    </row>
    <row r="35" spans="1:20" s="7" customFormat="1" ht="15.95" customHeight="1" x14ac:dyDescent="0.2">
      <c r="A35" s="34"/>
      <c r="B35" s="25" t="s">
        <v>5</v>
      </c>
      <c r="C35" s="2">
        <f>D35+E35+F35+G35+H35</f>
        <v>103877.78645</v>
      </c>
      <c r="D35" s="1">
        <f>SUM(D36:D39)</f>
        <v>56085.746449999999</v>
      </c>
      <c r="E35" s="1">
        <f t="shared" ref="E35:H35" si="4">SUM(E36:E39)</f>
        <v>47792.04</v>
      </c>
      <c r="F35" s="1">
        <f t="shared" si="4"/>
        <v>0</v>
      </c>
      <c r="G35" s="1">
        <f t="shared" si="4"/>
        <v>0</v>
      </c>
      <c r="H35" s="1">
        <f t="shared" si="4"/>
        <v>0</v>
      </c>
      <c r="I35" s="48"/>
      <c r="J35" s="48"/>
      <c r="K35" s="48"/>
      <c r="L35" s="48"/>
      <c r="M35" s="48"/>
      <c r="N35" s="48"/>
      <c r="O35" s="48"/>
      <c r="P35" s="38"/>
      <c r="Q35" s="48"/>
      <c r="R35" s="48"/>
      <c r="S35" s="48"/>
      <c r="T35" s="55"/>
    </row>
    <row r="36" spans="1:20" s="7" customFormat="1" ht="15.95" customHeight="1" x14ac:dyDescent="0.2">
      <c r="A36" s="34"/>
      <c r="B36" s="25" t="s">
        <v>0</v>
      </c>
      <c r="C36" s="2">
        <f>D36+E36+F36+G36+H36</f>
        <v>35284.456449999998</v>
      </c>
      <c r="D36" s="1">
        <v>35284.456449999998</v>
      </c>
      <c r="E36" s="1"/>
      <c r="F36" s="1"/>
      <c r="G36" s="1"/>
      <c r="H36" s="1"/>
      <c r="I36" s="48"/>
      <c r="J36" s="48"/>
      <c r="K36" s="48"/>
      <c r="L36" s="48"/>
      <c r="M36" s="48"/>
      <c r="N36" s="48"/>
      <c r="O36" s="48"/>
      <c r="P36" s="38"/>
      <c r="Q36" s="48"/>
      <c r="R36" s="48"/>
      <c r="S36" s="48"/>
      <c r="T36" s="55"/>
    </row>
    <row r="37" spans="1:20" s="7" customFormat="1" ht="15.95" customHeight="1" x14ac:dyDescent="0.2">
      <c r="A37" s="34"/>
      <c r="B37" s="25" t="s">
        <v>1</v>
      </c>
      <c r="C37" s="2">
        <f>D37+E37+F37+G37+H37</f>
        <v>68593.33</v>
      </c>
      <c r="D37" s="1">
        <v>20801.29</v>
      </c>
      <c r="E37" s="1">
        <f>0+47792.04</f>
        <v>47792.04</v>
      </c>
      <c r="F37" s="1"/>
      <c r="G37" s="1"/>
      <c r="H37" s="1"/>
      <c r="I37" s="48"/>
      <c r="J37" s="48"/>
      <c r="K37" s="48"/>
      <c r="L37" s="48"/>
      <c r="M37" s="48"/>
      <c r="N37" s="48"/>
      <c r="O37" s="48"/>
      <c r="P37" s="38"/>
      <c r="Q37" s="48"/>
      <c r="R37" s="48"/>
      <c r="S37" s="48"/>
      <c r="T37" s="55"/>
    </row>
    <row r="38" spans="1:20" s="7" customFormat="1" ht="15.95" customHeight="1" x14ac:dyDescent="0.2">
      <c r="A38" s="34"/>
      <c r="B38" s="25" t="s">
        <v>2</v>
      </c>
      <c r="C38" s="2">
        <f>D38+E38+F38+G38+H38</f>
        <v>0</v>
      </c>
      <c r="D38" s="1"/>
      <c r="E38" s="1"/>
      <c r="F38" s="1"/>
      <c r="G38" s="1"/>
      <c r="H38" s="1"/>
      <c r="I38" s="48"/>
      <c r="J38" s="48"/>
      <c r="K38" s="48"/>
      <c r="L38" s="48"/>
      <c r="M38" s="48"/>
      <c r="N38" s="48"/>
      <c r="O38" s="48"/>
      <c r="P38" s="38"/>
      <c r="Q38" s="48"/>
      <c r="R38" s="48"/>
      <c r="S38" s="48"/>
      <c r="T38" s="55"/>
    </row>
    <row r="39" spans="1:20" s="7" customFormat="1" ht="15.95" customHeight="1" x14ac:dyDescent="0.2">
      <c r="A39" s="34"/>
      <c r="B39" s="25" t="s">
        <v>3</v>
      </c>
      <c r="C39" s="2">
        <f>D39+E39+F39+G39+H39</f>
        <v>0</v>
      </c>
      <c r="D39" s="1"/>
      <c r="E39" s="1"/>
      <c r="F39" s="1"/>
      <c r="G39" s="1"/>
      <c r="H39" s="1"/>
      <c r="I39" s="48"/>
      <c r="J39" s="48"/>
      <c r="K39" s="48"/>
      <c r="L39" s="48"/>
      <c r="M39" s="48"/>
      <c r="N39" s="48"/>
      <c r="O39" s="48"/>
      <c r="P39" s="38"/>
      <c r="Q39" s="48"/>
      <c r="R39" s="48"/>
      <c r="S39" s="48"/>
      <c r="T39" s="55"/>
    </row>
    <row r="40" spans="1:20" s="7" customFormat="1" ht="15.95" customHeight="1" x14ac:dyDescent="0.2">
      <c r="A40" s="34" t="s">
        <v>108</v>
      </c>
      <c r="B40" s="78" t="s">
        <v>190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/>
    </row>
    <row r="41" spans="1:20" s="7" customFormat="1" ht="15.95" customHeight="1" x14ac:dyDescent="0.2">
      <c r="A41" s="34"/>
      <c r="B41" s="50" t="s">
        <v>77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</row>
    <row r="42" spans="1:20" s="7" customFormat="1" ht="39.950000000000003" customHeight="1" x14ac:dyDescent="0.2">
      <c r="A42" s="34"/>
      <c r="B42" s="80" t="s">
        <v>353</v>
      </c>
      <c r="C42" s="80"/>
      <c r="D42" s="80"/>
      <c r="E42" s="80"/>
      <c r="F42" s="80"/>
      <c r="G42" s="80"/>
      <c r="H42" s="80"/>
      <c r="I42" s="48" t="s">
        <v>23</v>
      </c>
      <c r="J42" s="48"/>
      <c r="K42" s="48" t="s">
        <v>35</v>
      </c>
      <c r="L42" s="48" t="s">
        <v>233</v>
      </c>
      <c r="M42" s="48" t="s">
        <v>804</v>
      </c>
      <c r="N42" s="48" t="s">
        <v>190</v>
      </c>
      <c r="O42" s="48" t="s">
        <v>804</v>
      </c>
      <c r="P42" s="38" t="s">
        <v>140</v>
      </c>
      <c r="Q42" s="48" t="s">
        <v>29</v>
      </c>
      <c r="R42" s="48" t="s">
        <v>238</v>
      </c>
      <c r="S42" s="48" t="s">
        <v>30</v>
      </c>
      <c r="T42" s="55" t="s">
        <v>241</v>
      </c>
    </row>
    <row r="43" spans="1:20" s="7" customFormat="1" ht="15.95" customHeight="1" x14ac:dyDescent="0.2">
      <c r="A43" s="34"/>
      <c r="B43" s="25" t="s">
        <v>5</v>
      </c>
      <c r="C43" s="2">
        <f>D43+E43+F43+G43+H43</f>
        <v>75387.929860000004</v>
      </c>
      <c r="D43" s="1">
        <f t="shared" ref="D43:H43" si="5">SUM(D44:D47)</f>
        <v>35499.859859999997</v>
      </c>
      <c r="E43" s="1">
        <f t="shared" si="5"/>
        <v>39888.07</v>
      </c>
      <c r="F43" s="1">
        <f t="shared" si="5"/>
        <v>0</v>
      </c>
      <c r="G43" s="1">
        <f t="shared" si="5"/>
        <v>0</v>
      </c>
      <c r="H43" s="1">
        <f t="shared" si="5"/>
        <v>0</v>
      </c>
      <c r="I43" s="48"/>
      <c r="J43" s="48"/>
      <c r="K43" s="48"/>
      <c r="L43" s="48"/>
      <c r="M43" s="48"/>
      <c r="N43" s="48"/>
      <c r="O43" s="48"/>
      <c r="P43" s="38"/>
      <c r="Q43" s="48"/>
      <c r="R43" s="48"/>
      <c r="S43" s="48"/>
      <c r="T43" s="55"/>
    </row>
    <row r="44" spans="1:20" s="7" customFormat="1" ht="15.95" customHeight="1" x14ac:dyDescent="0.2">
      <c r="A44" s="34"/>
      <c r="B44" s="25" t="s">
        <v>0</v>
      </c>
      <c r="C44" s="2">
        <f>D44+E44+F44+G44+H44</f>
        <v>32109.87586</v>
      </c>
      <c r="D44" s="1">
        <v>32109.87586</v>
      </c>
      <c r="E44" s="1"/>
      <c r="F44" s="1"/>
      <c r="G44" s="1"/>
      <c r="H44" s="1"/>
      <c r="I44" s="48"/>
      <c r="J44" s="48"/>
      <c r="K44" s="48"/>
      <c r="L44" s="48"/>
      <c r="M44" s="48"/>
      <c r="N44" s="48"/>
      <c r="O44" s="48"/>
      <c r="P44" s="38"/>
      <c r="Q44" s="48"/>
      <c r="R44" s="48"/>
      <c r="S44" s="48"/>
      <c r="T44" s="55"/>
    </row>
    <row r="45" spans="1:20" s="7" customFormat="1" ht="15.95" customHeight="1" x14ac:dyDescent="0.2">
      <c r="A45" s="34"/>
      <c r="B45" s="25" t="s">
        <v>1</v>
      </c>
      <c r="C45" s="2">
        <f>D45+E45+F45+G45+H45</f>
        <v>43278.053999999996</v>
      </c>
      <c r="D45" s="1">
        <v>3389.9839999999999</v>
      </c>
      <c r="E45" s="1">
        <f>0+39888.07</f>
        <v>39888.07</v>
      </c>
      <c r="F45" s="1"/>
      <c r="G45" s="1"/>
      <c r="H45" s="1"/>
      <c r="I45" s="48"/>
      <c r="J45" s="48"/>
      <c r="K45" s="48"/>
      <c r="L45" s="48"/>
      <c r="M45" s="48"/>
      <c r="N45" s="48"/>
      <c r="O45" s="48"/>
      <c r="P45" s="38"/>
      <c r="Q45" s="48"/>
      <c r="R45" s="48"/>
      <c r="S45" s="48"/>
      <c r="T45" s="55"/>
    </row>
    <row r="46" spans="1:20" s="7" customFormat="1" ht="15.95" customHeight="1" x14ac:dyDescent="0.2">
      <c r="A46" s="34"/>
      <c r="B46" s="25" t="s">
        <v>2</v>
      </c>
      <c r="C46" s="2">
        <f>D46+E46+F46+G46+H46</f>
        <v>0</v>
      </c>
      <c r="D46" s="1"/>
      <c r="E46" s="1"/>
      <c r="F46" s="1"/>
      <c r="G46" s="1"/>
      <c r="H46" s="1"/>
      <c r="I46" s="48"/>
      <c r="J46" s="48"/>
      <c r="K46" s="48"/>
      <c r="L46" s="48"/>
      <c r="M46" s="48"/>
      <c r="N46" s="48"/>
      <c r="O46" s="48"/>
      <c r="P46" s="38"/>
      <c r="Q46" s="48"/>
      <c r="R46" s="48"/>
      <c r="S46" s="48"/>
      <c r="T46" s="55"/>
    </row>
    <row r="47" spans="1:20" s="7" customFormat="1" ht="15.95" customHeight="1" x14ac:dyDescent="0.2">
      <c r="A47" s="34"/>
      <c r="B47" s="25" t="s">
        <v>3</v>
      </c>
      <c r="C47" s="2">
        <f>D47+E47+F47+G47+H47</f>
        <v>0</v>
      </c>
      <c r="D47" s="1"/>
      <c r="E47" s="1"/>
      <c r="F47" s="1"/>
      <c r="G47" s="1"/>
      <c r="H47" s="1"/>
      <c r="I47" s="48"/>
      <c r="J47" s="48"/>
      <c r="K47" s="48"/>
      <c r="L47" s="48"/>
      <c r="M47" s="48"/>
      <c r="N47" s="48"/>
      <c r="O47" s="48"/>
      <c r="P47" s="38"/>
      <c r="Q47" s="48"/>
      <c r="R47" s="48"/>
      <c r="S47" s="48"/>
      <c r="T47" s="55"/>
    </row>
    <row r="48" spans="1:20" s="7" customFormat="1" ht="15.95" customHeight="1" x14ac:dyDescent="0.2">
      <c r="A48" s="34" t="s">
        <v>342</v>
      </c>
      <c r="B48" s="78" t="s">
        <v>190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</row>
    <row r="49" spans="1:20" s="7" customFormat="1" ht="15.95" customHeight="1" x14ac:dyDescent="0.2">
      <c r="A49" s="34"/>
      <c r="B49" s="50" t="s">
        <v>77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/>
    </row>
    <row r="50" spans="1:20" s="7" customFormat="1" ht="39.950000000000003" customHeight="1" x14ac:dyDescent="0.2">
      <c r="A50" s="34"/>
      <c r="B50" s="80" t="s">
        <v>347</v>
      </c>
      <c r="C50" s="80"/>
      <c r="D50" s="80"/>
      <c r="E50" s="80"/>
      <c r="F50" s="80"/>
      <c r="G50" s="80"/>
      <c r="H50" s="80"/>
      <c r="I50" s="48" t="s">
        <v>22</v>
      </c>
      <c r="J50" s="48"/>
      <c r="K50" s="48" t="s">
        <v>35</v>
      </c>
      <c r="L50" s="48" t="s">
        <v>233</v>
      </c>
      <c r="M50" s="48" t="s">
        <v>805</v>
      </c>
      <c r="N50" s="48" t="s">
        <v>190</v>
      </c>
      <c r="O50" s="48" t="s">
        <v>805</v>
      </c>
      <c r="P50" s="38" t="s">
        <v>239</v>
      </c>
      <c r="Q50" s="48" t="s">
        <v>29</v>
      </c>
      <c r="R50" s="48" t="s">
        <v>240</v>
      </c>
      <c r="S50" s="48" t="s">
        <v>30</v>
      </c>
      <c r="T50" s="55" t="s">
        <v>242</v>
      </c>
    </row>
    <row r="51" spans="1:20" s="7" customFormat="1" ht="15.95" customHeight="1" x14ac:dyDescent="0.2">
      <c r="A51" s="34"/>
      <c r="B51" s="25" t="s">
        <v>5</v>
      </c>
      <c r="C51" s="2">
        <f>D51+E51+F51+G51+H51</f>
        <v>69566.836540000004</v>
      </c>
      <c r="D51" s="1">
        <f t="shared" ref="D51:H51" si="6">SUM(D52:D55)</f>
        <v>69566.836540000004</v>
      </c>
      <c r="E51" s="1">
        <f t="shared" si="6"/>
        <v>0</v>
      </c>
      <c r="F51" s="1">
        <f t="shared" si="6"/>
        <v>0</v>
      </c>
      <c r="G51" s="1">
        <f t="shared" si="6"/>
        <v>0</v>
      </c>
      <c r="H51" s="1">
        <f t="shared" si="6"/>
        <v>0</v>
      </c>
      <c r="I51" s="48"/>
      <c r="J51" s="48"/>
      <c r="K51" s="48"/>
      <c r="L51" s="48"/>
      <c r="M51" s="48"/>
      <c r="N51" s="48"/>
      <c r="O51" s="48"/>
      <c r="P51" s="38"/>
      <c r="Q51" s="48"/>
      <c r="R51" s="48"/>
      <c r="S51" s="48"/>
      <c r="T51" s="55"/>
    </row>
    <row r="52" spans="1:20" s="7" customFormat="1" ht="15.95" customHeight="1" x14ac:dyDescent="0.2">
      <c r="A52" s="34"/>
      <c r="B52" s="25" t="s">
        <v>0</v>
      </c>
      <c r="C52" s="2">
        <f>D52+E52+F52+G52+H52</f>
        <v>37181.492539999999</v>
      </c>
      <c r="D52" s="1">
        <v>37181.492539999999</v>
      </c>
      <c r="E52" s="1"/>
      <c r="F52" s="1"/>
      <c r="G52" s="1"/>
      <c r="H52" s="1"/>
      <c r="I52" s="48"/>
      <c r="J52" s="48"/>
      <c r="K52" s="48"/>
      <c r="L52" s="48"/>
      <c r="M52" s="48"/>
      <c r="N52" s="48"/>
      <c r="O52" s="48"/>
      <c r="P52" s="38"/>
      <c r="Q52" s="48"/>
      <c r="R52" s="48"/>
      <c r="S52" s="48"/>
      <c r="T52" s="55"/>
    </row>
    <row r="53" spans="1:20" s="7" customFormat="1" ht="15.95" customHeight="1" x14ac:dyDescent="0.2">
      <c r="A53" s="34"/>
      <c r="B53" s="25" t="s">
        <v>1</v>
      </c>
      <c r="C53" s="2">
        <f>D53+E53+F53+G53+H53</f>
        <v>32385.344000000001</v>
      </c>
      <c r="D53" s="1">
        <f>3521.861+28863.483</f>
        <v>32385.344000000001</v>
      </c>
      <c r="E53" s="1"/>
      <c r="F53" s="1"/>
      <c r="G53" s="1"/>
      <c r="H53" s="1"/>
      <c r="I53" s="48"/>
      <c r="J53" s="48"/>
      <c r="K53" s="48"/>
      <c r="L53" s="48"/>
      <c r="M53" s="48"/>
      <c r="N53" s="48"/>
      <c r="O53" s="48"/>
      <c r="P53" s="38"/>
      <c r="Q53" s="48"/>
      <c r="R53" s="48"/>
      <c r="S53" s="48"/>
      <c r="T53" s="55"/>
    </row>
    <row r="54" spans="1:20" s="7" customFormat="1" ht="15.95" customHeight="1" x14ac:dyDescent="0.2">
      <c r="A54" s="34"/>
      <c r="B54" s="25" t="s">
        <v>2</v>
      </c>
      <c r="C54" s="2">
        <f>D54+E54+F54+G54+H54</f>
        <v>0</v>
      </c>
      <c r="D54" s="1"/>
      <c r="E54" s="1"/>
      <c r="F54" s="1"/>
      <c r="G54" s="1"/>
      <c r="H54" s="1"/>
      <c r="I54" s="48"/>
      <c r="J54" s="48"/>
      <c r="K54" s="48"/>
      <c r="L54" s="48"/>
      <c r="M54" s="48"/>
      <c r="N54" s="48"/>
      <c r="O54" s="48"/>
      <c r="P54" s="38"/>
      <c r="Q54" s="48"/>
      <c r="R54" s="48"/>
      <c r="S54" s="48"/>
      <c r="T54" s="55"/>
    </row>
    <row r="55" spans="1:20" ht="15.95" customHeight="1" x14ac:dyDescent="0.2">
      <c r="A55" s="34"/>
      <c r="B55" s="25" t="s">
        <v>3</v>
      </c>
      <c r="C55" s="2">
        <f>D55+E55+F55+G55+H55</f>
        <v>0</v>
      </c>
      <c r="D55" s="1"/>
      <c r="E55" s="1"/>
      <c r="F55" s="1"/>
      <c r="G55" s="1"/>
      <c r="H55" s="1"/>
      <c r="I55" s="48"/>
      <c r="J55" s="48"/>
      <c r="K55" s="48"/>
      <c r="L55" s="48"/>
      <c r="M55" s="48"/>
      <c r="N55" s="48"/>
      <c r="O55" s="48"/>
      <c r="P55" s="38"/>
      <c r="Q55" s="48"/>
      <c r="R55" s="48"/>
      <c r="S55" s="48"/>
      <c r="T55" s="55"/>
    </row>
    <row r="56" spans="1:20" s="7" customFormat="1" ht="15.95" customHeight="1" x14ac:dyDescent="0.2">
      <c r="A56" s="34" t="s">
        <v>343</v>
      </c>
      <c r="B56" s="78" t="s">
        <v>190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</row>
    <row r="57" spans="1:20" s="7" customFormat="1" ht="15.95" customHeight="1" x14ac:dyDescent="0.2">
      <c r="A57" s="34"/>
      <c r="B57" s="50" t="s">
        <v>77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</row>
    <row r="58" spans="1:20" s="7" customFormat="1" ht="45" customHeight="1" x14ac:dyDescent="0.2">
      <c r="A58" s="34"/>
      <c r="B58" s="80" t="s">
        <v>352</v>
      </c>
      <c r="C58" s="80"/>
      <c r="D58" s="80"/>
      <c r="E58" s="80"/>
      <c r="F58" s="80"/>
      <c r="G58" s="80"/>
      <c r="H58" s="80"/>
      <c r="I58" s="48" t="s">
        <v>23</v>
      </c>
      <c r="J58" s="48" t="s">
        <v>43</v>
      </c>
      <c r="K58" s="48" t="s">
        <v>35</v>
      </c>
      <c r="L58" s="48" t="s">
        <v>233</v>
      </c>
      <c r="M58" s="48" t="s">
        <v>805</v>
      </c>
      <c r="N58" s="48" t="s">
        <v>190</v>
      </c>
      <c r="O58" s="48" t="s">
        <v>805</v>
      </c>
      <c r="P58" s="38" t="s">
        <v>243</v>
      </c>
      <c r="Q58" s="48" t="s">
        <v>29</v>
      </c>
      <c r="R58" s="48" t="s">
        <v>252</v>
      </c>
      <c r="S58" s="48" t="s">
        <v>30</v>
      </c>
      <c r="T58" s="55"/>
    </row>
    <row r="59" spans="1:20" s="7" customFormat="1" ht="15.95" customHeight="1" x14ac:dyDescent="0.2">
      <c r="A59" s="34"/>
      <c r="B59" s="25" t="s">
        <v>5</v>
      </c>
      <c r="C59" s="2">
        <f>D59+E59+F59+G59+H59</f>
        <v>68600</v>
      </c>
      <c r="D59" s="1">
        <f t="shared" ref="D59:H59" si="7">SUM(D60:D63)</f>
        <v>0</v>
      </c>
      <c r="E59" s="1">
        <f t="shared" si="7"/>
        <v>68600</v>
      </c>
      <c r="F59" s="1">
        <f t="shared" si="7"/>
        <v>0</v>
      </c>
      <c r="G59" s="1">
        <f t="shared" si="7"/>
        <v>0</v>
      </c>
      <c r="H59" s="1">
        <f t="shared" si="7"/>
        <v>0</v>
      </c>
      <c r="I59" s="48"/>
      <c r="J59" s="48"/>
      <c r="K59" s="48"/>
      <c r="L59" s="48"/>
      <c r="M59" s="48"/>
      <c r="N59" s="48"/>
      <c r="O59" s="48"/>
      <c r="P59" s="38"/>
      <c r="Q59" s="48"/>
      <c r="R59" s="48"/>
      <c r="S59" s="48"/>
      <c r="T59" s="55"/>
    </row>
    <row r="60" spans="1:20" s="7" customFormat="1" ht="15.95" customHeight="1" x14ac:dyDescent="0.2">
      <c r="A60" s="34"/>
      <c r="B60" s="25" t="s">
        <v>0</v>
      </c>
      <c r="C60" s="2">
        <f>D60+E60+F60+G60+H60</f>
        <v>67054.699269999997</v>
      </c>
      <c r="D60" s="1"/>
      <c r="E60" s="1">
        <v>67054.699269999997</v>
      </c>
      <c r="F60" s="1"/>
      <c r="G60" s="1"/>
      <c r="H60" s="1"/>
      <c r="I60" s="48"/>
      <c r="J60" s="48"/>
      <c r="K60" s="48"/>
      <c r="L60" s="48"/>
      <c r="M60" s="48"/>
      <c r="N60" s="48"/>
      <c r="O60" s="48"/>
      <c r="P60" s="38"/>
      <c r="Q60" s="48"/>
      <c r="R60" s="48"/>
      <c r="S60" s="48"/>
      <c r="T60" s="55"/>
    </row>
    <row r="61" spans="1:20" s="7" customFormat="1" ht="15.95" customHeight="1" x14ac:dyDescent="0.2">
      <c r="A61" s="34"/>
      <c r="B61" s="25" t="s">
        <v>1</v>
      </c>
      <c r="C61" s="2">
        <f>D61+E61+F61+G61+H61</f>
        <v>1545.3007299999999</v>
      </c>
      <c r="D61" s="1"/>
      <c r="E61" s="1">
        <v>1545.3007299999999</v>
      </c>
      <c r="F61" s="1"/>
      <c r="G61" s="1"/>
      <c r="H61" s="1"/>
      <c r="I61" s="48"/>
      <c r="J61" s="48"/>
      <c r="K61" s="48"/>
      <c r="L61" s="48"/>
      <c r="M61" s="48"/>
      <c r="N61" s="48"/>
      <c r="O61" s="48"/>
      <c r="P61" s="38"/>
      <c r="Q61" s="48"/>
      <c r="R61" s="48"/>
      <c r="S61" s="48"/>
      <c r="T61" s="55"/>
    </row>
    <row r="62" spans="1:20" s="7" customFormat="1" ht="15.95" customHeight="1" x14ac:dyDescent="0.2">
      <c r="A62" s="34"/>
      <c r="B62" s="25" t="s">
        <v>2</v>
      </c>
      <c r="C62" s="2">
        <f>D62+E62+F62+G62+H62</f>
        <v>0</v>
      </c>
      <c r="D62" s="1"/>
      <c r="E62" s="1"/>
      <c r="F62" s="1"/>
      <c r="G62" s="1"/>
      <c r="H62" s="1"/>
      <c r="I62" s="48"/>
      <c r="J62" s="48"/>
      <c r="K62" s="48"/>
      <c r="L62" s="48"/>
      <c r="M62" s="48"/>
      <c r="N62" s="48"/>
      <c r="O62" s="48"/>
      <c r="P62" s="38"/>
      <c r="Q62" s="48"/>
      <c r="R62" s="48"/>
      <c r="S62" s="48"/>
      <c r="T62" s="55"/>
    </row>
    <row r="63" spans="1:20" s="7" customFormat="1" ht="15.95" customHeight="1" x14ac:dyDescent="0.2">
      <c r="A63" s="34"/>
      <c r="B63" s="25" t="s">
        <v>3</v>
      </c>
      <c r="C63" s="2">
        <f>D63+E63+F63+G63+H63</f>
        <v>0</v>
      </c>
      <c r="D63" s="1"/>
      <c r="E63" s="1"/>
      <c r="F63" s="1"/>
      <c r="G63" s="1"/>
      <c r="H63" s="1"/>
      <c r="I63" s="48"/>
      <c r="J63" s="48"/>
      <c r="K63" s="48"/>
      <c r="L63" s="48"/>
      <c r="M63" s="48"/>
      <c r="N63" s="48"/>
      <c r="O63" s="48"/>
      <c r="P63" s="38"/>
      <c r="Q63" s="48"/>
      <c r="R63" s="48"/>
      <c r="S63" s="48"/>
      <c r="T63" s="55"/>
    </row>
    <row r="64" spans="1:20" ht="15.95" customHeight="1" x14ac:dyDescent="0.2">
      <c r="A64" s="34" t="s">
        <v>217</v>
      </c>
      <c r="B64" s="78" t="s">
        <v>190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9"/>
    </row>
    <row r="65" spans="1:20" ht="15.95" customHeight="1" x14ac:dyDescent="0.2">
      <c r="A65" s="34"/>
      <c r="B65" s="50" t="s">
        <v>77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1"/>
    </row>
    <row r="66" spans="1:20" ht="45" customHeight="1" x14ac:dyDescent="0.2">
      <c r="A66" s="34"/>
      <c r="B66" s="80" t="s">
        <v>320</v>
      </c>
      <c r="C66" s="80"/>
      <c r="D66" s="80"/>
      <c r="E66" s="80"/>
      <c r="F66" s="80"/>
      <c r="G66" s="80"/>
      <c r="H66" s="80"/>
      <c r="I66" s="48" t="s">
        <v>23</v>
      </c>
      <c r="J66" s="48"/>
      <c r="K66" s="48" t="s">
        <v>35</v>
      </c>
      <c r="L66" s="48" t="s">
        <v>245</v>
      </c>
      <c r="M66" s="48" t="s">
        <v>804</v>
      </c>
      <c r="N66" s="48" t="s">
        <v>190</v>
      </c>
      <c r="O66" s="48" t="s">
        <v>804</v>
      </c>
      <c r="P66" s="38" t="s">
        <v>246</v>
      </c>
      <c r="Q66" s="48" t="s">
        <v>29</v>
      </c>
      <c r="R66" s="48" t="s">
        <v>247</v>
      </c>
      <c r="S66" s="48" t="s">
        <v>30</v>
      </c>
      <c r="T66" s="55" t="s">
        <v>248</v>
      </c>
    </row>
    <row r="67" spans="1:20" ht="15.95" customHeight="1" x14ac:dyDescent="0.2">
      <c r="A67" s="34"/>
      <c r="B67" s="25" t="s">
        <v>5</v>
      </c>
      <c r="C67" s="2">
        <f>D67+E67+F67+G67+H67</f>
        <v>145230.28266999999</v>
      </c>
      <c r="D67" s="1">
        <f t="shared" ref="D67:H67" si="8">SUM(D68:D71)</f>
        <v>75383.262669999996</v>
      </c>
      <c r="E67" s="1">
        <f t="shared" si="8"/>
        <v>69847.02</v>
      </c>
      <c r="F67" s="1">
        <f t="shared" si="8"/>
        <v>0</v>
      </c>
      <c r="G67" s="1">
        <f t="shared" si="8"/>
        <v>0</v>
      </c>
      <c r="H67" s="1">
        <f t="shared" si="8"/>
        <v>0</v>
      </c>
      <c r="I67" s="48"/>
      <c r="J67" s="48"/>
      <c r="K67" s="48"/>
      <c r="L67" s="48"/>
      <c r="M67" s="48"/>
      <c r="N67" s="48"/>
      <c r="O67" s="48"/>
      <c r="P67" s="38"/>
      <c r="Q67" s="48"/>
      <c r="R67" s="48"/>
      <c r="S67" s="48"/>
      <c r="T67" s="55"/>
    </row>
    <row r="68" spans="1:20" ht="15.95" customHeight="1" x14ac:dyDescent="0.2">
      <c r="A68" s="34"/>
      <c r="B68" s="25" t="s">
        <v>0</v>
      </c>
      <c r="C68" s="2">
        <f>D68+E68+F68+G68+H68</f>
        <v>69482.023669999995</v>
      </c>
      <c r="D68" s="1">
        <v>69482.023669999995</v>
      </c>
      <c r="E68" s="1"/>
      <c r="F68" s="1"/>
      <c r="G68" s="1"/>
      <c r="H68" s="1"/>
      <c r="I68" s="48"/>
      <c r="J68" s="48"/>
      <c r="K68" s="48"/>
      <c r="L68" s="48"/>
      <c r="M68" s="48"/>
      <c r="N68" s="48"/>
      <c r="O68" s="48"/>
      <c r="P68" s="38"/>
      <c r="Q68" s="48"/>
      <c r="R68" s="48"/>
      <c r="S68" s="48"/>
      <c r="T68" s="55"/>
    </row>
    <row r="69" spans="1:20" ht="15.95" customHeight="1" x14ac:dyDescent="0.2">
      <c r="A69" s="34"/>
      <c r="B69" s="25" t="s">
        <v>1</v>
      </c>
      <c r="C69" s="2">
        <f>D69+E69+F69+G69+H69</f>
        <v>75748.259000000005</v>
      </c>
      <c r="D69" s="1">
        <v>5901.2389999999996</v>
      </c>
      <c r="E69" s="1">
        <f>0+69847.02</f>
        <v>69847.02</v>
      </c>
      <c r="F69" s="1"/>
      <c r="G69" s="1"/>
      <c r="H69" s="1"/>
      <c r="I69" s="48"/>
      <c r="J69" s="48"/>
      <c r="K69" s="48"/>
      <c r="L69" s="48"/>
      <c r="M69" s="48"/>
      <c r="N69" s="48"/>
      <c r="O69" s="48"/>
      <c r="P69" s="38"/>
      <c r="Q69" s="48"/>
      <c r="R69" s="48"/>
      <c r="S69" s="48"/>
      <c r="T69" s="55"/>
    </row>
    <row r="70" spans="1:20" ht="15.95" customHeight="1" x14ac:dyDescent="0.2">
      <c r="A70" s="34"/>
      <c r="B70" s="25" t="s">
        <v>2</v>
      </c>
      <c r="C70" s="2">
        <f>D70+E70+F70+G70+H70</f>
        <v>0</v>
      </c>
      <c r="D70" s="1"/>
      <c r="E70" s="1"/>
      <c r="F70" s="1"/>
      <c r="G70" s="1"/>
      <c r="H70" s="1"/>
      <c r="I70" s="48"/>
      <c r="J70" s="48"/>
      <c r="K70" s="48"/>
      <c r="L70" s="48"/>
      <c r="M70" s="48"/>
      <c r="N70" s="48"/>
      <c r="O70" s="48"/>
      <c r="P70" s="38"/>
      <c r="Q70" s="48"/>
      <c r="R70" s="48"/>
      <c r="S70" s="48"/>
      <c r="T70" s="55"/>
    </row>
    <row r="71" spans="1:20" ht="15.95" customHeight="1" x14ac:dyDescent="0.2">
      <c r="A71" s="34"/>
      <c r="B71" s="25" t="s">
        <v>3</v>
      </c>
      <c r="C71" s="2">
        <f>D71+E71+F71+G71+H71</f>
        <v>0</v>
      </c>
      <c r="D71" s="1"/>
      <c r="E71" s="1"/>
      <c r="F71" s="1"/>
      <c r="G71" s="1"/>
      <c r="H71" s="1"/>
      <c r="I71" s="48"/>
      <c r="J71" s="48"/>
      <c r="K71" s="48"/>
      <c r="L71" s="48"/>
      <c r="M71" s="48"/>
      <c r="N71" s="48"/>
      <c r="O71" s="48"/>
      <c r="P71" s="38"/>
      <c r="Q71" s="48"/>
      <c r="R71" s="48"/>
      <c r="S71" s="48"/>
      <c r="T71" s="55"/>
    </row>
    <row r="72" spans="1:20" ht="15.95" customHeight="1" x14ac:dyDescent="0.2">
      <c r="A72" s="34" t="s">
        <v>322</v>
      </c>
      <c r="B72" s="78" t="s">
        <v>190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9"/>
    </row>
    <row r="73" spans="1:20" ht="15.95" customHeight="1" x14ac:dyDescent="0.2">
      <c r="A73" s="34"/>
      <c r="B73" s="50" t="s">
        <v>77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/>
    </row>
    <row r="74" spans="1:20" ht="45" customHeight="1" x14ac:dyDescent="0.2">
      <c r="A74" s="34"/>
      <c r="B74" s="80" t="s">
        <v>351</v>
      </c>
      <c r="C74" s="80"/>
      <c r="D74" s="80"/>
      <c r="E74" s="80"/>
      <c r="F74" s="80"/>
      <c r="G74" s="80"/>
      <c r="H74" s="80"/>
      <c r="I74" s="48" t="s">
        <v>23</v>
      </c>
      <c r="J74" s="48" t="s">
        <v>249</v>
      </c>
      <c r="K74" s="48" t="s">
        <v>35</v>
      </c>
      <c r="L74" s="48" t="s">
        <v>214</v>
      </c>
      <c r="M74" s="48" t="s">
        <v>805</v>
      </c>
      <c r="N74" s="48" t="s">
        <v>190</v>
      </c>
      <c r="O74" s="48" t="s">
        <v>805</v>
      </c>
      <c r="P74" s="38" t="s">
        <v>250</v>
      </c>
      <c r="Q74" s="48" t="s">
        <v>29</v>
      </c>
      <c r="R74" s="48" t="s">
        <v>252</v>
      </c>
      <c r="S74" s="48" t="s">
        <v>30</v>
      </c>
      <c r="T74" s="55"/>
    </row>
    <row r="75" spans="1:20" ht="15.95" customHeight="1" x14ac:dyDescent="0.2">
      <c r="A75" s="34"/>
      <c r="B75" s="25" t="s">
        <v>5</v>
      </c>
      <c r="C75" s="2">
        <f>D75+E75+F75+G75+H75</f>
        <v>68600</v>
      </c>
      <c r="D75" s="1">
        <f t="shared" ref="D75:H75" si="9">SUM(D76:D79)</f>
        <v>0</v>
      </c>
      <c r="E75" s="1">
        <f t="shared" si="9"/>
        <v>68600</v>
      </c>
      <c r="F75" s="1">
        <f t="shared" si="9"/>
        <v>0</v>
      </c>
      <c r="G75" s="1">
        <f t="shared" si="9"/>
        <v>0</v>
      </c>
      <c r="H75" s="1">
        <f t="shared" si="9"/>
        <v>0</v>
      </c>
      <c r="I75" s="48"/>
      <c r="J75" s="48"/>
      <c r="K75" s="48"/>
      <c r="L75" s="48"/>
      <c r="M75" s="48"/>
      <c r="N75" s="48"/>
      <c r="O75" s="48"/>
      <c r="P75" s="38"/>
      <c r="Q75" s="48"/>
      <c r="R75" s="48"/>
      <c r="S75" s="48"/>
      <c r="T75" s="55"/>
    </row>
    <row r="76" spans="1:20" ht="15.95" customHeight="1" x14ac:dyDescent="0.2">
      <c r="A76" s="34"/>
      <c r="B76" s="25" t="s">
        <v>0</v>
      </c>
      <c r="C76" s="2">
        <f>D76+E76+F76+G76+H76</f>
        <v>67054.699269999997</v>
      </c>
      <c r="D76" s="1"/>
      <c r="E76" s="1">
        <v>67054.699269999997</v>
      </c>
      <c r="F76" s="1"/>
      <c r="G76" s="1"/>
      <c r="H76" s="1"/>
      <c r="I76" s="48"/>
      <c r="J76" s="48"/>
      <c r="K76" s="48"/>
      <c r="L76" s="48"/>
      <c r="M76" s="48"/>
      <c r="N76" s="48"/>
      <c r="O76" s="48"/>
      <c r="P76" s="38"/>
      <c r="Q76" s="48"/>
      <c r="R76" s="48"/>
      <c r="S76" s="48"/>
      <c r="T76" s="55"/>
    </row>
    <row r="77" spans="1:20" ht="15.95" customHeight="1" x14ac:dyDescent="0.2">
      <c r="A77" s="34"/>
      <c r="B77" s="25" t="s">
        <v>1</v>
      </c>
      <c r="C77" s="2">
        <f>D77+E77+F77+G77+H77</f>
        <v>1545.3007299999999</v>
      </c>
      <c r="D77" s="1"/>
      <c r="E77" s="1">
        <v>1545.3007299999999</v>
      </c>
      <c r="F77" s="1"/>
      <c r="G77" s="1"/>
      <c r="H77" s="1"/>
      <c r="I77" s="48"/>
      <c r="J77" s="48"/>
      <c r="K77" s="48"/>
      <c r="L77" s="48"/>
      <c r="M77" s="48"/>
      <c r="N77" s="48"/>
      <c r="O77" s="48"/>
      <c r="P77" s="38"/>
      <c r="Q77" s="48"/>
      <c r="R77" s="48"/>
      <c r="S77" s="48"/>
      <c r="T77" s="55"/>
    </row>
    <row r="78" spans="1:20" ht="15.95" customHeight="1" x14ac:dyDescent="0.2">
      <c r="A78" s="34"/>
      <c r="B78" s="25" t="s">
        <v>2</v>
      </c>
      <c r="C78" s="2">
        <f>D78+E78+F78+G78+H78</f>
        <v>0</v>
      </c>
      <c r="D78" s="1"/>
      <c r="E78" s="1"/>
      <c r="F78" s="1"/>
      <c r="G78" s="1"/>
      <c r="H78" s="1"/>
      <c r="I78" s="48"/>
      <c r="J78" s="48"/>
      <c r="K78" s="48"/>
      <c r="L78" s="48"/>
      <c r="M78" s="48"/>
      <c r="N78" s="48"/>
      <c r="O78" s="48"/>
      <c r="P78" s="38"/>
      <c r="Q78" s="48"/>
      <c r="R78" s="48"/>
      <c r="S78" s="48"/>
      <c r="T78" s="55"/>
    </row>
    <row r="79" spans="1:20" ht="15.95" customHeight="1" x14ac:dyDescent="0.2">
      <c r="A79" s="34"/>
      <c r="B79" s="25" t="s">
        <v>3</v>
      </c>
      <c r="C79" s="2">
        <f>D79+E79+F79+G79+H79</f>
        <v>0</v>
      </c>
      <c r="D79" s="1"/>
      <c r="E79" s="1"/>
      <c r="F79" s="1"/>
      <c r="G79" s="1"/>
      <c r="H79" s="1"/>
      <c r="I79" s="48"/>
      <c r="J79" s="48"/>
      <c r="K79" s="48"/>
      <c r="L79" s="48"/>
      <c r="M79" s="48"/>
      <c r="N79" s="48"/>
      <c r="O79" s="48"/>
      <c r="P79" s="38"/>
      <c r="Q79" s="48"/>
      <c r="R79" s="48"/>
      <c r="S79" s="48"/>
      <c r="T79" s="55"/>
    </row>
    <row r="80" spans="1:20" ht="15.95" customHeight="1" x14ac:dyDescent="0.2">
      <c r="A80" s="34" t="s">
        <v>323</v>
      </c>
      <c r="B80" s="78" t="s">
        <v>190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9"/>
    </row>
    <row r="81" spans="1:20" ht="15.95" customHeight="1" x14ac:dyDescent="0.2">
      <c r="A81" s="34"/>
      <c r="B81" s="50" t="s">
        <v>77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1"/>
    </row>
    <row r="82" spans="1:20" ht="45" customHeight="1" x14ac:dyDescent="0.2">
      <c r="A82" s="34"/>
      <c r="B82" s="80" t="s">
        <v>349</v>
      </c>
      <c r="C82" s="80"/>
      <c r="D82" s="80"/>
      <c r="E82" s="80"/>
      <c r="F82" s="80"/>
      <c r="G82" s="80"/>
      <c r="H82" s="80"/>
      <c r="I82" s="48" t="s">
        <v>23</v>
      </c>
      <c r="J82" s="48" t="s">
        <v>251</v>
      </c>
      <c r="K82" s="48" t="s">
        <v>35</v>
      </c>
      <c r="L82" s="48" t="s">
        <v>215</v>
      </c>
      <c r="M82" s="48" t="s">
        <v>805</v>
      </c>
      <c r="N82" s="48" t="s">
        <v>190</v>
      </c>
      <c r="O82" s="48" t="s">
        <v>805</v>
      </c>
      <c r="P82" s="38" t="s">
        <v>253</v>
      </c>
      <c r="Q82" s="48" t="s">
        <v>29</v>
      </c>
      <c r="R82" s="48" t="s">
        <v>210</v>
      </c>
      <c r="S82" s="48" t="s">
        <v>30</v>
      </c>
      <c r="T82" s="55"/>
    </row>
    <row r="83" spans="1:20" ht="15.95" customHeight="1" x14ac:dyDescent="0.2">
      <c r="A83" s="34"/>
      <c r="B83" s="25" t="s">
        <v>5</v>
      </c>
      <c r="C83" s="2">
        <f>D83+E83+F83+G83+H83</f>
        <v>43809.433260000005</v>
      </c>
      <c r="D83" s="1">
        <f t="shared" ref="D83:H83" si="10">SUM(D84:D87)</f>
        <v>43809.433260000005</v>
      </c>
      <c r="E83" s="1">
        <f t="shared" si="10"/>
        <v>0</v>
      </c>
      <c r="F83" s="1">
        <f t="shared" si="10"/>
        <v>0</v>
      </c>
      <c r="G83" s="1">
        <f t="shared" si="10"/>
        <v>0</v>
      </c>
      <c r="H83" s="1">
        <f t="shared" si="10"/>
        <v>0</v>
      </c>
      <c r="I83" s="48"/>
      <c r="J83" s="48"/>
      <c r="K83" s="48"/>
      <c r="L83" s="48"/>
      <c r="M83" s="48"/>
      <c r="N83" s="48"/>
      <c r="O83" s="48"/>
      <c r="P83" s="38"/>
      <c r="Q83" s="48"/>
      <c r="R83" s="48"/>
      <c r="S83" s="48"/>
      <c r="T83" s="55"/>
    </row>
    <row r="84" spans="1:20" ht="15.95" customHeight="1" x14ac:dyDescent="0.2">
      <c r="A84" s="34"/>
      <c r="B84" s="25" t="s">
        <v>0</v>
      </c>
      <c r="C84" s="2">
        <f>D84+E84+F84+G84+H84</f>
        <v>14662.10626</v>
      </c>
      <c r="D84" s="1">
        <v>14662.10626</v>
      </c>
      <c r="E84" s="1"/>
      <c r="F84" s="1"/>
      <c r="G84" s="1"/>
      <c r="H84" s="1"/>
      <c r="I84" s="48"/>
      <c r="J84" s="48"/>
      <c r="K84" s="48"/>
      <c r="L84" s="48"/>
      <c r="M84" s="48"/>
      <c r="N84" s="48"/>
      <c r="O84" s="48"/>
      <c r="P84" s="38"/>
      <c r="Q84" s="48"/>
      <c r="R84" s="48"/>
      <c r="S84" s="48"/>
      <c r="T84" s="55"/>
    </row>
    <row r="85" spans="1:20" ht="15.95" customHeight="1" x14ac:dyDescent="0.2">
      <c r="A85" s="34"/>
      <c r="B85" s="25" t="s">
        <v>1</v>
      </c>
      <c r="C85" s="2">
        <f>D85+E85+F85+G85+H85</f>
        <v>29147.327000000001</v>
      </c>
      <c r="D85" s="1">
        <v>29147.327000000001</v>
      </c>
      <c r="E85" s="1"/>
      <c r="F85" s="1"/>
      <c r="G85" s="1"/>
      <c r="H85" s="1"/>
      <c r="I85" s="48"/>
      <c r="J85" s="48"/>
      <c r="K85" s="48"/>
      <c r="L85" s="48"/>
      <c r="M85" s="48"/>
      <c r="N85" s="48"/>
      <c r="O85" s="48"/>
      <c r="P85" s="38"/>
      <c r="Q85" s="48"/>
      <c r="R85" s="48"/>
      <c r="S85" s="48"/>
      <c r="T85" s="55"/>
    </row>
    <row r="86" spans="1:20" ht="15.95" customHeight="1" x14ac:dyDescent="0.2">
      <c r="A86" s="34"/>
      <c r="B86" s="25" t="s">
        <v>2</v>
      </c>
      <c r="C86" s="2">
        <f>D86+E86+F86+G86+H86</f>
        <v>0</v>
      </c>
      <c r="D86" s="1"/>
      <c r="E86" s="1"/>
      <c r="F86" s="1"/>
      <c r="G86" s="1"/>
      <c r="H86" s="1"/>
      <c r="I86" s="48"/>
      <c r="J86" s="48"/>
      <c r="K86" s="48"/>
      <c r="L86" s="48"/>
      <c r="M86" s="48"/>
      <c r="N86" s="48"/>
      <c r="O86" s="48"/>
      <c r="P86" s="38"/>
      <c r="Q86" s="48"/>
      <c r="R86" s="48"/>
      <c r="S86" s="48"/>
      <c r="T86" s="55"/>
    </row>
    <row r="87" spans="1:20" ht="15.95" customHeight="1" x14ac:dyDescent="0.2">
      <c r="A87" s="34"/>
      <c r="B87" s="25" t="s">
        <v>3</v>
      </c>
      <c r="C87" s="2">
        <f>D87+E87+F87+G87+H87</f>
        <v>0</v>
      </c>
      <c r="D87" s="1"/>
      <c r="E87" s="1"/>
      <c r="F87" s="1"/>
      <c r="G87" s="1"/>
      <c r="H87" s="1"/>
      <c r="I87" s="48"/>
      <c r="J87" s="48"/>
      <c r="K87" s="48"/>
      <c r="L87" s="48"/>
      <c r="M87" s="48"/>
      <c r="N87" s="48"/>
      <c r="O87" s="48"/>
      <c r="P87" s="38"/>
      <c r="Q87" s="48"/>
      <c r="R87" s="48"/>
      <c r="S87" s="48"/>
      <c r="T87" s="55"/>
    </row>
    <row r="88" spans="1:20" ht="15.95" customHeight="1" x14ac:dyDescent="0.2">
      <c r="A88" s="34" t="s">
        <v>324</v>
      </c>
      <c r="B88" s="78" t="s">
        <v>190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</row>
    <row r="89" spans="1:20" ht="15.95" customHeight="1" x14ac:dyDescent="0.2">
      <c r="A89" s="34"/>
      <c r="B89" s="50" t="s">
        <v>77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1"/>
    </row>
    <row r="90" spans="1:20" ht="45" customHeight="1" x14ac:dyDescent="0.2">
      <c r="A90" s="34"/>
      <c r="B90" s="80" t="s">
        <v>350</v>
      </c>
      <c r="C90" s="80"/>
      <c r="D90" s="80"/>
      <c r="E90" s="80"/>
      <c r="F90" s="80"/>
      <c r="G90" s="80"/>
      <c r="H90" s="80"/>
      <c r="I90" s="48" t="s">
        <v>23</v>
      </c>
      <c r="J90" s="48" t="s">
        <v>208</v>
      </c>
      <c r="K90" s="48" t="s">
        <v>35</v>
      </c>
      <c r="L90" s="48" t="s">
        <v>209</v>
      </c>
      <c r="M90" s="48" t="s">
        <v>805</v>
      </c>
      <c r="N90" s="48" t="s">
        <v>190</v>
      </c>
      <c r="O90" s="48" t="s">
        <v>805</v>
      </c>
      <c r="P90" s="38" t="s">
        <v>373</v>
      </c>
      <c r="Q90" s="48" t="s">
        <v>29</v>
      </c>
      <c r="R90" s="48" t="s">
        <v>210</v>
      </c>
      <c r="S90" s="48" t="s">
        <v>30</v>
      </c>
      <c r="T90" s="55"/>
    </row>
    <row r="91" spans="1:20" ht="15.95" customHeight="1" x14ac:dyDescent="0.2">
      <c r="A91" s="34"/>
      <c r="B91" s="25" t="s">
        <v>5</v>
      </c>
      <c r="C91" s="2">
        <f>D91+E91+F91+G91+H91</f>
        <v>149833.62927999999</v>
      </c>
      <c r="D91" s="1">
        <f t="shared" ref="D91:H91" si="11">SUM(D92:D95)</f>
        <v>48184.25</v>
      </c>
      <c r="E91" s="1">
        <f t="shared" si="11"/>
        <v>101649.37927999999</v>
      </c>
      <c r="F91" s="1">
        <f t="shared" si="11"/>
        <v>0</v>
      </c>
      <c r="G91" s="1">
        <f t="shared" si="11"/>
        <v>0</v>
      </c>
      <c r="H91" s="1">
        <f t="shared" si="11"/>
        <v>0</v>
      </c>
      <c r="I91" s="48"/>
      <c r="J91" s="48"/>
      <c r="K91" s="48"/>
      <c r="L91" s="48"/>
      <c r="M91" s="48"/>
      <c r="N91" s="48"/>
      <c r="O91" s="48"/>
      <c r="P91" s="38"/>
      <c r="Q91" s="48"/>
      <c r="R91" s="48"/>
      <c r="S91" s="48"/>
      <c r="T91" s="55"/>
    </row>
    <row r="92" spans="1:20" ht="15.95" customHeight="1" x14ac:dyDescent="0.2">
      <c r="A92" s="34"/>
      <c r="B92" s="25" t="s">
        <v>0</v>
      </c>
      <c r="C92" s="2">
        <f>D92+E92+F92+G92+H92</f>
        <v>67054.699280000001</v>
      </c>
      <c r="D92" s="1"/>
      <c r="E92" s="1">
        <v>67054.699280000001</v>
      </c>
      <c r="F92" s="1"/>
      <c r="G92" s="1"/>
      <c r="H92" s="1"/>
      <c r="I92" s="48"/>
      <c r="J92" s="48"/>
      <c r="K92" s="48"/>
      <c r="L92" s="48"/>
      <c r="M92" s="48"/>
      <c r="N92" s="48"/>
      <c r="O92" s="48"/>
      <c r="P92" s="38"/>
      <c r="Q92" s="48"/>
      <c r="R92" s="48"/>
      <c r="S92" s="48"/>
      <c r="T92" s="55"/>
    </row>
    <row r="93" spans="1:20" ht="15.95" customHeight="1" x14ac:dyDescent="0.2">
      <c r="A93" s="34"/>
      <c r="B93" s="25" t="s">
        <v>1</v>
      </c>
      <c r="C93" s="2">
        <f>D93+E93+F93+G93+H93</f>
        <v>82778.929999999993</v>
      </c>
      <c r="D93" s="1">
        <f>14842.8+36341.45-3000</f>
        <v>48184.25</v>
      </c>
      <c r="E93" s="1">
        <f>25545.3+9049.38</f>
        <v>34594.68</v>
      </c>
      <c r="F93" s="1"/>
      <c r="G93" s="1"/>
      <c r="H93" s="1"/>
      <c r="I93" s="48"/>
      <c r="J93" s="48"/>
      <c r="K93" s="48"/>
      <c r="L93" s="48"/>
      <c r="M93" s="48"/>
      <c r="N93" s="48"/>
      <c r="O93" s="48"/>
      <c r="P93" s="38"/>
      <c r="Q93" s="48"/>
      <c r="R93" s="48"/>
      <c r="S93" s="48"/>
      <c r="T93" s="55"/>
    </row>
    <row r="94" spans="1:20" ht="15.95" customHeight="1" x14ac:dyDescent="0.2">
      <c r="A94" s="34"/>
      <c r="B94" s="25" t="s">
        <v>2</v>
      </c>
      <c r="C94" s="2">
        <f>D94+E94+F94+G94+H94</f>
        <v>0</v>
      </c>
      <c r="D94" s="1"/>
      <c r="E94" s="1"/>
      <c r="F94" s="1"/>
      <c r="G94" s="1"/>
      <c r="H94" s="1"/>
      <c r="I94" s="48"/>
      <c r="J94" s="48"/>
      <c r="K94" s="48"/>
      <c r="L94" s="48"/>
      <c r="M94" s="48"/>
      <c r="N94" s="48"/>
      <c r="O94" s="48"/>
      <c r="P94" s="38"/>
      <c r="Q94" s="48"/>
      <c r="R94" s="48"/>
      <c r="S94" s="48"/>
      <c r="T94" s="55"/>
    </row>
    <row r="95" spans="1:20" ht="15.95" customHeight="1" x14ac:dyDescent="0.2">
      <c r="A95" s="34"/>
      <c r="B95" s="25" t="s">
        <v>3</v>
      </c>
      <c r="C95" s="2">
        <f>D95+E95+F95+G95+H95</f>
        <v>0</v>
      </c>
      <c r="D95" s="1"/>
      <c r="E95" s="1"/>
      <c r="F95" s="1"/>
      <c r="G95" s="1"/>
      <c r="H95" s="1"/>
      <c r="I95" s="48"/>
      <c r="J95" s="48"/>
      <c r="K95" s="48"/>
      <c r="L95" s="48"/>
      <c r="M95" s="48"/>
      <c r="N95" s="48"/>
      <c r="O95" s="48"/>
      <c r="P95" s="38"/>
      <c r="Q95" s="48"/>
      <c r="R95" s="48"/>
      <c r="S95" s="48"/>
      <c r="T95" s="55"/>
    </row>
    <row r="96" spans="1:20" ht="15.95" customHeight="1" x14ac:dyDescent="0.2">
      <c r="A96" s="34" t="s">
        <v>325</v>
      </c>
      <c r="B96" s="78" t="s">
        <v>190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9"/>
    </row>
    <row r="97" spans="1:20" ht="15.95" customHeight="1" x14ac:dyDescent="0.2">
      <c r="A97" s="34"/>
      <c r="B97" s="50" t="s">
        <v>77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1"/>
    </row>
    <row r="98" spans="1:20" ht="45" customHeight="1" x14ac:dyDescent="0.2">
      <c r="A98" s="34"/>
      <c r="B98" s="80" t="s">
        <v>346</v>
      </c>
      <c r="C98" s="80"/>
      <c r="D98" s="80"/>
      <c r="E98" s="80"/>
      <c r="F98" s="80"/>
      <c r="G98" s="80"/>
      <c r="H98" s="80"/>
      <c r="I98" s="48" t="s">
        <v>42</v>
      </c>
      <c r="J98" s="48"/>
      <c r="K98" s="48" t="s">
        <v>35</v>
      </c>
      <c r="L98" s="48" t="s">
        <v>211</v>
      </c>
      <c r="M98" s="48" t="s">
        <v>804</v>
      </c>
      <c r="N98" s="48" t="s">
        <v>190</v>
      </c>
      <c r="O98" s="48" t="s">
        <v>804</v>
      </c>
      <c r="P98" s="38" t="s">
        <v>373</v>
      </c>
      <c r="Q98" s="48" t="s">
        <v>29</v>
      </c>
      <c r="R98" s="48" t="s">
        <v>318</v>
      </c>
      <c r="S98" s="48" t="s">
        <v>30</v>
      </c>
      <c r="T98" s="55"/>
    </row>
    <row r="99" spans="1:20" ht="15.95" customHeight="1" x14ac:dyDescent="0.2">
      <c r="A99" s="34"/>
      <c r="B99" s="25" t="s">
        <v>5</v>
      </c>
      <c r="C99" s="2">
        <f>D99+E99+F99+G99+H99</f>
        <v>535221.75144000002</v>
      </c>
      <c r="D99" s="1">
        <f t="shared" ref="D99:H99" si="12">SUM(D100:D103)</f>
        <v>60999.656760000005</v>
      </c>
      <c r="E99" s="1">
        <f t="shared" si="12"/>
        <v>103521.60987</v>
      </c>
      <c r="F99" s="1">
        <f t="shared" si="12"/>
        <v>142877.49781000003</v>
      </c>
      <c r="G99" s="1">
        <f t="shared" si="12"/>
        <v>227822.98700000002</v>
      </c>
      <c r="H99" s="1">
        <f t="shared" si="12"/>
        <v>0</v>
      </c>
      <c r="I99" s="48"/>
      <c r="J99" s="48"/>
      <c r="K99" s="48"/>
      <c r="L99" s="48"/>
      <c r="M99" s="48"/>
      <c r="N99" s="48"/>
      <c r="O99" s="48"/>
      <c r="P99" s="38"/>
      <c r="Q99" s="48"/>
      <c r="R99" s="48"/>
      <c r="S99" s="48"/>
      <c r="T99" s="55"/>
    </row>
    <row r="100" spans="1:20" ht="15.95" customHeight="1" x14ac:dyDescent="0.2">
      <c r="A100" s="34"/>
      <c r="B100" s="25" t="s">
        <v>0</v>
      </c>
      <c r="C100" s="2">
        <f>D100+E100+F100+G100+H100</f>
        <v>352447.27544</v>
      </c>
      <c r="D100" s="1">
        <v>42999.656759999998</v>
      </c>
      <c r="E100" s="1">
        <v>57983.742870000002</v>
      </c>
      <c r="F100" s="1">
        <f>156106.23323-65317.33742</f>
        <v>90788.895810000016</v>
      </c>
      <c r="G100" s="1">
        <f>0+160674.98</f>
        <v>160674.98000000001</v>
      </c>
      <c r="H100" s="1"/>
      <c r="I100" s="48"/>
      <c r="J100" s="48"/>
      <c r="K100" s="48"/>
      <c r="L100" s="48"/>
      <c r="M100" s="48"/>
      <c r="N100" s="48"/>
      <c r="O100" s="48"/>
      <c r="P100" s="38"/>
      <c r="Q100" s="48"/>
      <c r="R100" s="48"/>
      <c r="S100" s="48"/>
      <c r="T100" s="55"/>
    </row>
    <row r="101" spans="1:20" ht="15.95" customHeight="1" x14ac:dyDescent="0.2">
      <c r="A101" s="34"/>
      <c r="B101" s="25" t="s">
        <v>1</v>
      </c>
      <c r="C101" s="2">
        <f>D101+E101+F101+G101+H101</f>
        <v>182774.47600000002</v>
      </c>
      <c r="D101" s="1">
        <f>82176.615-64176.615</f>
        <v>18000.000000000007</v>
      </c>
      <c r="E101" s="1">
        <f>98226.307-52688.44</f>
        <v>45537.866999999998</v>
      </c>
      <c r="F101" s="1">
        <v>52088.601999999999</v>
      </c>
      <c r="G101" s="1">
        <v>67148.006999999998</v>
      </c>
      <c r="H101" s="1"/>
      <c r="I101" s="48"/>
      <c r="J101" s="48"/>
      <c r="K101" s="48"/>
      <c r="L101" s="48"/>
      <c r="M101" s="48"/>
      <c r="N101" s="48"/>
      <c r="O101" s="48"/>
      <c r="P101" s="38"/>
      <c r="Q101" s="48"/>
      <c r="R101" s="48"/>
      <c r="S101" s="48"/>
      <c r="T101" s="55"/>
    </row>
    <row r="102" spans="1:20" ht="15.95" customHeight="1" x14ac:dyDescent="0.2">
      <c r="A102" s="34"/>
      <c r="B102" s="25" t="s">
        <v>2</v>
      </c>
      <c r="C102" s="2">
        <f>D102+E102+F102+G102+H102</f>
        <v>0</v>
      </c>
      <c r="D102" s="1"/>
      <c r="E102" s="1"/>
      <c r="F102" s="1"/>
      <c r="G102" s="1"/>
      <c r="H102" s="1"/>
      <c r="I102" s="48"/>
      <c r="J102" s="48"/>
      <c r="K102" s="48"/>
      <c r="L102" s="48"/>
      <c r="M102" s="48"/>
      <c r="N102" s="48"/>
      <c r="O102" s="48"/>
      <c r="P102" s="38"/>
      <c r="Q102" s="48"/>
      <c r="R102" s="48"/>
      <c r="S102" s="48"/>
      <c r="T102" s="55"/>
    </row>
    <row r="103" spans="1:20" ht="15.95" customHeight="1" x14ac:dyDescent="0.2">
      <c r="A103" s="34"/>
      <c r="B103" s="25" t="s">
        <v>3</v>
      </c>
      <c r="C103" s="2">
        <f>D103+E103+F103+G103+H103</f>
        <v>0</v>
      </c>
      <c r="D103" s="1"/>
      <c r="E103" s="1"/>
      <c r="F103" s="1"/>
      <c r="G103" s="1"/>
      <c r="H103" s="1"/>
      <c r="I103" s="48"/>
      <c r="J103" s="48"/>
      <c r="K103" s="48"/>
      <c r="L103" s="48"/>
      <c r="M103" s="48"/>
      <c r="N103" s="48"/>
      <c r="O103" s="48"/>
      <c r="P103" s="38"/>
      <c r="Q103" s="48"/>
      <c r="R103" s="48"/>
      <c r="S103" s="48"/>
      <c r="T103" s="55"/>
    </row>
    <row r="104" spans="1:20" ht="15.95" customHeight="1" x14ac:dyDescent="0.2">
      <c r="A104" s="34" t="s">
        <v>326</v>
      </c>
      <c r="B104" s="78" t="s">
        <v>190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ht="15.95" customHeight="1" x14ac:dyDescent="0.2">
      <c r="A105" s="34"/>
      <c r="B105" s="42" t="s">
        <v>77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7"/>
    </row>
    <row r="106" spans="1:20" ht="45" customHeight="1" x14ac:dyDescent="0.2">
      <c r="A106" s="34"/>
      <c r="B106" s="80" t="s">
        <v>317</v>
      </c>
      <c r="C106" s="80"/>
      <c r="D106" s="80"/>
      <c r="E106" s="80"/>
      <c r="F106" s="80"/>
      <c r="G106" s="80"/>
      <c r="H106" s="80"/>
      <c r="I106" s="48" t="s">
        <v>28</v>
      </c>
      <c r="J106" s="48" t="s">
        <v>22</v>
      </c>
      <c r="K106" s="48" t="s">
        <v>35</v>
      </c>
      <c r="L106" s="48" t="s">
        <v>254</v>
      </c>
      <c r="M106" s="48" t="s">
        <v>170</v>
      </c>
      <c r="N106" s="48" t="s">
        <v>190</v>
      </c>
      <c r="O106" s="48" t="s">
        <v>170</v>
      </c>
      <c r="P106" s="38" t="s">
        <v>373</v>
      </c>
      <c r="Q106" s="48" t="s">
        <v>29</v>
      </c>
      <c r="R106" s="48" t="s">
        <v>58</v>
      </c>
      <c r="S106" s="48" t="s">
        <v>30</v>
      </c>
      <c r="T106" s="55"/>
    </row>
    <row r="107" spans="1:20" ht="15.95" customHeight="1" x14ac:dyDescent="0.2">
      <c r="A107" s="34"/>
      <c r="B107" s="25" t="s">
        <v>5</v>
      </c>
      <c r="C107" s="2">
        <f>D107+E107+F107+G107+H107</f>
        <v>98433.038</v>
      </c>
      <c r="D107" s="1">
        <f t="shared" ref="D107:H107" si="13">SUM(D108:D111)</f>
        <v>77374.997000000003</v>
      </c>
      <c r="E107" s="1">
        <f t="shared" si="13"/>
        <v>10532.505999999999</v>
      </c>
      <c r="F107" s="1">
        <f t="shared" si="13"/>
        <v>10525.535</v>
      </c>
      <c r="G107" s="1">
        <f t="shared" si="13"/>
        <v>0</v>
      </c>
      <c r="H107" s="1">
        <f t="shared" si="13"/>
        <v>0</v>
      </c>
      <c r="I107" s="48"/>
      <c r="J107" s="48"/>
      <c r="K107" s="48"/>
      <c r="L107" s="48"/>
      <c r="M107" s="48"/>
      <c r="N107" s="48"/>
      <c r="O107" s="48"/>
      <c r="P107" s="38"/>
      <c r="Q107" s="48"/>
      <c r="R107" s="48"/>
      <c r="S107" s="48"/>
      <c r="T107" s="55"/>
    </row>
    <row r="108" spans="1:20" ht="15.95" customHeight="1" x14ac:dyDescent="0.2">
      <c r="A108" s="34"/>
      <c r="B108" s="25" t="s">
        <v>0</v>
      </c>
      <c r="C108" s="2">
        <f>D108+E108+F108+G108+H108</f>
        <v>0</v>
      </c>
      <c r="D108" s="1"/>
      <c r="E108" s="1"/>
      <c r="F108" s="1"/>
      <c r="G108" s="1"/>
      <c r="H108" s="1"/>
      <c r="I108" s="48"/>
      <c r="J108" s="48"/>
      <c r="K108" s="48"/>
      <c r="L108" s="48"/>
      <c r="M108" s="48"/>
      <c r="N108" s="48"/>
      <c r="O108" s="48"/>
      <c r="P108" s="38"/>
      <c r="Q108" s="48"/>
      <c r="R108" s="48"/>
      <c r="S108" s="48"/>
      <c r="T108" s="55"/>
    </row>
    <row r="109" spans="1:20" ht="15.95" customHeight="1" x14ac:dyDescent="0.2">
      <c r="A109" s="34"/>
      <c r="B109" s="25" t="s">
        <v>1</v>
      </c>
      <c r="C109" s="2">
        <f>D109+E109+F109+G109+H109</f>
        <v>98433.038</v>
      </c>
      <c r="D109" s="1">
        <v>77374.997000000003</v>
      </c>
      <c r="E109" s="1">
        <v>10532.505999999999</v>
      </c>
      <c r="F109" s="1">
        <v>10525.535</v>
      </c>
      <c r="G109" s="1"/>
      <c r="H109" s="1"/>
      <c r="I109" s="48"/>
      <c r="J109" s="48"/>
      <c r="K109" s="48"/>
      <c r="L109" s="48"/>
      <c r="M109" s="48"/>
      <c r="N109" s="48"/>
      <c r="O109" s="48"/>
      <c r="P109" s="38"/>
      <c r="Q109" s="48"/>
      <c r="R109" s="48"/>
      <c r="S109" s="48"/>
      <c r="T109" s="55"/>
    </row>
    <row r="110" spans="1:20" ht="15.95" customHeight="1" x14ac:dyDescent="0.2">
      <c r="A110" s="34"/>
      <c r="B110" s="25" t="s">
        <v>2</v>
      </c>
      <c r="C110" s="2">
        <f>D110+E110+F110+G110+H110</f>
        <v>0</v>
      </c>
      <c r="D110" s="1"/>
      <c r="E110" s="1"/>
      <c r="F110" s="1"/>
      <c r="G110" s="1"/>
      <c r="H110" s="1"/>
      <c r="I110" s="48"/>
      <c r="J110" s="48"/>
      <c r="K110" s="48"/>
      <c r="L110" s="48"/>
      <c r="M110" s="48"/>
      <c r="N110" s="48"/>
      <c r="O110" s="48"/>
      <c r="P110" s="38"/>
      <c r="Q110" s="48"/>
      <c r="R110" s="48"/>
      <c r="S110" s="48"/>
      <c r="T110" s="55"/>
    </row>
    <row r="111" spans="1:20" ht="15.95" customHeight="1" x14ac:dyDescent="0.2">
      <c r="A111" s="34"/>
      <c r="B111" s="25" t="s">
        <v>3</v>
      </c>
      <c r="C111" s="2">
        <f>D111+E111+F111+G111+H111</f>
        <v>0</v>
      </c>
      <c r="D111" s="1"/>
      <c r="E111" s="1"/>
      <c r="F111" s="1"/>
      <c r="G111" s="1"/>
      <c r="H111" s="1"/>
      <c r="I111" s="48"/>
      <c r="J111" s="48"/>
      <c r="K111" s="48"/>
      <c r="L111" s="48"/>
      <c r="M111" s="48"/>
      <c r="N111" s="48"/>
      <c r="O111" s="48"/>
      <c r="P111" s="38"/>
      <c r="Q111" s="48"/>
      <c r="R111" s="48"/>
      <c r="S111" s="48"/>
      <c r="T111" s="55"/>
    </row>
    <row r="112" spans="1:20" ht="15.95" customHeight="1" x14ac:dyDescent="0.2">
      <c r="A112" s="34" t="s">
        <v>327</v>
      </c>
      <c r="B112" s="78" t="s">
        <v>190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9"/>
    </row>
    <row r="113" spans="1:20" ht="15.95" customHeight="1" x14ac:dyDescent="0.2">
      <c r="A113" s="34"/>
      <c r="B113" s="50" t="s">
        <v>77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1"/>
    </row>
    <row r="114" spans="1:20" ht="45" customHeight="1" x14ac:dyDescent="0.2">
      <c r="A114" s="34"/>
      <c r="B114" s="80" t="s">
        <v>348</v>
      </c>
      <c r="C114" s="80"/>
      <c r="D114" s="80"/>
      <c r="E114" s="80"/>
      <c r="F114" s="80"/>
      <c r="G114" s="80"/>
      <c r="H114" s="80"/>
      <c r="I114" s="48" t="s">
        <v>23</v>
      </c>
      <c r="J114" s="48" t="s">
        <v>207</v>
      </c>
      <c r="K114" s="48" t="s">
        <v>35</v>
      </c>
      <c r="L114" s="48" t="s">
        <v>211</v>
      </c>
      <c r="M114" s="48" t="s">
        <v>804</v>
      </c>
      <c r="N114" s="48" t="s">
        <v>190</v>
      </c>
      <c r="O114" s="48" t="s">
        <v>804</v>
      </c>
      <c r="P114" s="38" t="s">
        <v>373</v>
      </c>
      <c r="Q114" s="48" t="s">
        <v>29</v>
      </c>
      <c r="R114" s="48" t="s">
        <v>212</v>
      </c>
      <c r="S114" s="48" t="s">
        <v>30</v>
      </c>
      <c r="T114" s="55"/>
    </row>
    <row r="115" spans="1:20" ht="15.95" customHeight="1" x14ac:dyDescent="0.2">
      <c r="A115" s="34"/>
      <c r="B115" s="25" t="s">
        <v>5</v>
      </c>
      <c r="C115" s="2">
        <f>D115+E115+F115+G115+H115</f>
        <v>696429.26589000004</v>
      </c>
      <c r="D115" s="1">
        <f t="shared" ref="D115:H115" si="14">SUM(D116:D119)</f>
        <v>381646.17789000005</v>
      </c>
      <c r="E115" s="1">
        <f t="shared" si="14"/>
        <v>314783.08799999999</v>
      </c>
      <c r="F115" s="1">
        <f t="shared" si="14"/>
        <v>0</v>
      </c>
      <c r="G115" s="1">
        <f t="shared" si="14"/>
        <v>0</v>
      </c>
      <c r="H115" s="1">
        <f t="shared" si="14"/>
        <v>0</v>
      </c>
      <c r="I115" s="48"/>
      <c r="J115" s="48"/>
      <c r="K115" s="48"/>
      <c r="L115" s="48"/>
      <c r="M115" s="48"/>
      <c r="N115" s="48"/>
      <c r="O115" s="48"/>
      <c r="P115" s="38"/>
      <c r="Q115" s="48"/>
      <c r="R115" s="48"/>
      <c r="S115" s="48"/>
      <c r="T115" s="55"/>
    </row>
    <row r="116" spans="1:20" ht="15.95" customHeight="1" x14ac:dyDescent="0.2">
      <c r="A116" s="34"/>
      <c r="B116" s="25" t="s">
        <v>0</v>
      </c>
      <c r="C116" s="2">
        <f>D116+E116+F116+G116+H116</f>
        <v>639003.81189000001</v>
      </c>
      <c r="D116" s="1">
        <v>369721.70189000003</v>
      </c>
      <c r="E116" s="1">
        <v>269282.11</v>
      </c>
      <c r="F116" s="1"/>
      <c r="G116" s="1"/>
      <c r="H116" s="1"/>
      <c r="I116" s="48"/>
      <c r="J116" s="48"/>
      <c r="K116" s="48"/>
      <c r="L116" s="48"/>
      <c r="M116" s="48"/>
      <c r="N116" s="48"/>
      <c r="O116" s="48"/>
      <c r="P116" s="38"/>
      <c r="Q116" s="48"/>
      <c r="R116" s="48"/>
      <c r="S116" s="48"/>
      <c r="T116" s="55"/>
    </row>
    <row r="117" spans="1:20" ht="15.95" customHeight="1" x14ac:dyDescent="0.2">
      <c r="A117" s="34"/>
      <c r="B117" s="25" t="s">
        <v>1</v>
      </c>
      <c r="C117" s="2">
        <f>D117+E117+F117+G117+H117</f>
        <v>57425.454000000005</v>
      </c>
      <c r="D117" s="1">
        <f>48265.926-36341.45</f>
        <v>11924.476000000002</v>
      </c>
      <c r="E117" s="1">
        <f>117500.978-72000</f>
        <v>45500.978000000003</v>
      </c>
      <c r="F117" s="1"/>
      <c r="G117" s="1"/>
      <c r="H117" s="1"/>
      <c r="I117" s="48"/>
      <c r="J117" s="48"/>
      <c r="K117" s="48"/>
      <c r="L117" s="48"/>
      <c r="M117" s="48"/>
      <c r="N117" s="48"/>
      <c r="O117" s="48"/>
      <c r="P117" s="38"/>
      <c r="Q117" s="48"/>
      <c r="R117" s="48"/>
      <c r="S117" s="48"/>
      <c r="T117" s="55"/>
    </row>
    <row r="118" spans="1:20" ht="15.95" customHeight="1" x14ac:dyDescent="0.2">
      <c r="A118" s="34"/>
      <c r="B118" s="25" t="s">
        <v>2</v>
      </c>
      <c r="C118" s="2">
        <f>D118+E118+F118+G118+H118</f>
        <v>0</v>
      </c>
      <c r="D118" s="1"/>
      <c r="E118" s="1"/>
      <c r="F118" s="1"/>
      <c r="G118" s="1"/>
      <c r="H118" s="1"/>
      <c r="I118" s="48"/>
      <c r="J118" s="48"/>
      <c r="K118" s="48"/>
      <c r="L118" s="48"/>
      <c r="M118" s="48"/>
      <c r="N118" s="48"/>
      <c r="O118" s="48"/>
      <c r="P118" s="38"/>
      <c r="Q118" s="48"/>
      <c r="R118" s="48"/>
      <c r="S118" s="48"/>
      <c r="T118" s="55"/>
    </row>
    <row r="119" spans="1:20" ht="15.95" customHeight="1" x14ac:dyDescent="0.2">
      <c r="A119" s="34"/>
      <c r="B119" s="25" t="s">
        <v>3</v>
      </c>
      <c r="C119" s="2">
        <f>D119+E119+F119+G119+H119</f>
        <v>0</v>
      </c>
      <c r="D119" s="1"/>
      <c r="E119" s="1"/>
      <c r="F119" s="1"/>
      <c r="G119" s="1"/>
      <c r="H119" s="1"/>
      <c r="I119" s="48"/>
      <c r="J119" s="48"/>
      <c r="K119" s="48"/>
      <c r="L119" s="48"/>
      <c r="M119" s="48"/>
      <c r="N119" s="48"/>
      <c r="O119" s="48"/>
      <c r="P119" s="38"/>
      <c r="Q119" s="48"/>
      <c r="R119" s="48"/>
      <c r="S119" s="48"/>
      <c r="T119" s="55"/>
    </row>
    <row r="120" spans="1:20" ht="15.95" customHeight="1" x14ac:dyDescent="0.2">
      <c r="A120" s="34" t="s">
        <v>328</v>
      </c>
      <c r="B120" s="78" t="s">
        <v>190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9"/>
    </row>
    <row r="121" spans="1:20" ht="15.95" customHeight="1" x14ac:dyDescent="0.2">
      <c r="A121" s="34"/>
      <c r="B121" s="50" t="s">
        <v>77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1"/>
    </row>
    <row r="122" spans="1:20" ht="45" customHeight="1" x14ac:dyDescent="0.2">
      <c r="A122" s="34"/>
      <c r="B122" s="80" t="s">
        <v>419</v>
      </c>
      <c r="C122" s="80"/>
      <c r="D122" s="80"/>
      <c r="E122" s="80"/>
      <c r="F122" s="80"/>
      <c r="G122" s="80"/>
      <c r="H122" s="80"/>
      <c r="I122" s="48" t="s">
        <v>28</v>
      </c>
      <c r="J122" s="48"/>
      <c r="K122" s="48" t="s">
        <v>35</v>
      </c>
      <c r="L122" s="48" t="s">
        <v>245</v>
      </c>
      <c r="M122" s="48" t="s">
        <v>221</v>
      </c>
      <c r="N122" s="48" t="s">
        <v>190</v>
      </c>
      <c r="O122" s="48" t="s">
        <v>221</v>
      </c>
      <c r="P122" s="38" t="s">
        <v>373</v>
      </c>
      <c r="Q122" s="48" t="s">
        <v>29</v>
      </c>
      <c r="R122" s="48" t="s">
        <v>319</v>
      </c>
      <c r="S122" s="48" t="s">
        <v>30</v>
      </c>
      <c r="T122" s="55"/>
    </row>
    <row r="123" spans="1:20" ht="15.95" customHeight="1" x14ac:dyDescent="0.2">
      <c r="A123" s="34"/>
      <c r="B123" s="25" t="s">
        <v>5</v>
      </c>
      <c r="C123" s="2">
        <f>D123+E123+F123+G123+H123</f>
        <v>110443.06763000001</v>
      </c>
      <c r="D123" s="1">
        <f t="shared" ref="D123:H123" si="15">SUM(D124:D127)</f>
        <v>8440.9429999999993</v>
      </c>
      <c r="E123" s="1">
        <f t="shared" si="15"/>
        <v>56819.100270000003</v>
      </c>
      <c r="F123" s="1">
        <f t="shared" si="15"/>
        <v>45183.024360000003</v>
      </c>
      <c r="G123" s="1">
        <f t="shared" si="15"/>
        <v>0</v>
      </c>
      <c r="H123" s="1">
        <f t="shared" si="15"/>
        <v>0</v>
      </c>
      <c r="I123" s="48"/>
      <c r="J123" s="48"/>
      <c r="K123" s="48"/>
      <c r="L123" s="48"/>
      <c r="M123" s="48"/>
      <c r="N123" s="48"/>
      <c r="O123" s="48"/>
      <c r="P123" s="38"/>
      <c r="Q123" s="48"/>
      <c r="R123" s="48"/>
      <c r="S123" s="48"/>
      <c r="T123" s="55"/>
    </row>
    <row r="124" spans="1:20" ht="15.95" customHeight="1" x14ac:dyDescent="0.2">
      <c r="A124" s="34"/>
      <c r="B124" s="25" t="s">
        <v>0</v>
      </c>
      <c r="C124" s="2">
        <f>D124+E124+F124+G124+H124</f>
        <v>91963.369630000001</v>
      </c>
      <c r="D124" s="1"/>
      <c r="E124" s="1">
        <v>54450.17527</v>
      </c>
      <c r="F124" s="1">
        <f>37513.19442-0.00006</f>
        <v>37513.194360000001</v>
      </c>
      <c r="G124" s="1"/>
      <c r="H124" s="1"/>
      <c r="I124" s="48"/>
      <c r="J124" s="48"/>
      <c r="K124" s="48"/>
      <c r="L124" s="48"/>
      <c r="M124" s="48"/>
      <c r="N124" s="48"/>
      <c r="O124" s="48"/>
      <c r="P124" s="38"/>
      <c r="Q124" s="48"/>
      <c r="R124" s="48"/>
      <c r="S124" s="48"/>
      <c r="T124" s="55"/>
    </row>
    <row r="125" spans="1:20" ht="15.95" customHeight="1" x14ac:dyDescent="0.2">
      <c r="A125" s="34"/>
      <c r="B125" s="25" t="s">
        <v>1</v>
      </c>
      <c r="C125" s="2">
        <f>D125+E125+F125+G125+H125</f>
        <v>18479.697999999997</v>
      </c>
      <c r="D125" s="1">
        <v>8440.9429999999993</v>
      </c>
      <c r="E125" s="1">
        <v>2368.9250000000002</v>
      </c>
      <c r="F125" s="1">
        <v>7669.83</v>
      </c>
      <c r="G125" s="1"/>
      <c r="H125" s="1"/>
      <c r="I125" s="48"/>
      <c r="J125" s="48"/>
      <c r="K125" s="48"/>
      <c r="L125" s="48"/>
      <c r="M125" s="48"/>
      <c r="N125" s="48"/>
      <c r="O125" s="48"/>
      <c r="P125" s="38"/>
      <c r="Q125" s="48"/>
      <c r="R125" s="48"/>
      <c r="S125" s="48"/>
      <c r="T125" s="55"/>
    </row>
    <row r="126" spans="1:20" ht="15.95" customHeight="1" x14ac:dyDescent="0.2">
      <c r="A126" s="34"/>
      <c r="B126" s="25" t="s">
        <v>2</v>
      </c>
      <c r="C126" s="2">
        <f>D126+E126+F126+G126+H126</f>
        <v>0</v>
      </c>
      <c r="D126" s="1"/>
      <c r="E126" s="1"/>
      <c r="F126" s="1"/>
      <c r="G126" s="1"/>
      <c r="H126" s="1"/>
      <c r="I126" s="48"/>
      <c r="J126" s="48"/>
      <c r="K126" s="48"/>
      <c r="L126" s="48"/>
      <c r="M126" s="48"/>
      <c r="N126" s="48"/>
      <c r="O126" s="48"/>
      <c r="P126" s="38"/>
      <c r="Q126" s="48"/>
      <c r="R126" s="48"/>
      <c r="S126" s="48"/>
      <c r="T126" s="55"/>
    </row>
    <row r="127" spans="1:20" ht="15.95" customHeight="1" x14ac:dyDescent="0.2">
      <c r="A127" s="34"/>
      <c r="B127" s="25" t="s">
        <v>3</v>
      </c>
      <c r="C127" s="2">
        <f>D127+E127+F127+G127+H127</f>
        <v>0</v>
      </c>
      <c r="D127" s="1"/>
      <c r="E127" s="1"/>
      <c r="F127" s="1"/>
      <c r="G127" s="1"/>
      <c r="H127" s="1"/>
      <c r="I127" s="48"/>
      <c r="J127" s="48"/>
      <c r="K127" s="48"/>
      <c r="L127" s="48"/>
      <c r="M127" s="48"/>
      <c r="N127" s="48"/>
      <c r="O127" s="48"/>
      <c r="P127" s="38"/>
      <c r="Q127" s="48"/>
      <c r="R127" s="48"/>
      <c r="S127" s="48"/>
      <c r="T127" s="55"/>
    </row>
    <row r="128" spans="1:20" ht="15.95" customHeight="1" x14ac:dyDescent="0.2">
      <c r="A128" s="34" t="s">
        <v>329</v>
      </c>
      <c r="B128" s="78" t="s">
        <v>190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9"/>
    </row>
    <row r="129" spans="1:20" ht="15.95" customHeight="1" x14ac:dyDescent="0.2">
      <c r="A129" s="34"/>
      <c r="B129" s="124" t="s">
        <v>77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5"/>
    </row>
    <row r="130" spans="1:20" ht="45" customHeight="1" x14ac:dyDescent="0.2">
      <c r="A130" s="34"/>
      <c r="B130" s="80" t="s">
        <v>219</v>
      </c>
      <c r="C130" s="80"/>
      <c r="D130" s="80"/>
      <c r="E130" s="80"/>
      <c r="F130" s="80"/>
      <c r="G130" s="80"/>
      <c r="H130" s="80"/>
      <c r="I130" s="48" t="s">
        <v>42</v>
      </c>
      <c r="J130" s="48"/>
      <c r="K130" s="48" t="s">
        <v>35</v>
      </c>
      <c r="L130" s="48" t="s">
        <v>59</v>
      </c>
      <c r="M130" s="48" t="s">
        <v>170</v>
      </c>
      <c r="N130" s="48" t="s">
        <v>56</v>
      </c>
      <c r="O130" s="48" t="s">
        <v>170</v>
      </c>
      <c r="P130" s="38" t="s">
        <v>220</v>
      </c>
      <c r="Q130" s="48" t="s">
        <v>29</v>
      </c>
      <c r="R130" s="48" t="s">
        <v>58</v>
      </c>
      <c r="S130" s="48" t="s">
        <v>31</v>
      </c>
      <c r="T130" s="55" t="s">
        <v>184</v>
      </c>
    </row>
    <row r="131" spans="1:20" ht="15.95" customHeight="1" x14ac:dyDescent="0.2">
      <c r="A131" s="34"/>
      <c r="B131" s="25" t="s">
        <v>5</v>
      </c>
      <c r="C131" s="2">
        <f t="shared" ref="C131:C135" si="16">D131+E131+F131+G131+H131</f>
        <v>12597105.973060001</v>
      </c>
      <c r="D131" s="1">
        <f>SUM(D132:D135)</f>
        <v>1654764.07806</v>
      </c>
      <c r="E131" s="1">
        <f>SUM(E132:E135)</f>
        <v>4772488.8949999996</v>
      </c>
      <c r="F131" s="1">
        <f>SUM(F132:F135)</f>
        <v>3451907</v>
      </c>
      <c r="G131" s="1">
        <f>SUM(G132:G135)</f>
        <v>2717946</v>
      </c>
      <c r="H131" s="1">
        <f>SUM(H132:H135)</f>
        <v>0</v>
      </c>
      <c r="I131" s="48"/>
      <c r="J131" s="48"/>
      <c r="K131" s="48"/>
      <c r="L131" s="48"/>
      <c r="M131" s="48"/>
      <c r="N131" s="48"/>
      <c r="O131" s="48"/>
      <c r="P131" s="38"/>
      <c r="Q131" s="48"/>
      <c r="R131" s="48"/>
      <c r="S131" s="48"/>
      <c r="T131" s="55"/>
    </row>
    <row r="132" spans="1:20" ht="15.95" customHeight="1" x14ac:dyDescent="0.2">
      <c r="A132" s="34"/>
      <c r="B132" s="25" t="s">
        <v>0</v>
      </c>
      <c r="C132" s="2">
        <f t="shared" si="16"/>
        <v>4836220.0999999996</v>
      </c>
      <c r="D132" s="1">
        <f>0+500000+436220.1</f>
        <v>936220.1</v>
      </c>
      <c r="E132" s="1">
        <f>0+3900000</f>
        <v>3900000</v>
      </c>
      <c r="F132" s="1"/>
      <c r="G132" s="1"/>
      <c r="H132" s="1"/>
      <c r="I132" s="48"/>
      <c r="J132" s="48"/>
      <c r="K132" s="48"/>
      <c r="L132" s="48"/>
      <c r="M132" s="48"/>
      <c r="N132" s="48"/>
      <c r="O132" s="48"/>
      <c r="P132" s="38"/>
      <c r="Q132" s="48"/>
      <c r="R132" s="48"/>
      <c r="S132" s="48"/>
      <c r="T132" s="55"/>
    </row>
    <row r="133" spans="1:20" ht="15.95" customHeight="1" x14ac:dyDescent="0.2">
      <c r="A133" s="34"/>
      <c r="B133" s="25" t="s">
        <v>1</v>
      </c>
      <c r="C133" s="2">
        <f t="shared" si="16"/>
        <v>1591032.8730600001</v>
      </c>
      <c r="D133" s="1">
        <f>590600+38954.97806+88989</f>
        <v>718543.97805999999</v>
      </c>
      <c r="E133" s="1">
        <v>872488.89500000002</v>
      </c>
      <c r="F133" s="1"/>
      <c r="G133" s="1"/>
      <c r="H133" s="1"/>
      <c r="I133" s="48"/>
      <c r="J133" s="48"/>
      <c r="K133" s="48"/>
      <c r="L133" s="48"/>
      <c r="M133" s="48"/>
      <c r="N133" s="48"/>
      <c r="O133" s="48"/>
      <c r="P133" s="38"/>
      <c r="Q133" s="48"/>
      <c r="R133" s="48"/>
      <c r="S133" s="48"/>
      <c r="T133" s="55"/>
    </row>
    <row r="134" spans="1:20" ht="15.95" customHeight="1" x14ac:dyDescent="0.2">
      <c r="A134" s="34"/>
      <c r="B134" s="25" t="s">
        <v>2</v>
      </c>
      <c r="C134" s="2">
        <f t="shared" si="16"/>
        <v>0</v>
      </c>
      <c r="D134" s="1"/>
      <c r="E134" s="1"/>
      <c r="F134" s="1"/>
      <c r="G134" s="1"/>
      <c r="H134" s="1"/>
      <c r="I134" s="48"/>
      <c r="J134" s="48"/>
      <c r="K134" s="48"/>
      <c r="L134" s="48"/>
      <c r="M134" s="48"/>
      <c r="N134" s="48"/>
      <c r="O134" s="48"/>
      <c r="P134" s="38"/>
      <c r="Q134" s="48"/>
      <c r="R134" s="48"/>
      <c r="S134" s="48"/>
      <c r="T134" s="55"/>
    </row>
    <row r="135" spans="1:20" ht="15.95" customHeight="1" x14ac:dyDescent="0.2">
      <c r="A135" s="34"/>
      <c r="B135" s="25" t="s">
        <v>3</v>
      </c>
      <c r="C135" s="2">
        <f t="shared" si="16"/>
        <v>6169853</v>
      </c>
      <c r="D135" s="1"/>
      <c r="E135" s="1"/>
      <c r="F135" s="1">
        <f>0+3451907</f>
        <v>3451907</v>
      </c>
      <c r="G135" s="1">
        <f>0+2717946</f>
        <v>2717946</v>
      </c>
      <c r="H135" s="1"/>
      <c r="I135" s="48"/>
      <c r="J135" s="48"/>
      <c r="K135" s="48"/>
      <c r="L135" s="48"/>
      <c r="M135" s="48"/>
      <c r="N135" s="48"/>
      <c r="O135" s="48"/>
      <c r="P135" s="38"/>
      <c r="Q135" s="48"/>
      <c r="R135" s="48"/>
      <c r="S135" s="48"/>
      <c r="T135" s="55"/>
    </row>
    <row r="136" spans="1:20" s="7" customFormat="1" ht="15.95" customHeight="1" x14ac:dyDescent="0.2">
      <c r="A136" s="34" t="s">
        <v>360</v>
      </c>
      <c r="B136" s="46" t="s">
        <v>56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9"/>
    </row>
    <row r="137" spans="1:20" s="7" customFormat="1" ht="15.95" customHeight="1" x14ac:dyDescent="0.2">
      <c r="A137" s="34"/>
      <c r="B137" s="50" t="s">
        <v>77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1"/>
    </row>
    <row r="138" spans="1:20" s="7" customFormat="1" ht="45" customHeight="1" x14ac:dyDescent="0.2">
      <c r="A138" s="34"/>
      <c r="B138" s="52" t="s">
        <v>806</v>
      </c>
      <c r="C138" s="53"/>
      <c r="D138" s="53"/>
      <c r="E138" s="53"/>
      <c r="F138" s="53"/>
      <c r="G138" s="53"/>
      <c r="H138" s="54"/>
      <c r="I138" s="39"/>
      <c r="J138" s="39" t="s">
        <v>22</v>
      </c>
      <c r="K138" s="39" t="s">
        <v>35</v>
      </c>
      <c r="L138" s="48" t="s">
        <v>359</v>
      </c>
      <c r="M138" s="48" t="s">
        <v>56</v>
      </c>
      <c r="N138" s="48" t="s">
        <v>56</v>
      </c>
      <c r="O138" s="48" t="s">
        <v>56</v>
      </c>
      <c r="P138" s="38" t="s">
        <v>373</v>
      </c>
      <c r="Q138" s="39" t="s">
        <v>29</v>
      </c>
      <c r="R138" s="39" t="s">
        <v>139</v>
      </c>
      <c r="S138" s="39" t="s">
        <v>24</v>
      </c>
      <c r="T138" s="55"/>
    </row>
    <row r="139" spans="1:20" s="7" customFormat="1" ht="15.95" customHeight="1" x14ac:dyDescent="0.2">
      <c r="A139" s="34"/>
      <c r="B139" s="25" t="s">
        <v>5</v>
      </c>
      <c r="C139" s="2">
        <f>D139+E139+F139+G139+H139</f>
        <v>8000</v>
      </c>
      <c r="D139" s="1">
        <f>SUM(D140:D143)</f>
        <v>8000</v>
      </c>
      <c r="E139" s="1">
        <f t="shared" ref="E139:H139" si="17">SUM(E140:E143)</f>
        <v>0</v>
      </c>
      <c r="F139" s="1">
        <f t="shared" si="17"/>
        <v>0</v>
      </c>
      <c r="G139" s="1">
        <f t="shared" si="17"/>
        <v>0</v>
      </c>
      <c r="H139" s="1">
        <f t="shared" si="17"/>
        <v>0</v>
      </c>
      <c r="I139" s="40"/>
      <c r="J139" s="40"/>
      <c r="K139" s="40"/>
      <c r="L139" s="48"/>
      <c r="M139" s="48"/>
      <c r="N139" s="48"/>
      <c r="O139" s="48"/>
      <c r="P139" s="38"/>
      <c r="Q139" s="40"/>
      <c r="R139" s="40"/>
      <c r="S139" s="40"/>
      <c r="T139" s="55"/>
    </row>
    <row r="140" spans="1:20" s="7" customFormat="1" ht="15.95" customHeight="1" x14ac:dyDescent="0.2">
      <c r="A140" s="34"/>
      <c r="B140" s="25" t="s">
        <v>0</v>
      </c>
      <c r="C140" s="2">
        <f>D140+E140+F140+G140+H140</f>
        <v>0</v>
      </c>
      <c r="D140" s="1"/>
      <c r="E140" s="1"/>
      <c r="F140" s="1"/>
      <c r="G140" s="1"/>
      <c r="H140" s="1"/>
      <c r="I140" s="40"/>
      <c r="J140" s="40"/>
      <c r="K140" s="40"/>
      <c r="L140" s="48"/>
      <c r="M140" s="48"/>
      <c r="N140" s="48"/>
      <c r="O140" s="48"/>
      <c r="P140" s="38"/>
      <c r="Q140" s="40"/>
      <c r="R140" s="40"/>
      <c r="S140" s="40"/>
      <c r="T140" s="55"/>
    </row>
    <row r="141" spans="1:20" s="7" customFormat="1" ht="15.95" customHeight="1" x14ac:dyDescent="0.2">
      <c r="A141" s="34"/>
      <c r="B141" s="25" t="s">
        <v>1</v>
      </c>
      <c r="C141" s="2">
        <f>D141+E141+F141+G141+H141</f>
        <v>8000</v>
      </c>
      <c r="D141" s="1">
        <v>8000</v>
      </c>
      <c r="E141" s="1"/>
      <c r="F141" s="1"/>
      <c r="G141" s="1"/>
      <c r="H141" s="1"/>
      <c r="I141" s="40"/>
      <c r="J141" s="40"/>
      <c r="K141" s="40"/>
      <c r="L141" s="48"/>
      <c r="M141" s="48"/>
      <c r="N141" s="48"/>
      <c r="O141" s="48"/>
      <c r="P141" s="38"/>
      <c r="Q141" s="40"/>
      <c r="R141" s="40"/>
      <c r="S141" s="40"/>
      <c r="T141" s="55"/>
    </row>
    <row r="142" spans="1:20" s="7" customFormat="1" ht="15.95" customHeight="1" x14ac:dyDescent="0.2">
      <c r="A142" s="34"/>
      <c r="B142" s="25" t="s">
        <v>2</v>
      </c>
      <c r="C142" s="2">
        <f>D142+E142+F142+G142+H142</f>
        <v>0</v>
      </c>
      <c r="D142" s="1"/>
      <c r="E142" s="1"/>
      <c r="F142" s="1"/>
      <c r="G142" s="1"/>
      <c r="H142" s="1"/>
      <c r="I142" s="40"/>
      <c r="J142" s="40"/>
      <c r="K142" s="40"/>
      <c r="L142" s="48"/>
      <c r="M142" s="48"/>
      <c r="N142" s="48"/>
      <c r="O142" s="48"/>
      <c r="P142" s="38"/>
      <c r="Q142" s="40"/>
      <c r="R142" s="40"/>
      <c r="S142" s="40"/>
      <c r="T142" s="55"/>
    </row>
    <row r="143" spans="1:20" s="7" customFormat="1" ht="15.95" customHeight="1" x14ac:dyDescent="0.2">
      <c r="A143" s="34"/>
      <c r="B143" s="25" t="s">
        <v>3</v>
      </c>
      <c r="C143" s="2">
        <f>D143+E143+F143+G143+H143</f>
        <v>0</v>
      </c>
      <c r="D143" s="1"/>
      <c r="E143" s="1"/>
      <c r="F143" s="1"/>
      <c r="G143" s="1"/>
      <c r="H143" s="1"/>
      <c r="I143" s="41"/>
      <c r="J143" s="41"/>
      <c r="K143" s="41"/>
      <c r="L143" s="48"/>
      <c r="M143" s="48"/>
      <c r="N143" s="48"/>
      <c r="O143" s="48"/>
      <c r="P143" s="38"/>
      <c r="Q143" s="41"/>
      <c r="R143" s="41"/>
      <c r="S143" s="41"/>
      <c r="T143" s="55"/>
    </row>
    <row r="144" spans="1:20" s="7" customFormat="1" ht="15.95" customHeight="1" x14ac:dyDescent="0.2">
      <c r="A144" s="34" t="s">
        <v>361</v>
      </c>
      <c r="B144" s="46" t="s">
        <v>56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9"/>
    </row>
    <row r="145" spans="1:20" s="7" customFormat="1" ht="15.95" customHeight="1" x14ac:dyDescent="0.2">
      <c r="A145" s="34"/>
      <c r="B145" s="50" t="s">
        <v>77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1"/>
    </row>
    <row r="146" spans="1:20" s="7" customFormat="1" ht="45" customHeight="1" x14ac:dyDescent="0.2">
      <c r="A146" s="34"/>
      <c r="B146" s="52" t="s">
        <v>807</v>
      </c>
      <c r="C146" s="53"/>
      <c r="D146" s="53"/>
      <c r="E146" s="53"/>
      <c r="F146" s="53"/>
      <c r="G146" s="53"/>
      <c r="H146" s="54"/>
      <c r="I146" s="39"/>
      <c r="J146" s="39" t="s">
        <v>28</v>
      </c>
      <c r="K146" s="39" t="s">
        <v>35</v>
      </c>
      <c r="L146" s="48" t="s">
        <v>359</v>
      </c>
      <c r="M146" s="48" t="s">
        <v>56</v>
      </c>
      <c r="N146" s="48" t="s">
        <v>56</v>
      </c>
      <c r="O146" s="48" t="s">
        <v>56</v>
      </c>
      <c r="P146" s="38" t="s">
        <v>373</v>
      </c>
      <c r="Q146" s="39" t="s">
        <v>29</v>
      </c>
      <c r="R146" s="39" t="s">
        <v>264</v>
      </c>
      <c r="S146" s="39" t="s">
        <v>24</v>
      </c>
      <c r="T146" s="55"/>
    </row>
    <row r="147" spans="1:20" s="7" customFormat="1" ht="15.95" customHeight="1" x14ac:dyDescent="0.2">
      <c r="A147" s="34"/>
      <c r="B147" s="25" t="s">
        <v>5</v>
      </c>
      <c r="C147" s="2">
        <f>D147+E147+F147+G147+H147</f>
        <v>4000</v>
      </c>
      <c r="D147" s="1">
        <f>SUM(D148:D151)</f>
        <v>0</v>
      </c>
      <c r="E147" s="1">
        <f t="shared" ref="E147:H147" si="18">SUM(E148:E151)</f>
        <v>0</v>
      </c>
      <c r="F147" s="1">
        <f t="shared" si="18"/>
        <v>4000</v>
      </c>
      <c r="G147" s="1">
        <f t="shared" si="18"/>
        <v>0</v>
      </c>
      <c r="H147" s="1">
        <f t="shared" si="18"/>
        <v>0</v>
      </c>
      <c r="I147" s="40"/>
      <c r="J147" s="40"/>
      <c r="K147" s="40"/>
      <c r="L147" s="48"/>
      <c r="M147" s="48"/>
      <c r="N147" s="48"/>
      <c r="O147" s="48"/>
      <c r="P147" s="38"/>
      <c r="Q147" s="40"/>
      <c r="R147" s="40"/>
      <c r="S147" s="40"/>
      <c r="T147" s="55"/>
    </row>
    <row r="148" spans="1:20" s="7" customFormat="1" ht="15.95" customHeight="1" x14ac:dyDescent="0.2">
      <c r="A148" s="34"/>
      <c r="B148" s="25" t="s">
        <v>0</v>
      </c>
      <c r="C148" s="2">
        <f>D148+E148+F148+G148+H148</f>
        <v>0</v>
      </c>
      <c r="D148" s="1"/>
      <c r="E148" s="1"/>
      <c r="F148" s="1"/>
      <c r="G148" s="1"/>
      <c r="H148" s="1"/>
      <c r="I148" s="40"/>
      <c r="J148" s="40"/>
      <c r="K148" s="40"/>
      <c r="L148" s="48"/>
      <c r="M148" s="48"/>
      <c r="N148" s="48"/>
      <c r="O148" s="48"/>
      <c r="P148" s="38"/>
      <c r="Q148" s="40"/>
      <c r="R148" s="40"/>
      <c r="S148" s="40"/>
      <c r="T148" s="55"/>
    </row>
    <row r="149" spans="1:20" s="7" customFormat="1" ht="15.95" customHeight="1" x14ac:dyDescent="0.2">
      <c r="A149" s="34"/>
      <c r="B149" s="25" t="s">
        <v>1</v>
      </c>
      <c r="C149" s="2">
        <f>D149+E149+F149+G149+H149</f>
        <v>4000</v>
      </c>
      <c r="D149" s="1"/>
      <c r="E149" s="1"/>
      <c r="F149" s="1">
        <v>4000</v>
      </c>
      <c r="G149" s="1"/>
      <c r="H149" s="1"/>
      <c r="I149" s="40"/>
      <c r="J149" s="40"/>
      <c r="K149" s="40"/>
      <c r="L149" s="48"/>
      <c r="M149" s="48"/>
      <c r="N149" s="48"/>
      <c r="O149" s="48"/>
      <c r="P149" s="38"/>
      <c r="Q149" s="40"/>
      <c r="R149" s="40"/>
      <c r="S149" s="40"/>
      <c r="T149" s="55"/>
    </row>
    <row r="150" spans="1:20" s="7" customFormat="1" ht="15.95" customHeight="1" x14ac:dyDescent="0.2">
      <c r="A150" s="34"/>
      <c r="B150" s="25" t="s">
        <v>2</v>
      </c>
      <c r="C150" s="2">
        <f>D150+E150+F150+G150+H150</f>
        <v>0</v>
      </c>
      <c r="D150" s="1"/>
      <c r="E150" s="1"/>
      <c r="F150" s="1"/>
      <c r="G150" s="1"/>
      <c r="H150" s="1"/>
      <c r="I150" s="40"/>
      <c r="J150" s="40"/>
      <c r="K150" s="40"/>
      <c r="L150" s="48"/>
      <c r="M150" s="48"/>
      <c r="N150" s="48"/>
      <c r="O150" s="48"/>
      <c r="P150" s="38"/>
      <c r="Q150" s="40"/>
      <c r="R150" s="40"/>
      <c r="S150" s="40"/>
      <c r="T150" s="55"/>
    </row>
    <row r="151" spans="1:20" s="7" customFormat="1" ht="15.95" customHeight="1" x14ac:dyDescent="0.2">
      <c r="A151" s="34"/>
      <c r="B151" s="25" t="s">
        <v>3</v>
      </c>
      <c r="C151" s="2">
        <f>D151+E151+F151+G151+H151</f>
        <v>0</v>
      </c>
      <c r="D151" s="1"/>
      <c r="E151" s="1"/>
      <c r="F151" s="1"/>
      <c r="G151" s="1"/>
      <c r="H151" s="1"/>
      <c r="I151" s="41"/>
      <c r="J151" s="41"/>
      <c r="K151" s="41"/>
      <c r="L151" s="48"/>
      <c r="M151" s="48"/>
      <c r="N151" s="48"/>
      <c r="O151" s="48"/>
      <c r="P151" s="38"/>
      <c r="Q151" s="41"/>
      <c r="R151" s="41"/>
      <c r="S151" s="41"/>
      <c r="T151" s="55"/>
    </row>
    <row r="152" spans="1:20" s="7" customFormat="1" ht="15.95" customHeight="1" x14ac:dyDescent="0.2">
      <c r="A152" s="34" t="s">
        <v>362</v>
      </c>
      <c r="B152" s="46" t="s">
        <v>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9"/>
    </row>
    <row r="153" spans="1:20" s="7" customFormat="1" ht="15.95" customHeight="1" x14ac:dyDescent="0.2">
      <c r="A153" s="34"/>
      <c r="B153" s="50" t="s">
        <v>77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1"/>
    </row>
    <row r="154" spans="1:20" s="7" customFormat="1" ht="45" customHeight="1" x14ac:dyDescent="0.2">
      <c r="A154" s="34"/>
      <c r="B154" s="52" t="s">
        <v>808</v>
      </c>
      <c r="C154" s="53"/>
      <c r="D154" s="53"/>
      <c r="E154" s="53"/>
      <c r="F154" s="53"/>
      <c r="G154" s="53"/>
      <c r="H154" s="54"/>
      <c r="I154" s="39"/>
      <c r="J154" s="39" t="s">
        <v>28</v>
      </c>
      <c r="K154" s="39" t="s">
        <v>35</v>
      </c>
      <c r="L154" s="48" t="s">
        <v>359</v>
      </c>
      <c r="M154" s="48" t="s">
        <v>56</v>
      </c>
      <c r="N154" s="48" t="s">
        <v>56</v>
      </c>
      <c r="O154" s="48" t="s">
        <v>56</v>
      </c>
      <c r="P154" s="38" t="s">
        <v>373</v>
      </c>
      <c r="Q154" s="39" t="s">
        <v>29</v>
      </c>
      <c r="R154" s="39" t="s">
        <v>41</v>
      </c>
      <c r="S154" s="39" t="s">
        <v>24</v>
      </c>
      <c r="T154" s="55"/>
    </row>
    <row r="155" spans="1:20" s="7" customFormat="1" ht="15.95" customHeight="1" x14ac:dyDescent="0.2">
      <c r="A155" s="34"/>
      <c r="B155" s="25" t="s">
        <v>5</v>
      </c>
      <c r="C155" s="2">
        <f>D155+E155+F155+G155+H155</f>
        <v>4000</v>
      </c>
      <c r="D155" s="1">
        <f t="shared" ref="D155" si="19">SUM(D156:D159)</f>
        <v>0</v>
      </c>
      <c r="E155" s="1">
        <f t="shared" ref="E155:H155" si="20">SUM(E156:E159)</f>
        <v>0</v>
      </c>
      <c r="F155" s="1">
        <f t="shared" si="20"/>
        <v>4000</v>
      </c>
      <c r="G155" s="1">
        <f t="shared" si="20"/>
        <v>0</v>
      </c>
      <c r="H155" s="1">
        <f t="shared" si="20"/>
        <v>0</v>
      </c>
      <c r="I155" s="40"/>
      <c r="J155" s="40"/>
      <c r="K155" s="40"/>
      <c r="L155" s="48"/>
      <c r="M155" s="48"/>
      <c r="N155" s="48"/>
      <c r="O155" s="48"/>
      <c r="P155" s="38"/>
      <c r="Q155" s="40"/>
      <c r="R155" s="40"/>
      <c r="S155" s="40"/>
      <c r="T155" s="55"/>
    </row>
    <row r="156" spans="1:20" s="7" customFormat="1" ht="15.95" customHeight="1" x14ac:dyDescent="0.2">
      <c r="A156" s="34"/>
      <c r="B156" s="25" t="s">
        <v>0</v>
      </c>
      <c r="C156" s="2">
        <f>D156+E156+F156+G156+H156</f>
        <v>0</v>
      </c>
      <c r="D156" s="1"/>
      <c r="E156" s="1"/>
      <c r="F156" s="1"/>
      <c r="G156" s="1"/>
      <c r="H156" s="1"/>
      <c r="I156" s="40"/>
      <c r="J156" s="40"/>
      <c r="K156" s="40"/>
      <c r="L156" s="48"/>
      <c r="M156" s="48"/>
      <c r="N156" s="48"/>
      <c r="O156" s="48"/>
      <c r="P156" s="38"/>
      <c r="Q156" s="40"/>
      <c r="R156" s="40"/>
      <c r="S156" s="40"/>
      <c r="T156" s="55"/>
    </row>
    <row r="157" spans="1:20" s="7" customFormat="1" ht="15.95" customHeight="1" x14ac:dyDescent="0.2">
      <c r="A157" s="34"/>
      <c r="B157" s="25" t="s">
        <v>1</v>
      </c>
      <c r="C157" s="2">
        <f>D157+E157+F157+G157+H157</f>
        <v>4000</v>
      </c>
      <c r="D157" s="1"/>
      <c r="E157" s="1"/>
      <c r="F157" s="1">
        <v>4000</v>
      </c>
      <c r="G157" s="1"/>
      <c r="H157" s="1"/>
      <c r="I157" s="40"/>
      <c r="J157" s="40"/>
      <c r="K157" s="40"/>
      <c r="L157" s="48"/>
      <c r="M157" s="48"/>
      <c r="N157" s="48"/>
      <c r="O157" s="48"/>
      <c r="P157" s="38"/>
      <c r="Q157" s="40"/>
      <c r="R157" s="40"/>
      <c r="S157" s="40"/>
      <c r="T157" s="55"/>
    </row>
    <row r="158" spans="1:20" s="7" customFormat="1" ht="15.95" customHeight="1" x14ac:dyDescent="0.2">
      <c r="A158" s="34"/>
      <c r="B158" s="25" t="s">
        <v>2</v>
      </c>
      <c r="C158" s="2">
        <f>D158+E158+F158+G158+H158</f>
        <v>0</v>
      </c>
      <c r="D158" s="1"/>
      <c r="E158" s="1"/>
      <c r="F158" s="1"/>
      <c r="G158" s="1"/>
      <c r="H158" s="1"/>
      <c r="I158" s="40"/>
      <c r="J158" s="40"/>
      <c r="K158" s="40"/>
      <c r="L158" s="48"/>
      <c r="M158" s="48"/>
      <c r="N158" s="48"/>
      <c r="O158" s="48"/>
      <c r="P158" s="38"/>
      <c r="Q158" s="40"/>
      <c r="R158" s="40"/>
      <c r="S158" s="40"/>
      <c r="T158" s="55"/>
    </row>
    <row r="159" spans="1:20" s="7" customFormat="1" ht="15.95" customHeight="1" x14ac:dyDescent="0.2">
      <c r="A159" s="34"/>
      <c r="B159" s="25" t="s">
        <v>3</v>
      </c>
      <c r="C159" s="2">
        <f>D159+E159+F159+G159+H159</f>
        <v>0</v>
      </c>
      <c r="D159" s="1"/>
      <c r="E159" s="1"/>
      <c r="F159" s="1"/>
      <c r="G159" s="1"/>
      <c r="H159" s="1"/>
      <c r="I159" s="41"/>
      <c r="J159" s="41"/>
      <c r="K159" s="41"/>
      <c r="L159" s="48"/>
      <c r="M159" s="48"/>
      <c r="N159" s="48"/>
      <c r="O159" s="48"/>
      <c r="P159" s="38"/>
      <c r="Q159" s="41"/>
      <c r="R159" s="41"/>
      <c r="S159" s="41"/>
      <c r="T159" s="55"/>
    </row>
    <row r="160" spans="1:20" s="7" customFormat="1" ht="15.95" customHeight="1" x14ac:dyDescent="0.2">
      <c r="A160" s="34" t="s">
        <v>363</v>
      </c>
      <c r="B160" s="46" t="s">
        <v>56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9"/>
    </row>
    <row r="161" spans="1:20" s="7" customFormat="1" ht="15.95" customHeight="1" x14ac:dyDescent="0.2">
      <c r="A161" s="34"/>
      <c r="B161" s="50" t="s">
        <v>77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1"/>
    </row>
    <row r="162" spans="1:20" s="7" customFormat="1" ht="45" customHeight="1" x14ac:dyDescent="0.2">
      <c r="A162" s="34"/>
      <c r="B162" s="52" t="s">
        <v>809</v>
      </c>
      <c r="C162" s="53"/>
      <c r="D162" s="53"/>
      <c r="E162" s="53"/>
      <c r="F162" s="53"/>
      <c r="G162" s="53"/>
      <c r="H162" s="54"/>
      <c r="I162" s="39"/>
      <c r="J162" s="39" t="s">
        <v>28</v>
      </c>
      <c r="K162" s="39" t="s">
        <v>35</v>
      </c>
      <c r="L162" s="48" t="s">
        <v>359</v>
      </c>
      <c r="M162" s="48" t="s">
        <v>56</v>
      </c>
      <c r="N162" s="48" t="s">
        <v>56</v>
      </c>
      <c r="O162" s="48" t="s">
        <v>56</v>
      </c>
      <c r="P162" s="38" t="s">
        <v>373</v>
      </c>
      <c r="Q162" s="39" t="s">
        <v>29</v>
      </c>
      <c r="R162" s="39" t="s">
        <v>210</v>
      </c>
      <c r="S162" s="39" t="s">
        <v>24</v>
      </c>
      <c r="T162" s="55"/>
    </row>
    <row r="163" spans="1:20" s="7" customFormat="1" ht="15.95" customHeight="1" x14ac:dyDescent="0.2">
      <c r="A163" s="34"/>
      <c r="B163" s="25" t="s">
        <v>5</v>
      </c>
      <c r="C163" s="2">
        <f>D163+E163+F163+G163+H163</f>
        <v>2000</v>
      </c>
      <c r="D163" s="1">
        <f t="shared" ref="D163" si="21">SUM(D164:D167)</f>
        <v>0</v>
      </c>
      <c r="E163" s="1">
        <f t="shared" ref="E163:H163" si="22">SUM(E164:E167)</f>
        <v>0</v>
      </c>
      <c r="F163" s="1">
        <f t="shared" si="22"/>
        <v>2000</v>
      </c>
      <c r="G163" s="1">
        <f t="shared" si="22"/>
        <v>0</v>
      </c>
      <c r="H163" s="1">
        <f t="shared" si="22"/>
        <v>0</v>
      </c>
      <c r="I163" s="40"/>
      <c r="J163" s="40"/>
      <c r="K163" s="40"/>
      <c r="L163" s="48"/>
      <c r="M163" s="48"/>
      <c r="N163" s="48"/>
      <c r="O163" s="48"/>
      <c r="P163" s="38"/>
      <c r="Q163" s="40"/>
      <c r="R163" s="40"/>
      <c r="S163" s="40"/>
      <c r="T163" s="55"/>
    </row>
    <row r="164" spans="1:20" s="7" customFormat="1" ht="15.95" customHeight="1" x14ac:dyDescent="0.2">
      <c r="A164" s="34"/>
      <c r="B164" s="25" t="s">
        <v>0</v>
      </c>
      <c r="C164" s="2">
        <f>D164+E164+F164+G164+H164</f>
        <v>0</v>
      </c>
      <c r="D164" s="1"/>
      <c r="E164" s="1"/>
      <c r="F164" s="1"/>
      <c r="G164" s="1"/>
      <c r="H164" s="1"/>
      <c r="I164" s="40"/>
      <c r="J164" s="40"/>
      <c r="K164" s="40"/>
      <c r="L164" s="48"/>
      <c r="M164" s="48"/>
      <c r="N164" s="48"/>
      <c r="O164" s="48"/>
      <c r="P164" s="38"/>
      <c r="Q164" s="40"/>
      <c r="R164" s="40"/>
      <c r="S164" s="40"/>
      <c r="T164" s="55"/>
    </row>
    <row r="165" spans="1:20" s="7" customFormat="1" ht="15.95" customHeight="1" x14ac:dyDescent="0.2">
      <c r="A165" s="34"/>
      <c r="B165" s="25" t="s">
        <v>1</v>
      </c>
      <c r="C165" s="2">
        <f>D165+E165+F165+G165+H165</f>
        <v>2000</v>
      </c>
      <c r="D165" s="1"/>
      <c r="E165" s="1"/>
      <c r="F165" s="1">
        <v>2000</v>
      </c>
      <c r="G165" s="1"/>
      <c r="H165" s="1"/>
      <c r="I165" s="40"/>
      <c r="J165" s="40"/>
      <c r="K165" s="40"/>
      <c r="L165" s="48"/>
      <c r="M165" s="48"/>
      <c r="N165" s="48"/>
      <c r="O165" s="48"/>
      <c r="P165" s="38"/>
      <c r="Q165" s="40"/>
      <c r="R165" s="40"/>
      <c r="S165" s="40"/>
      <c r="T165" s="55"/>
    </row>
    <row r="166" spans="1:20" s="7" customFormat="1" ht="15.95" customHeight="1" x14ac:dyDescent="0.2">
      <c r="A166" s="34"/>
      <c r="B166" s="25" t="s">
        <v>2</v>
      </c>
      <c r="C166" s="2">
        <f>D166+E166+F166+G166+H166</f>
        <v>0</v>
      </c>
      <c r="D166" s="1"/>
      <c r="E166" s="1"/>
      <c r="F166" s="1"/>
      <c r="G166" s="1"/>
      <c r="H166" s="1"/>
      <c r="I166" s="40"/>
      <c r="J166" s="40"/>
      <c r="K166" s="40"/>
      <c r="L166" s="48"/>
      <c r="M166" s="48"/>
      <c r="N166" s="48"/>
      <c r="O166" s="48"/>
      <c r="P166" s="38"/>
      <c r="Q166" s="40"/>
      <c r="R166" s="40"/>
      <c r="S166" s="40"/>
      <c r="T166" s="55"/>
    </row>
    <row r="167" spans="1:20" s="7" customFormat="1" ht="15.95" customHeight="1" x14ac:dyDescent="0.2">
      <c r="A167" s="34"/>
      <c r="B167" s="25" t="s">
        <v>3</v>
      </c>
      <c r="C167" s="2">
        <f>D167+E167+F167+G167+H167</f>
        <v>0</v>
      </c>
      <c r="D167" s="1"/>
      <c r="E167" s="1"/>
      <c r="F167" s="1"/>
      <c r="G167" s="1"/>
      <c r="H167" s="1"/>
      <c r="I167" s="41"/>
      <c r="J167" s="41"/>
      <c r="K167" s="41"/>
      <c r="L167" s="48"/>
      <c r="M167" s="48"/>
      <c r="N167" s="48"/>
      <c r="O167" s="48"/>
      <c r="P167" s="38"/>
      <c r="Q167" s="41"/>
      <c r="R167" s="41"/>
      <c r="S167" s="41"/>
      <c r="T167" s="55"/>
    </row>
    <row r="168" spans="1:20" s="7" customFormat="1" ht="15.95" customHeight="1" x14ac:dyDescent="0.2">
      <c r="A168" s="34" t="s">
        <v>364</v>
      </c>
      <c r="B168" s="46" t="s">
        <v>56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9"/>
    </row>
    <row r="169" spans="1:20" s="7" customFormat="1" ht="15.95" customHeight="1" x14ac:dyDescent="0.2">
      <c r="A169" s="34"/>
      <c r="B169" s="50" t="s">
        <v>77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1"/>
    </row>
    <row r="170" spans="1:20" s="7" customFormat="1" ht="45" customHeight="1" x14ac:dyDescent="0.2">
      <c r="A170" s="34"/>
      <c r="B170" s="52" t="s">
        <v>810</v>
      </c>
      <c r="C170" s="53"/>
      <c r="D170" s="53"/>
      <c r="E170" s="53"/>
      <c r="F170" s="53"/>
      <c r="G170" s="53"/>
      <c r="H170" s="54"/>
      <c r="I170" s="39"/>
      <c r="J170" s="39" t="s">
        <v>28</v>
      </c>
      <c r="K170" s="39" t="s">
        <v>35</v>
      </c>
      <c r="L170" s="48" t="s">
        <v>359</v>
      </c>
      <c r="M170" s="48" t="s">
        <v>56</v>
      </c>
      <c r="N170" s="48" t="s">
        <v>56</v>
      </c>
      <c r="O170" s="48" t="s">
        <v>56</v>
      </c>
      <c r="P170" s="38" t="s">
        <v>373</v>
      </c>
      <c r="Q170" s="39" t="s">
        <v>29</v>
      </c>
      <c r="R170" s="39" t="s">
        <v>244</v>
      </c>
      <c r="S170" s="39" t="s">
        <v>24</v>
      </c>
      <c r="T170" s="55"/>
    </row>
    <row r="171" spans="1:20" s="7" customFormat="1" ht="15.95" customHeight="1" x14ac:dyDescent="0.2">
      <c r="A171" s="34"/>
      <c r="B171" s="25" t="s">
        <v>5</v>
      </c>
      <c r="C171" s="2">
        <f>D171+E171+F171+G171+H171</f>
        <v>2000</v>
      </c>
      <c r="D171" s="1">
        <f t="shared" ref="D171" si="23">SUM(D172:D175)</f>
        <v>0</v>
      </c>
      <c r="E171" s="1">
        <f t="shared" ref="E171:H171" si="24">SUM(E172:E175)</f>
        <v>0</v>
      </c>
      <c r="F171" s="1">
        <f t="shared" si="24"/>
        <v>2000</v>
      </c>
      <c r="G171" s="1">
        <f t="shared" si="24"/>
        <v>0</v>
      </c>
      <c r="H171" s="1">
        <f t="shared" si="24"/>
        <v>0</v>
      </c>
      <c r="I171" s="40"/>
      <c r="J171" s="40"/>
      <c r="K171" s="40"/>
      <c r="L171" s="48"/>
      <c r="M171" s="48"/>
      <c r="N171" s="48"/>
      <c r="O171" s="48"/>
      <c r="P171" s="38"/>
      <c r="Q171" s="40"/>
      <c r="R171" s="40"/>
      <c r="S171" s="40"/>
      <c r="T171" s="55"/>
    </row>
    <row r="172" spans="1:20" s="7" customFormat="1" ht="15.95" customHeight="1" x14ac:dyDescent="0.2">
      <c r="A172" s="34"/>
      <c r="B172" s="25" t="s">
        <v>0</v>
      </c>
      <c r="C172" s="2">
        <f>D172+E172+F172+G172+H172</f>
        <v>0</v>
      </c>
      <c r="D172" s="1"/>
      <c r="E172" s="1"/>
      <c r="F172" s="1"/>
      <c r="G172" s="1"/>
      <c r="H172" s="1"/>
      <c r="I172" s="40"/>
      <c r="J172" s="40"/>
      <c r="K172" s="40"/>
      <c r="L172" s="48"/>
      <c r="M172" s="48"/>
      <c r="N172" s="48"/>
      <c r="O172" s="48"/>
      <c r="P172" s="38"/>
      <c r="Q172" s="40"/>
      <c r="R172" s="40"/>
      <c r="S172" s="40"/>
      <c r="T172" s="55"/>
    </row>
    <row r="173" spans="1:20" s="7" customFormat="1" ht="15.95" customHeight="1" x14ac:dyDescent="0.2">
      <c r="A173" s="34"/>
      <c r="B173" s="25" t="s">
        <v>1</v>
      </c>
      <c r="C173" s="2">
        <f>D173+E173+F173+G173+H173</f>
        <v>2000</v>
      </c>
      <c r="D173" s="1"/>
      <c r="E173" s="1"/>
      <c r="F173" s="1">
        <v>2000</v>
      </c>
      <c r="G173" s="1"/>
      <c r="H173" s="1"/>
      <c r="I173" s="40"/>
      <c r="J173" s="40"/>
      <c r="K173" s="40"/>
      <c r="L173" s="48"/>
      <c r="M173" s="48"/>
      <c r="N173" s="48"/>
      <c r="O173" s="48"/>
      <c r="P173" s="38"/>
      <c r="Q173" s="40"/>
      <c r="R173" s="40"/>
      <c r="S173" s="40"/>
      <c r="T173" s="55"/>
    </row>
    <row r="174" spans="1:20" s="7" customFormat="1" ht="15.95" customHeight="1" x14ac:dyDescent="0.2">
      <c r="A174" s="34"/>
      <c r="B174" s="25" t="s">
        <v>2</v>
      </c>
      <c r="C174" s="2">
        <f>D174+E174+F174+G174+H174</f>
        <v>0</v>
      </c>
      <c r="D174" s="1"/>
      <c r="E174" s="1"/>
      <c r="F174" s="1"/>
      <c r="G174" s="1"/>
      <c r="H174" s="1"/>
      <c r="I174" s="40"/>
      <c r="J174" s="40"/>
      <c r="K174" s="40"/>
      <c r="L174" s="48"/>
      <c r="M174" s="48"/>
      <c r="N174" s="48"/>
      <c r="O174" s="48"/>
      <c r="P174" s="38"/>
      <c r="Q174" s="40"/>
      <c r="R174" s="40"/>
      <c r="S174" s="40"/>
      <c r="T174" s="55"/>
    </row>
    <row r="175" spans="1:20" s="7" customFormat="1" ht="15.95" customHeight="1" x14ac:dyDescent="0.2">
      <c r="A175" s="34"/>
      <c r="B175" s="25" t="s">
        <v>3</v>
      </c>
      <c r="C175" s="2">
        <f>D175+E175+F175+G175+H175</f>
        <v>0</v>
      </c>
      <c r="D175" s="1"/>
      <c r="E175" s="1"/>
      <c r="F175" s="1"/>
      <c r="G175" s="1"/>
      <c r="H175" s="1"/>
      <c r="I175" s="41"/>
      <c r="J175" s="41"/>
      <c r="K175" s="41"/>
      <c r="L175" s="48"/>
      <c r="M175" s="48"/>
      <c r="N175" s="48"/>
      <c r="O175" s="48"/>
      <c r="P175" s="38"/>
      <c r="Q175" s="41"/>
      <c r="R175" s="41"/>
      <c r="S175" s="41"/>
      <c r="T175" s="55"/>
    </row>
    <row r="176" spans="1:20" s="7" customFormat="1" ht="15.95" customHeight="1" x14ac:dyDescent="0.2">
      <c r="A176" s="34" t="s">
        <v>365</v>
      </c>
      <c r="B176" s="46" t="s">
        <v>56</v>
      </c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9"/>
    </row>
    <row r="177" spans="1:20" s="7" customFormat="1" ht="15.95" customHeight="1" x14ac:dyDescent="0.2">
      <c r="A177" s="34"/>
      <c r="B177" s="50" t="s">
        <v>77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1"/>
    </row>
    <row r="178" spans="1:20" s="7" customFormat="1" ht="45" customHeight="1" x14ac:dyDescent="0.2">
      <c r="A178" s="34"/>
      <c r="B178" s="52" t="s">
        <v>811</v>
      </c>
      <c r="C178" s="53"/>
      <c r="D178" s="53"/>
      <c r="E178" s="53"/>
      <c r="F178" s="53"/>
      <c r="G178" s="53"/>
      <c r="H178" s="54"/>
      <c r="I178" s="39"/>
      <c r="J178" s="39" t="s">
        <v>28</v>
      </c>
      <c r="K178" s="39" t="s">
        <v>35</v>
      </c>
      <c r="L178" s="48" t="s">
        <v>359</v>
      </c>
      <c r="M178" s="48" t="s">
        <v>56</v>
      </c>
      <c r="N178" s="48" t="s">
        <v>56</v>
      </c>
      <c r="O178" s="48" t="s">
        <v>56</v>
      </c>
      <c r="P178" s="38" t="s">
        <v>373</v>
      </c>
      <c r="Q178" s="39" t="s">
        <v>29</v>
      </c>
      <c r="R178" s="39" t="s">
        <v>36</v>
      </c>
      <c r="S178" s="39" t="s">
        <v>24</v>
      </c>
      <c r="T178" s="55"/>
    </row>
    <row r="179" spans="1:20" s="7" customFormat="1" ht="15.95" customHeight="1" x14ac:dyDescent="0.2">
      <c r="A179" s="34"/>
      <c r="B179" s="25" t="s">
        <v>5</v>
      </c>
      <c r="C179" s="2">
        <f>SUM(D179:H179)</f>
        <v>2000</v>
      </c>
      <c r="D179" s="1">
        <f t="shared" ref="D179" si="25">SUM(D180:D183)</f>
        <v>0</v>
      </c>
      <c r="E179" s="1">
        <f t="shared" ref="E179:H179" si="26">SUM(E180:E183)</f>
        <v>0</v>
      </c>
      <c r="F179" s="1">
        <f t="shared" si="26"/>
        <v>2000</v>
      </c>
      <c r="G179" s="1">
        <f t="shared" si="26"/>
        <v>0</v>
      </c>
      <c r="H179" s="1">
        <f t="shared" si="26"/>
        <v>0</v>
      </c>
      <c r="I179" s="40"/>
      <c r="J179" s="40"/>
      <c r="K179" s="40"/>
      <c r="L179" s="48"/>
      <c r="M179" s="48"/>
      <c r="N179" s="48"/>
      <c r="O179" s="48"/>
      <c r="P179" s="38"/>
      <c r="Q179" s="40"/>
      <c r="R179" s="40"/>
      <c r="S179" s="40"/>
      <c r="T179" s="55"/>
    </row>
    <row r="180" spans="1:20" s="7" customFormat="1" ht="15.95" customHeight="1" x14ac:dyDescent="0.2">
      <c r="A180" s="34"/>
      <c r="B180" s="25" t="s">
        <v>0</v>
      </c>
      <c r="C180" s="2">
        <f>SUM(D180:H180)</f>
        <v>0</v>
      </c>
      <c r="D180" s="1"/>
      <c r="E180" s="1"/>
      <c r="F180" s="1"/>
      <c r="G180" s="1"/>
      <c r="H180" s="1"/>
      <c r="I180" s="40"/>
      <c r="J180" s="40"/>
      <c r="K180" s="40"/>
      <c r="L180" s="48"/>
      <c r="M180" s="48"/>
      <c r="N180" s="48"/>
      <c r="O180" s="48"/>
      <c r="P180" s="38"/>
      <c r="Q180" s="40"/>
      <c r="R180" s="40"/>
      <c r="S180" s="40"/>
      <c r="T180" s="55"/>
    </row>
    <row r="181" spans="1:20" s="7" customFormat="1" ht="15.95" customHeight="1" x14ac:dyDescent="0.2">
      <c r="A181" s="34"/>
      <c r="B181" s="25" t="s">
        <v>1</v>
      </c>
      <c r="C181" s="2">
        <f>SUM(D181:H181)</f>
        <v>2000</v>
      </c>
      <c r="D181" s="1"/>
      <c r="E181" s="1"/>
      <c r="F181" s="1">
        <v>2000</v>
      </c>
      <c r="G181" s="1"/>
      <c r="H181" s="1"/>
      <c r="I181" s="40"/>
      <c r="J181" s="40"/>
      <c r="K181" s="40"/>
      <c r="L181" s="48"/>
      <c r="M181" s="48"/>
      <c r="N181" s="48"/>
      <c r="O181" s="48"/>
      <c r="P181" s="38"/>
      <c r="Q181" s="40"/>
      <c r="R181" s="40"/>
      <c r="S181" s="40"/>
      <c r="T181" s="55"/>
    </row>
    <row r="182" spans="1:20" s="7" customFormat="1" ht="15.95" customHeight="1" x14ac:dyDescent="0.2">
      <c r="A182" s="34"/>
      <c r="B182" s="25" t="s">
        <v>2</v>
      </c>
      <c r="C182" s="2">
        <f>SUM(D182:H182)</f>
        <v>0</v>
      </c>
      <c r="D182" s="1"/>
      <c r="E182" s="1"/>
      <c r="F182" s="1"/>
      <c r="G182" s="1"/>
      <c r="H182" s="1"/>
      <c r="I182" s="40"/>
      <c r="J182" s="40"/>
      <c r="K182" s="40"/>
      <c r="L182" s="48"/>
      <c r="M182" s="48"/>
      <c r="N182" s="48"/>
      <c r="O182" s="48"/>
      <c r="P182" s="38"/>
      <c r="Q182" s="40"/>
      <c r="R182" s="40"/>
      <c r="S182" s="40"/>
      <c r="T182" s="55"/>
    </row>
    <row r="183" spans="1:20" s="7" customFormat="1" ht="15.95" customHeight="1" x14ac:dyDescent="0.2">
      <c r="A183" s="34"/>
      <c r="B183" s="25" t="s">
        <v>3</v>
      </c>
      <c r="C183" s="2">
        <f>SUM(D183:H183)</f>
        <v>0</v>
      </c>
      <c r="D183" s="1"/>
      <c r="E183" s="1"/>
      <c r="F183" s="1"/>
      <c r="G183" s="1"/>
      <c r="H183" s="1"/>
      <c r="I183" s="41"/>
      <c r="J183" s="41"/>
      <c r="K183" s="41"/>
      <c r="L183" s="48"/>
      <c r="M183" s="48"/>
      <c r="N183" s="48"/>
      <c r="O183" s="48"/>
      <c r="P183" s="38"/>
      <c r="Q183" s="41"/>
      <c r="R183" s="41"/>
      <c r="S183" s="41"/>
      <c r="T183" s="55"/>
    </row>
    <row r="184" spans="1:20" s="7" customFormat="1" ht="15.95" customHeight="1" x14ac:dyDescent="0.2">
      <c r="A184" s="34" t="s">
        <v>441</v>
      </c>
      <c r="B184" s="45" t="s">
        <v>190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9"/>
    </row>
    <row r="185" spans="1:20" s="7" customFormat="1" ht="15.95" customHeight="1" x14ac:dyDescent="0.2">
      <c r="A185" s="34"/>
      <c r="B185" s="50" t="s">
        <v>77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1"/>
    </row>
    <row r="186" spans="1:20" s="7" customFormat="1" ht="45" customHeight="1" x14ac:dyDescent="0.2">
      <c r="A186" s="34"/>
      <c r="B186" s="52" t="s">
        <v>442</v>
      </c>
      <c r="C186" s="53"/>
      <c r="D186" s="53"/>
      <c r="E186" s="53"/>
      <c r="F186" s="53"/>
      <c r="G186" s="53"/>
      <c r="H186" s="54"/>
      <c r="I186" s="39">
        <v>2025</v>
      </c>
      <c r="J186" s="39" t="s">
        <v>207</v>
      </c>
      <c r="K186" s="39" t="s">
        <v>35</v>
      </c>
      <c r="L186" s="39" t="s">
        <v>443</v>
      </c>
      <c r="M186" s="39" t="s">
        <v>805</v>
      </c>
      <c r="N186" s="39" t="s">
        <v>190</v>
      </c>
      <c r="O186" s="39" t="s">
        <v>805</v>
      </c>
      <c r="P186" s="84" t="s">
        <v>444</v>
      </c>
      <c r="Q186" s="39" t="s">
        <v>29</v>
      </c>
      <c r="R186" s="39" t="s">
        <v>445</v>
      </c>
      <c r="S186" s="39" t="s">
        <v>30</v>
      </c>
      <c r="T186" s="55"/>
    </row>
    <row r="187" spans="1:20" s="7" customFormat="1" ht="15.95" customHeight="1" x14ac:dyDescent="0.2">
      <c r="A187" s="34"/>
      <c r="B187" s="25" t="s">
        <v>5</v>
      </c>
      <c r="C187" s="2">
        <f>D187+E187+F187+G187+H187</f>
        <v>204903.95653</v>
      </c>
      <c r="D187" s="1">
        <f t="shared" ref="D187:F187" si="27">SUM(D188:D191)</f>
        <v>176.61500000000001</v>
      </c>
      <c r="E187" s="1">
        <f t="shared" si="27"/>
        <v>0</v>
      </c>
      <c r="F187" s="1">
        <f t="shared" si="27"/>
        <v>204727.34153000001</v>
      </c>
      <c r="G187" s="1">
        <f t="shared" ref="G187:H187" si="28">SUM(G188:G191)</f>
        <v>0</v>
      </c>
      <c r="H187" s="1">
        <f t="shared" si="28"/>
        <v>0</v>
      </c>
      <c r="I187" s="40"/>
      <c r="J187" s="40"/>
      <c r="K187" s="40"/>
      <c r="L187" s="40"/>
      <c r="M187" s="40"/>
      <c r="N187" s="40"/>
      <c r="O187" s="40"/>
      <c r="P187" s="85"/>
      <c r="Q187" s="40"/>
      <c r="R187" s="40"/>
      <c r="S187" s="40"/>
      <c r="T187" s="55"/>
    </row>
    <row r="188" spans="1:20" s="7" customFormat="1" ht="15.95" customHeight="1" x14ac:dyDescent="0.2">
      <c r="A188" s="34"/>
      <c r="B188" s="25" t="s">
        <v>0</v>
      </c>
      <c r="C188" s="2">
        <f>D188+E188+F188+G188+H188</f>
        <v>204727.34153000001</v>
      </c>
      <c r="D188" s="1"/>
      <c r="E188" s="1"/>
      <c r="F188" s="1">
        <f>204727.34154-0.00001</f>
        <v>204727.34153000001</v>
      </c>
      <c r="G188" s="1"/>
      <c r="H188" s="1"/>
      <c r="I188" s="40"/>
      <c r="J188" s="40"/>
      <c r="K188" s="40"/>
      <c r="L188" s="40"/>
      <c r="M188" s="40"/>
      <c r="N188" s="40"/>
      <c r="O188" s="40"/>
      <c r="P188" s="85"/>
      <c r="Q188" s="40"/>
      <c r="R188" s="40"/>
      <c r="S188" s="40"/>
      <c r="T188" s="55"/>
    </row>
    <row r="189" spans="1:20" s="7" customFormat="1" ht="15.95" customHeight="1" x14ac:dyDescent="0.2">
      <c r="A189" s="34"/>
      <c r="B189" s="25" t="s">
        <v>1</v>
      </c>
      <c r="C189" s="2">
        <f>D189+E189+F189+G189+H189</f>
        <v>176.61500000000001</v>
      </c>
      <c r="D189" s="1">
        <f>0+176.615</f>
        <v>176.61500000000001</v>
      </c>
      <c r="E189" s="1"/>
      <c r="F189" s="1"/>
      <c r="G189" s="1"/>
      <c r="H189" s="1"/>
      <c r="I189" s="40"/>
      <c r="J189" s="40"/>
      <c r="K189" s="40"/>
      <c r="L189" s="40"/>
      <c r="M189" s="40"/>
      <c r="N189" s="40"/>
      <c r="O189" s="40"/>
      <c r="P189" s="85"/>
      <c r="Q189" s="40"/>
      <c r="R189" s="40"/>
      <c r="S189" s="40"/>
      <c r="T189" s="55"/>
    </row>
    <row r="190" spans="1:20" s="7" customFormat="1" ht="15.95" customHeight="1" x14ac:dyDescent="0.2">
      <c r="A190" s="34"/>
      <c r="B190" s="25" t="s">
        <v>2</v>
      </c>
      <c r="C190" s="2">
        <f>SUM(D190:H190)</f>
        <v>0</v>
      </c>
      <c r="D190" s="1"/>
      <c r="E190" s="1"/>
      <c r="F190" s="1"/>
      <c r="G190" s="1"/>
      <c r="H190" s="1"/>
      <c r="I190" s="40"/>
      <c r="J190" s="40"/>
      <c r="K190" s="40"/>
      <c r="L190" s="40"/>
      <c r="M190" s="40"/>
      <c r="N190" s="40"/>
      <c r="O190" s="40"/>
      <c r="P190" s="85"/>
      <c r="Q190" s="40"/>
      <c r="R190" s="40"/>
      <c r="S190" s="40"/>
      <c r="T190" s="55"/>
    </row>
    <row r="191" spans="1:20" s="7" customFormat="1" ht="15.95" customHeight="1" x14ac:dyDescent="0.2">
      <c r="A191" s="34"/>
      <c r="B191" s="25" t="s">
        <v>3</v>
      </c>
      <c r="C191" s="2">
        <f>SUM(D191:H191)</f>
        <v>0</v>
      </c>
      <c r="D191" s="1"/>
      <c r="E191" s="1"/>
      <c r="F191" s="1"/>
      <c r="G191" s="1"/>
      <c r="H191" s="1"/>
      <c r="I191" s="41"/>
      <c r="J191" s="41"/>
      <c r="K191" s="41"/>
      <c r="L191" s="41"/>
      <c r="M191" s="41"/>
      <c r="N191" s="41"/>
      <c r="O191" s="41"/>
      <c r="P191" s="86"/>
      <c r="Q191" s="41"/>
      <c r="R191" s="41"/>
      <c r="S191" s="41"/>
      <c r="T191" s="55"/>
    </row>
    <row r="192" spans="1:20" s="7" customFormat="1" ht="15.95" customHeight="1" x14ac:dyDescent="0.2">
      <c r="A192" s="34" t="s">
        <v>446</v>
      </c>
      <c r="B192" s="45" t="s">
        <v>190</v>
      </c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9"/>
    </row>
    <row r="193" spans="1:20" s="7" customFormat="1" ht="15.95" customHeight="1" x14ac:dyDescent="0.2">
      <c r="A193" s="34"/>
      <c r="B193" s="50" t="s">
        <v>77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1"/>
    </row>
    <row r="194" spans="1:20" s="7" customFormat="1" ht="45" customHeight="1" x14ac:dyDescent="0.2">
      <c r="A194" s="34"/>
      <c r="B194" s="52" t="s">
        <v>454</v>
      </c>
      <c r="C194" s="53"/>
      <c r="D194" s="53"/>
      <c r="E194" s="53"/>
      <c r="F194" s="53"/>
      <c r="G194" s="53"/>
      <c r="H194" s="54"/>
      <c r="I194" s="39" t="s">
        <v>455</v>
      </c>
      <c r="J194" s="39" t="s">
        <v>456</v>
      </c>
      <c r="K194" s="39" t="s">
        <v>35</v>
      </c>
      <c r="L194" s="39" t="s">
        <v>443</v>
      </c>
      <c r="M194" s="39" t="s">
        <v>805</v>
      </c>
      <c r="N194" s="39" t="s">
        <v>190</v>
      </c>
      <c r="O194" s="39" t="s">
        <v>805</v>
      </c>
      <c r="P194" s="84" t="s">
        <v>444</v>
      </c>
      <c r="Q194" s="39" t="s">
        <v>29</v>
      </c>
      <c r="R194" s="39" t="s">
        <v>213</v>
      </c>
      <c r="S194" s="39" t="s">
        <v>30</v>
      </c>
      <c r="T194" s="55"/>
    </row>
    <row r="195" spans="1:20" s="7" customFormat="1" ht="15.95" customHeight="1" x14ac:dyDescent="0.2">
      <c r="A195" s="34"/>
      <c r="B195" s="25" t="s">
        <v>5</v>
      </c>
      <c r="C195" s="2">
        <f>D195+E195+F195+G195+H195</f>
        <v>545494.75008000003</v>
      </c>
      <c r="D195" s="1">
        <f t="shared" ref="D195:F195" si="29">SUM(D196:D199)</f>
        <v>0</v>
      </c>
      <c r="E195" s="1">
        <f t="shared" si="29"/>
        <v>0</v>
      </c>
      <c r="F195" s="1">
        <f t="shared" si="29"/>
        <v>195494.75008</v>
      </c>
      <c r="G195" s="1">
        <f t="shared" ref="G195:H195" si="30">SUM(G196:G199)</f>
        <v>350000</v>
      </c>
      <c r="H195" s="1">
        <f t="shared" si="30"/>
        <v>0</v>
      </c>
      <c r="I195" s="40"/>
      <c r="J195" s="40"/>
      <c r="K195" s="40"/>
      <c r="L195" s="40"/>
      <c r="M195" s="40"/>
      <c r="N195" s="40"/>
      <c r="O195" s="40"/>
      <c r="P195" s="85"/>
      <c r="Q195" s="40"/>
      <c r="R195" s="40"/>
      <c r="S195" s="40"/>
      <c r="T195" s="55"/>
    </row>
    <row r="196" spans="1:20" s="7" customFormat="1" ht="15.95" customHeight="1" x14ac:dyDescent="0.2">
      <c r="A196" s="34"/>
      <c r="B196" s="25" t="s">
        <v>0</v>
      </c>
      <c r="C196" s="2">
        <f>D196+E196+F196+G196+H196</f>
        <v>537610.56270999997</v>
      </c>
      <c r="D196" s="1"/>
      <c r="E196" s="1"/>
      <c r="F196" s="1">
        <f>342115.81263-146621.06255</f>
        <v>195494.75008</v>
      </c>
      <c r="G196" s="1">
        <f>0+195494.75007+146621.06256</f>
        <v>342115.81263</v>
      </c>
      <c r="H196" s="1"/>
      <c r="I196" s="40"/>
      <c r="J196" s="40"/>
      <c r="K196" s="40"/>
      <c r="L196" s="40"/>
      <c r="M196" s="40"/>
      <c r="N196" s="40"/>
      <c r="O196" s="40"/>
      <c r="P196" s="85"/>
      <c r="Q196" s="40"/>
      <c r="R196" s="40"/>
      <c r="S196" s="40"/>
      <c r="T196" s="55"/>
    </row>
    <row r="197" spans="1:20" s="7" customFormat="1" ht="15.95" customHeight="1" x14ac:dyDescent="0.2">
      <c r="A197" s="34"/>
      <c r="B197" s="25" t="s">
        <v>1</v>
      </c>
      <c r="C197" s="2">
        <f>D197+E197+F197+G197+H197</f>
        <v>7884.1873699999996</v>
      </c>
      <c r="D197" s="1"/>
      <c r="E197" s="1"/>
      <c r="F197" s="1"/>
      <c r="G197" s="1">
        <f>0+4505.24993+3378.93744</f>
        <v>7884.1873699999996</v>
      </c>
      <c r="H197" s="1"/>
      <c r="I197" s="40"/>
      <c r="J197" s="40"/>
      <c r="K197" s="40"/>
      <c r="L197" s="40"/>
      <c r="M197" s="40"/>
      <c r="N197" s="40"/>
      <c r="O197" s="40"/>
      <c r="P197" s="85"/>
      <c r="Q197" s="40"/>
      <c r="R197" s="40"/>
      <c r="S197" s="40"/>
      <c r="T197" s="55"/>
    </row>
    <row r="198" spans="1:20" s="7" customFormat="1" ht="15.95" customHeight="1" x14ac:dyDescent="0.2">
      <c r="A198" s="34"/>
      <c r="B198" s="25" t="s">
        <v>2</v>
      </c>
      <c r="C198" s="2">
        <f>SUM(D198:H198)</f>
        <v>0</v>
      </c>
      <c r="D198" s="1"/>
      <c r="E198" s="1"/>
      <c r="F198" s="1"/>
      <c r="G198" s="1"/>
      <c r="H198" s="1"/>
      <c r="I198" s="40"/>
      <c r="J198" s="40"/>
      <c r="K198" s="40"/>
      <c r="L198" s="40"/>
      <c r="M198" s="40"/>
      <c r="N198" s="40"/>
      <c r="O198" s="40"/>
      <c r="P198" s="85"/>
      <c r="Q198" s="40"/>
      <c r="R198" s="40"/>
      <c r="S198" s="40"/>
      <c r="T198" s="55"/>
    </row>
    <row r="199" spans="1:20" s="7" customFormat="1" ht="15.95" customHeight="1" x14ac:dyDescent="0.2">
      <c r="A199" s="34"/>
      <c r="B199" s="25" t="s">
        <v>3</v>
      </c>
      <c r="C199" s="2">
        <f>SUM(D199:H199)</f>
        <v>0</v>
      </c>
      <c r="D199" s="1"/>
      <c r="E199" s="1"/>
      <c r="F199" s="1"/>
      <c r="G199" s="1"/>
      <c r="H199" s="1"/>
      <c r="I199" s="41"/>
      <c r="J199" s="41"/>
      <c r="K199" s="41"/>
      <c r="L199" s="41"/>
      <c r="M199" s="41"/>
      <c r="N199" s="41"/>
      <c r="O199" s="41"/>
      <c r="P199" s="86"/>
      <c r="Q199" s="41"/>
      <c r="R199" s="41"/>
      <c r="S199" s="41"/>
      <c r="T199" s="55"/>
    </row>
    <row r="200" spans="1:20" s="7" customFormat="1" ht="15.95" customHeight="1" x14ac:dyDescent="0.2">
      <c r="A200" s="34" t="s">
        <v>451</v>
      </c>
      <c r="B200" s="45" t="s">
        <v>190</v>
      </c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9"/>
    </row>
    <row r="201" spans="1:20" s="7" customFormat="1" ht="15.95" customHeight="1" x14ac:dyDescent="0.2">
      <c r="A201" s="34"/>
      <c r="B201" s="50" t="s">
        <v>77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1"/>
    </row>
    <row r="202" spans="1:20" s="7" customFormat="1" ht="45" customHeight="1" x14ac:dyDescent="0.2">
      <c r="A202" s="34"/>
      <c r="B202" s="52" t="s">
        <v>447</v>
      </c>
      <c r="C202" s="53"/>
      <c r="D202" s="53"/>
      <c r="E202" s="53"/>
      <c r="F202" s="53"/>
      <c r="G202" s="53"/>
      <c r="H202" s="54"/>
      <c r="I202" s="39" t="s">
        <v>448</v>
      </c>
      <c r="J202" s="39" t="s">
        <v>207</v>
      </c>
      <c r="K202" s="39" t="s">
        <v>35</v>
      </c>
      <c r="L202" s="39" t="s">
        <v>449</v>
      </c>
      <c r="M202" s="39" t="s">
        <v>805</v>
      </c>
      <c r="N202" s="39" t="s">
        <v>190</v>
      </c>
      <c r="O202" s="39" t="s">
        <v>805</v>
      </c>
      <c r="P202" s="84" t="s">
        <v>444</v>
      </c>
      <c r="Q202" s="39" t="s">
        <v>29</v>
      </c>
      <c r="R202" s="39" t="s">
        <v>450</v>
      </c>
      <c r="S202" s="39" t="s">
        <v>30</v>
      </c>
      <c r="T202" s="55"/>
    </row>
    <row r="203" spans="1:20" s="7" customFormat="1" ht="15.95" customHeight="1" x14ac:dyDescent="0.2">
      <c r="A203" s="34"/>
      <c r="B203" s="25" t="s">
        <v>5</v>
      </c>
      <c r="C203" s="2">
        <f>D203+E203+F203+G203+H203</f>
        <v>137738.09391</v>
      </c>
      <c r="D203" s="1">
        <f t="shared" ref="D203:F203" si="31">SUM(D204:D207)</f>
        <v>0</v>
      </c>
      <c r="E203" s="1">
        <f t="shared" si="31"/>
        <v>0</v>
      </c>
      <c r="F203" s="1">
        <f t="shared" si="31"/>
        <v>137738.09391</v>
      </c>
      <c r="G203" s="1">
        <f t="shared" ref="G203:H203" si="32">SUM(G204:G207)</f>
        <v>0</v>
      </c>
      <c r="H203" s="1">
        <f t="shared" si="32"/>
        <v>0</v>
      </c>
      <c r="I203" s="40"/>
      <c r="J203" s="40"/>
      <c r="K203" s="40"/>
      <c r="L203" s="40"/>
      <c r="M203" s="40"/>
      <c r="N203" s="40"/>
      <c r="O203" s="40"/>
      <c r="P203" s="85"/>
      <c r="Q203" s="40"/>
      <c r="R203" s="40"/>
      <c r="S203" s="40"/>
      <c r="T203" s="55"/>
    </row>
    <row r="204" spans="1:20" s="7" customFormat="1" ht="15.95" customHeight="1" x14ac:dyDescent="0.2">
      <c r="A204" s="34"/>
      <c r="B204" s="25" t="s">
        <v>0</v>
      </c>
      <c r="C204" s="2">
        <f>D204+E204+F204+G204+H204</f>
        <v>137738.09391</v>
      </c>
      <c r="D204" s="1"/>
      <c r="E204" s="1"/>
      <c r="F204" s="1">
        <f>137738.0939+0.00001</f>
        <v>137738.09391</v>
      </c>
      <c r="G204" s="1"/>
      <c r="H204" s="1"/>
      <c r="I204" s="40"/>
      <c r="J204" s="40"/>
      <c r="K204" s="40"/>
      <c r="L204" s="40"/>
      <c r="M204" s="40"/>
      <c r="N204" s="40"/>
      <c r="O204" s="40"/>
      <c r="P204" s="85"/>
      <c r="Q204" s="40"/>
      <c r="R204" s="40"/>
      <c r="S204" s="40"/>
      <c r="T204" s="55"/>
    </row>
    <row r="205" spans="1:20" s="7" customFormat="1" ht="15.95" customHeight="1" x14ac:dyDescent="0.2">
      <c r="A205" s="34"/>
      <c r="B205" s="25" t="s">
        <v>1</v>
      </c>
      <c r="C205" s="2">
        <f>D205+E205+F205+G205+H205</f>
        <v>0</v>
      </c>
      <c r="D205" s="1"/>
      <c r="E205" s="1"/>
      <c r="F205" s="1"/>
      <c r="G205" s="1"/>
      <c r="H205" s="1"/>
      <c r="I205" s="40"/>
      <c r="J205" s="40"/>
      <c r="K205" s="40"/>
      <c r="L205" s="40"/>
      <c r="M205" s="40"/>
      <c r="N205" s="40"/>
      <c r="O205" s="40"/>
      <c r="P205" s="85"/>
      <c r="Q205" s="40"/>
      <c r="R205" s="40"/>
      <c r="S205" s="40"/>
      <c r="T205" s="55"/>
    </row>
    <row r="206" spans="1:20" s="7" customFormat="1" ht="15.95" customHeight="1" x14ac:dyDescent="0.2">
      <c r="A206" s="34"/>
      <c r="B206" s="25" t="s">
        <v>2</v>
      </c>
      <c r="C206" s="2">
        <f>SUM(D206:H206)</f>
        <v>0</v>
      </c>
      <c r="D206" s="1"/>
      <c r="E206" s="1"/>
      <c r="F206" s="1"/>
      <c r="G206" s="1"/>
      <c r="H206" s="1"/>
      <c r="I206" s="40"/>
      <c r="J206" s="40"/>
      <c r="K206" s="40"/>
      <c r="L206" s="40"/>
      <c r="M206" s="40"/>
      <c r="N206" s="40"/>
      <c r="O206" s="40"/>
      <c r="P206" s="85"/>
      <c r="Q206" s="40"/>
      <c r="R206" s="40"/>
      <c r="S206" s="40"/>
      <c r="T206" s="55"/>
    </row>
    <row r="207" spans="1:20" s="7" customFormat="1" ht="15.95" customHeight="1" x14ac:dyDescent="0.2">
      <c r="A207" s="34"/>
      <c r="B207" s="25" t="s">
        <v>3</v>
      </c>
      <c r="C207" s="2">
        <f>SUM(D207:H207)</f>
        <v>0</v>
      </c>
      <c r="D207" s="1"/>
      <c r="E207" s="1"/>
      <c r="F207" s="1"/>
      <c r="G207" s="1"/>
      <c r="H207" s="1"/>
      <c r="I207" s="41"/>
      <c r="J207" s="41"/>
      <c r="K207" s="41"/>
      <c r="L207" s="41"/>
      <c r="M207" s="41"/>
      <c r="N207" s="41"/>
      <c r="O207" s="41"/>
      <c r="P207" s="86"/>
      <c r="Q207" s="41"/>
      <c r="R207" s="41"/>
      <c r="S207" s="41"/>
      <c r="T207" s="55"/>
    </row>
    <row r="208" spans="1:20" s="7" customFormat="1" ht="15.95" customHeight="1" x14ac:dyDescent="0.2">
      <c r="A208" s="34" t="s">
        <v>453</v>
      </c>
      <c r="B208" s="45" t="s">
        <v>190</v>
      </c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9"/>
    </row>
    <row r="209" spans="1:20" s="7" customFormat="1" ht="15.95" customHeight="1" x14ac:dyDescent="0.2">
      <c r="A209" s="34"/>
      <c r="B209" s="50" t="s">
        <v>77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1"/>
    </row>
    <row r="210" spans="1:20" s="7" customFormat="1" ht="45" customHeight="1" x14ac:dyDescent="0.2">
      <c r="A210" s="34"/>
      <c r="B210" s="52" t="s">
        <v>452</v>
      </c>
      <c r="C210" s="53"/>
      <c r="D210" s="53"/>
      <c r="E210" s="53"/>
      <c r="F210" s="53"/>
      <c r="G210" s="53"/>
      <c r="H210" s="54"/>
      <c r="I210" s="39" t="s">
        <v>448</v>
      </c>
      <c r="J210" s="39" t="s">
        <v>207</v>
      </c>
      <c r="K210" s="39" t="s">
        <v>35</v>
      </c>
      <c r="L210" s="39" t="s">
        <v>449</v>
      </c>
      <c r="M210" s="39" t="s">
        <v>805</v>
      </c>
      <c r="N210" s="39" t="s">
        <v>190</v>
      </c>
      <c r="O210" s="39" t="s">
        <v>805</v>
      </c>
      <c r="P210" s="84" t="s">
        <v>444</v>
      </c>
      <c r="Q210" s="39" t="s">
        <v>29</v>
      </c>
      <c r="R210" s="39" t="s">
        <v>212</v>
      </c>
      <c r="S210" s="39" t="s">
        <v>30</v>
      </c>
      <c r="T210" s="55"/>
    </row>
    <row r="211" spans="1:20" s="7" customFormat="1" ht="15.95" customHeight="1" x14ac:dyDescent="0.2">
      <c r="A211" s="34"/>
      <c r="B211" s="25" t="s">
        <v>5</v>
      </c>
      <c r="C211" s="2">
        <f>D211+E211+F211+G211+H211</f>
        <v>68869.046960000007</v>
      </c>
      <c r="D211" s="1">
        <f t="shared" ref="D211:F211" si="33">SUM(D212:D215)</f>
        <v>0</v>
      </c>
      <c r="E211" s="1">
        <f t="shared" si="33"/>
        <v>0</v>
      </c>
      <c r="F211" s="1">
        <f t="shared" si="33"/>
        <v>68869.046960000007</v>
      </c>
      <c r="G211" s="1">
        <f t="shared" ref="G211:H211" si="34">SUM(G212:G215)</f>
        <v>0</v>
      </c>
      <c r="H211" s="1">
        <f t="shared" si="34"/>
        <v>0</v>
      </c>
      <c r="I211" s="40"/>
      <c r="J211" s="40"/>
      <c r="K211" s="40"/>
      <c r="L211" s="40"/>
      <c r="M211" s="40"/>
      <c r="N211" s="40"/>
      <c r="O211" s="40"/>
      <c r="P211" s="85"/>
      <c r="Q211" s="40"/>
      <c r="R211" s="40"/>
      <c r="S211" s="40"/>
      <c r="T211" s="55"/>
    </row>
    <row r="212" spans="1:20" s="7" customFormat="1" ht="15.95" customHeight="1" x14ac:dyDescent="0.2">
      <c r="A212" s="34"/>
      <c r="B212" s="25" t="s">
        <v>0</v>
      </c>
      <c r="C212" s="2">
        <f>D212+E212+F212+G212+H212</f>
        <v>68869.046960000007</v>
      </c>
      <c r="D212" s="1"/>
      <c r="E212" s="1"/>
      <c r="F212" s="1">
        <f>68869.04695+0.00001</f>
        <v>68869.046960000007</v>
      </c>
      <c r="G212" s="1"/>
      <c r="H212" s="1"/>
      <c r="I212" s="40"/>
      <c r="J212" s="40"/>
      <c r="K212" s="40"/>
      <c r="L212" s="40"/>
      <c r="M212" s="40"/>
      <c r="N212" s="40"/>
      <c r="O212" s="40"/>
      <c r="P212" s="85"/>
      <c r="Q212" s="40"/>
      <c r="R212" s="40"/>
      <c r="S212" s="40"/>
      <c r="T212" s="55"/>
    </row>
    <row r="213" spans="1:20" s="7" customFormat="1" ht="15.95" customHeight="1" x14ac:dyDescent="0.2">
      <c r="A213" s="34"/>
      <c r="B213" s="25" t="s">
        <v>1</v>
      </c>
      <c r="C213" s="2">
        <f>D213+E213+F213+G213+H213</f>
        <v>0</v>
      </c>
      <c r="D213" s="1"/>
      <c r="E213" s="1"/>
      <c r="F213" s="1"/>
      <c r="G213" s="1"/>
      <c r="H213" s="1"/>
      <c r="I213" s="40"/>
      <c r="J213" s="40"/>
      <c r="K213" s="40"/>
      <c r="L213" s="40"/>
      <c r="M213" s="40"/>
      <c r="N213" s="40"/>
      <c r="O213" s="40"/>
      <c r="P213" s="85"/>
      <c r="Q213" s="40"/>
      <c r="R213" s="40"/>
      <c r="S213" s="40"/>
      <c r="T213" s="55"/>
    </row>
    <row r="214" spans="1:20" s="7" customFormat="1" ht="15.95" customHeight="1" x14ac:dyDescent="0.2">
      <c r="A214" s="34"/>
      <c r="B214" s="25" t="s">
        <v>2</v>
      </c>
      <c r="C214" s="2">
        <f>SUM(D214:H214)</f>
        <v>0</v>
      </c>
      <c r="D214" s="1"/>
      <c r="E214" s="1"/>
      <c r="F214" s="1"/>
      <c r="G214" s="1"/>
      <c r="H214" s="1"/>
      <c r="I214" s="40"/>
      <c r="J214" s="40"/>
      <c r="K214" s="40"/>
      <c r="L214" s="40"/>
      <c r="M214" s="40"/>
      <c r="N214" s="40"/>
      <c r="O214" s="40"/>
      <c r="P214" s="85"/>
      <c r="Q214" s="40"/>
      <c r="R214" s="40"/>
      <c r="S214" s="40"/>
      <c r="T214" s="55"/>
    </row>
    <row r="215" spans="1:20" s="7" customFormat="1" ht="15.95" customHeight="1" x14ac:dyDescent="0.2">
      <c r="A215" s="34"/>
      <c r="B215" s="25" t="s">
        <v>3</v>
      </c>
      <c r="C215" s="2">
        <f>SUM(D215:H215)</f>
        <v>0</v>
      </c>
      <c r="D215" s="1"/>
      <c r="E215" s="1"/>
      <c r="F215" s="1"/>
      <c r="G215" s="1"/>
      <c r="H215" s="1"/>
      <c r="I215" s="41"/>
      <c r="J215" s="41"/>
      <c r="K215" s="41"/>
      <c r="L215" s="41"/>
      <c r="M215" s="41"/>
      <c r="N215" s="41"/>
      <c r="O215" s="41"/>
      <c r="P215" s="86"/>
      <c r="Q215" s="41"/>
      <c r="R215" s="41"/>
      <c r="S215" s="41"/>
      <c r="T215" s="55"/>
    </row>
    <row r="216" spans="1:20" s="7" customFormat="1" ht="15.95" customHeight="1" x14ac:dyDescent="0.2">
      <c r="A216" s="34" t="s">
        <v>457</v>
      </c>
      <c r="B216" s="45" t="s">
        <v>190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9"/>
    </row>
    <row r="217" spans="1:20" s="7" customFormat="1" ht="15.95" customHeight="1" x14ac:dyDescent="0.2">
      <c r="A217" s="34"/>
      <c r="B217" s="50" t="s">
        <v>77</v>
      </c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1"/>
    </row>
    <row r="218" spans="1:20" s="7" customFormat="1" ht="45" customHeight="1" x14ac:dyDescent="0.2">
      <c r="A218" s="34"/>
      <c r="B218" s="52" t="s">
        <v>458</v>
      </c>
      <c r="C218" s="53"/>
      <c r="D218" s="53"/>
      <c r="E218" s="53"/>
      <c r="F218" s="53"/>
      <c r="G218" s="53"/>
      <c r="H218" s="54"/>
      <c r="I218" s="39" t="s">
        <v>455</v>
      </c>
      <c r="J218" s="39" t="s">
        <v>208</v>
      </c>
      <c r="K218" s="39" t="s">
        <v>35</v>
      </c>
      <c r="L218" s="39" t="s">
        <v>459</v>
      </c>
      <c r="M218" s="39" t="s">
        <v>805</v>
      </c>
      <c r="N218" s="39" t="s">
        <v>190</v>
      </c>
      <c r="O218" s="39" t="s">
        <v>805</v>
      </c>
      <c r="P218" s="84" t="s">
        <v>444</v>
      </c>
      <c r="Q218" s="39" t="s">
        <v>29</v>
      </c>
      <c r="R218" s="39" t="s">
        <v>41</v>
      </c>
      <c r="S218" s="39" t="s">
        <v>30</v>
      </c>
      <c r="T218" s="55"/>
    </row>
    <row r="219" spans="1:20" s="7" customFormat="1" ht="15.95" customHeight="1" x14ac:dyDescent="0.2">
      <c r="A219" s="34"/>
      <c r="B219" s="25" t="s">
        <v>5</v>
      </c>
      <c r="C219" s="2">
        <f>D219+E219+F219+G219+H219</f>
        <v>16989.81338</v>
      </c>
      <c r="D219" s="1">
        <f t="shared" ref="D219:F219" si="35">SUM(D220:D223)</f>
        <v>0</v>
      </c>
      <c r="E219" s="1">
        <f t="shared" si="35"/>
        <v>0</v>
      </c>
      <c r="F219" s="1">
        <f t="shared" si="35"/>
        <v>16989.81338</v>
      </c>
      <c r="G219" s="1">
        <f t="shared" ref="G219:H219" si="36">SUM(G220:G223)</f>
        <v>0</v>
      </c>
      <c r="H219" s="1">
        <f t="shared" si="36"/>
        <v>0</v>
      </c>
      <c r="I219" s="40"/>
      <c r="J219" s="40"/>
      <c r="K219" s="40"/>
      <c r="L219" s="40"/>
      <c r="M219" s="40"/>
      <c r="N219" s="40"/>
      <c r="O219" s="40"/>
      <c r="P219" s="85"/>
      <c r="Q219" s="40"/>
      <c r="R219" s="40"/>
      <c r="S219" s="40"/>
      <c r="T219" s="55"/>
    </row>
    <row r="220" spans="1:20" s="7" customFormat="1" ht="15.95" customHeight="1" x14ac:dyDescent="0.2">
      <c r="A220" s="34"/>
      <c r="B220" s="25" t="s">
        <v>0</v>
      </c>
      <c r="C220" s="2">
        <f>D220+E220+F220+G220+H220</f>
        <v>16989.81338</v>
      </c>
      <c r="D220" s="1"/>
      <c r="E220" s="1"/>
      <c r="F220" s="1">
        <f>16989.81337+0.00001</f>
        <v>16989.81338</v>
      </c>
      <c r="G220" s="1"/>
      <c r="H220" s="1"/>
      <c r="I220" s="40"/>
      <c r="J220" s="40"/>
      <c r="K220" s="40"/>
      <c r="L220" s="40"/>
      <c r="M220" s="40"/>
      <c r="N220" s="40"/>
      <c r="O220" s="40"/>
      <c r="P220" s="85"/>
      <c r="Q220" s="40"/>
      <c r="R220" s="40"/>
      <c r="S220" s="40"/>
      <c r="T220" s="55"/>
    </row>
    <row r="221" spans="1:20" s="7" customFormat="1" ht="15.95" customHeight="1" x14ac:dyDescent="0.2">
      <c r="A221" s="34"/>
      <c r="B221" s="25" t="s">
        <v>1</v>
      </c>
      <c r="C221" s="2">
        <f>D221+E221+F221+G221+H221</f>
        <v>0</v>
      </c>
      <c r="D221" s="1"/>
      <c r="E221" s="1"/>
      <c r="F221" s="1"/>
      <c r="G221" s="1"/>
      <c r="H221" s="1"/>
      <c r="I221" s="40"/>
      <c r="J221" s="40"/>
      <c r="K221" s="40"/>
      <c r="L221" s="40"/>
      <c r="M221" s="40"/>
      <c r="N221" s="40"/>
      <c r="O221" s="40"/>
      <c r="P221" s="85"/>
      <c r="Q221" s="40"/>
      <c r="R221" s="40"/>
      <c r="S221" s="40"/>
      <c r="T221" s="55"/>
    </row>
    <row r="222" spans="1:20" s="7" customFormat="1" ht="15.95" customHeight="1" x14ac:dyDescent="0.2">
      <c r="A222" s="34"/>
      <c r="B222" s="25" t="s">
        <v>2</v>
      </c>
      <c r="C222" s="2">
        <f>SUM(D222:H222)</f>
        <v>0</v>
      </c>
      <c r="D222" s="1"/>
      <c r="E222" s="1"/>
      <c r="F222" s="1"/>
      <c r="G222" s="1"/>
      <c r="H222" s="1"/>
      <c r="I222" s="40"/>
      <c r="J222" s="40"/>
      <c r="K222" s="40"/>
      <c r="L222" s="40"/>
      <c r="M222" s="40"/>
      <c r="N222" s="40"/>
      <c r="O222" s="40"/>
      <c r="P222" s="85"/>
      <c r="Q222" s="40"/>
      <c r="R222" s="40"/>
      <c r="S222" s="40"/>
      <c r="T222" s="55"/>
    </row>
    <row r="223" spans="1:20" s="7" customFormat="1" ht="15.95" customHeight="1" x14ac:dyDescent="0.2">
      <c r="A223" s="34"/>
      <c r="B223" s="25" t="s">
        <v>3</v>
      </c>
      <c r="C223" s="2">
        <f>SUM(D223:H223)</f>
        <v>0</v>
      </c>
      <c r="D223" s="1"/>
      <c r="E223" s="1"/>
      <c r="F223" s="1"/>
      <c r="G223" s="1"/>
      <c r="H223" s="1"/>
      <c r="I223" s="41"/>
      <c r="J223" s="41"/>
      <c r="K223" s="41"/>
      <c r="L223" s="41"/>
      <c r="M223" s="41"/>
      <c r="N223" s="41"/>
      <c r="O223" s="41"/>
      <c r="P223" s="86"/>
      <c r="Q223" s="41"/>
      <c r="R223" s="41"/>
      <c r="S223" s="41"/>
      <c r="T223" s="55"/>
    </row>
    <row r="224" spans="1:20" s="7" customFormat="1" ht="15.95" customHeight="1" x14ac:dyDescent="0.2">
      <c r="A224" s="34" t="s">
        <v>460</v>
      </c>
      <c r="B224" s="45" t="s">
        <v>190</v>
      </c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9"/>
    </row>
    <row r="225" spans="1:20" s="7" customFormat="1" ht="15.95" customHeight="1" x14ac:dyDescent="0.2">
      <c r="A225" s="34"/>
      <c r="B225" s="50" t="s">
        <v>77</v>
      </c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1"/>
    </row>
    <row r="226" spans="1:20" s="7" customFormat="1" ht="45" customHeight="1" x14ac:dyDescent="0.2">
      <c r="A226" s="34"/>
      <c r="B226" s="52" t="s">
        <v>461</v>
      </c>
      <c r="C226" s="53"/>
      <c r="D226" s="53"/>
      <c r="E226" s="53"/>
      <c r="F226" s="53"/>
      <c r="G226" s="53"/>
      <c r="H226" s="54"/>
      <c r="I226" s="39" t="s">
        <v>455</v>
      </c>
      <c r="J226" s="39" t="s">
        <v>208</v>
      </c>
      <c r="K226" s="39" t="s">
        <v>35</v>
      </c>
      <c r="L226" s="39" t="s">
        <v>462</v>
      </c>
      <c r="M226" s="39" t="s">
        <v>805</v>
      </c>
      <c r="N226" s="39" t="s">
        <v>190</v>
      </c>
      <c r="O226" s="39" t="s">
        <v>805</v>
      </c>
      <c r="P226" s="84" t="s">
        <v>444</v>
      </c>
      <c r="Q226" s="39" t="s">
        <v>29</v>
      </c>
      <c r="R226" s="39" t="s">
        <v>41</v>
      </c>
      <c r="S226" s="39" t="s">
        <v>30</v>
      </c>
      <c r="T226" s="55"/>
    </row>
    <row r="227" spans="1:20" s="7" customFormat="1" ht="15.95" customHeight="1" x14ac:dyDescent="0.2">
      <c r="A227" s="34"/>
      <c r="B227" s="25" t="s">
        <v>5</v>
      </c>
      <c r="C227" s="2">
        <f>D227+E227+F227+G227+H227</f>
        <v>16989.81338</v>
      </c>
      <c r="D227" s="1">
        <f t="shared" ref="D227:F227" si="37">SUM(D228:D231)</f>
        <v>0</v>
      </c>
      <c r="E227" s="1">
        <f t="shared" si="37"/>
        <v>0</v>
      </c>
      <c r="F227" s="1">
        <f t="shared" si="37"/>
        <v>16989.81338</v>
      </c>
      <c r="G227" s="1">
        <f t="shared" ref="G227:H227" si="38">SUM(G228:G231)</f>
        <v>0</v>
      </c>
      <c r="H227" s="1">
        <f t="shared" si="38"/>
        <v>0</v>
      </c>
      <c r="I227" s="40"/>
      <c r="J227" s="40"/>
      <c r="K227" s="40"/>
      <c r="L227" s="40"/>
      <c r="M227" s="40"/>
      <c r="N227" s="40"/>
      <c r="O227" s="40"/>
      <c r="P227" s="85"/>
      <c r="Q227" s="40"/>
      <c r="R227" s="40"/>
      <c r="S227" s="40"/>
      <c r="T227" s="55"/>
    </row>
    <row r="228" spans="1:20" s="7" customFormat="1" ht="15.95" customHeight="1" x14ac:dyDescent="0.2">
      <c r="A228" s="34"/>
      <c r="B228" s="25" t="s">
        <v>0</v>
      </c>
      <c r="C228" s="2">
        <f>D228+E228+F228+G228+H228</f>
        <v>16989.81338</v>
      </c>
      <c r="D228" s="1"/>
      <c r="E228" s="1"/>
      <c r="F228" s="1">
        <f>16989.81337+0.00001</f>
        <v>16989.81338</v>
      </c>
      <c r="G228" s="1"/>
      <c r="H228" s="1"/>
      <c r="I228" s="40"/>
      <c r="J228" s="40"/>
      <c r="K228" s="40"/>
      <c r="L228" s="40"/>
      <c r="M228" s="40"/>
      <c r="N228" s="40"/>
      <c r="O228" s="40"/>
      <c r="P228" s="85"/>
      <c r="Q228" s="40"/>
      <c r="R228" s="40"/>
      <c r="S228" s="40"/>
      <c r="T228" s="55"/>
    </row>
    <row r="229" spans="1:20" s="7" customFormat="1" ht="15.95" customHeight="1" x14ac:dyDescent="0.2">
      <c r="A229" s="34"/>
      <c r="B229" s="25" t="s">
        <v>1</v>
      </c>
      <c r="C229" s="2">
        <f>D229+E229+F229+G229+H229</f>
        <v>0</v>
      </c>
      <c r="D229" s="1"/>
      <c r="E229" s="1"/>
      <c r="F229" s="1"/>
      <c r="G229" s="1"/>
      <c r="H229" s="1"/>
      <c r="I229" s="40"/>
      <c r="J229" s="40"/>
      <c r="K229" s="40"/>
      <c r="L229" s="40"/>
      <c r="M229" s="40"/>
      <c r="N229" s="40"/>
      <c r="O229" s="40"/>
      <c r="P229" s="85"/>
      <c r="Q229" s="40"/>
      <c r="R229" s="40"/>
      <c r="S229" s="40"/>
      <c r="T229" s="55"/>
    </row>
    <row r="230" spans="1:20" s="7" customFormat="1" ht="15.95" customHeight="1" x14ac:dyDescent="0.2">
      <c r="A230" s="34"/>
      <c r="B230" s="25" t="s">
        <v>2</v>
      </c>
      <c r="C230" s="2">
        <f>SUM(D230:H230)</f>
        <v>0</v>
      </c>
      <c r="D230" s="1"/>
      <c r="E230" s="1"/>
      <c r="F230" s="1"/>
      <c r="G230" s="1"/>
      <c r="H230" s="1"/>
      <c r="I230" s="40"/>
      <c r="J230" s="40"/>
      <c r="K230" s="40"/>
      <c r="L230" s="40"/>
      <c r="M230" s="40"/>
      <c r="N230" s="40"/>
      <c r="O230" s="40"/>
      <c r="P230" s="85"/>
      <c r="Q230" s="40"/>
      <c r="R230" s="40"/>
      <c r="S230" s="40"/>
      <c r="T230" s="55"/>
    </row>
    <row r="231" spans="1:20" s="7" customFormat="1" ht="15.95" customHeight="1" x14ac:dyDescent="0.2">
      <c r="A231" s="34"/>
      <c r="B231" s="25" t="s">
        <v>3</v>
      </c>
      <c r="C231" s="2">
        <f>SUM(D231:H231)</f>
        <v>0</v>
      </c>
      <c r="D231" s="1"/>
      <c r="E231" s="1"/>
      <c r="F231" s="1"/>
      <c r="G231" s="1"/>
      <c r="H231" s="1"/>
      <c r="I231" s="41"/>
      <c r="J231" s="41"/>
      <c r="K231" s="41"/>
      <c r="L231" s="41"/>
      <c r="M231" s="41"/>
      <c r="N231" s="41"/>
      <c r="O231" s="41"/>
      <c r="P231" s="86"/>
      <c r="Q231" s="41"/>
      <c r="R231" s="41"/>
      <c r="S231" s="41"/>
      <c r="T231" s="55"/>
    </row>
    <row r="232" spans="1:20" s="7" customFormat="1" ht="15.95" customHeight="1" x14ac:dyDescent="0.2">
      <c r="A232" s="34" t="s">
        <v>495</v>
      </c>
      <c r="B232" s="45" t="s">
        <v>190</v>
      </c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9"/>
    </row>
    <row r="233" spans="1:20" s="7" customFormat="1" ht="15.95" customHeight="1" x14ac:dyDescent="0.2">
      <c r="A233" s="34"/>
      <c r="B233" s="50" t="s">
        <v>77</v>
      </c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1"/>
    </row>
    <row r="234" spans="1:20" s="7" customFormat="1" ht="45" customHeight="1" x14ac:dyDescent="0.2">
      <c r="A234" s="34"/>
      <c r="B234" s="52" t="s">
        <v>486</v>
      </c>
      <c r="C234" s="53"/>
      <c r="D234" s="53"/>
      <c r="E234" s="53"/>
      <c r="F234" s="53"/>
      <c r="G234" s="53"/>
      <c r="H234" s="54"/>
      <c r="I234" s="39" t="s">
        <v>487</v>
      </c>
      <c r="J234" s="39" t="s">
        <v>488</v>
      </c>
      <c r="K234" s="39" t="s">
        <v>35</v>
      </c>
      <c r="L234" s="39" t="s">
        <v>489</v>
      </c>
      <c r="M234" s="39" t="s">
        <v>805</v>
      </c>
      <c r="N234" s="39" t="s">
        <v>56</v>
      </c>
      <c r="O234" s="39" t="s">
        <v>805</v>
      </c>
      <c r="P234" s="84" t="s">
        <v>444</v>
      </c>
      <c r="Q234" s="39" t="s">
        <v>29</v>
      </c>
      <c r="R234" s="39" t="s">
        <v>510</v>
      </c>
      <c r="S234" s="39" t="s">
        <v>30</v>
      </c>
      <c r="T234" s="55" t="s">
        <v>490</v>
      </c>
    </row>
    <row r="235" spans="1:20" s="7" customFormat="1" ht="15.95" customHeight="1" x14ac:dyDescent="0.2">
      <c r="A235" s="34"/>
      <c r="B235" s="25" t="s">
        <v>5</v>
      </c>
      <c r="C235" s="2">
        <f>D235+E235+F235+G235+H235</f>
        <v>207000</v>
      </c>
      <c r="D235" s="1">
        <f t="shared" ref="D235:F235" si="39">SUM(D236:D239)</f>
        <v>0</v>
      </c>
      <c r="E235" s="1">
        <f t="shared" si="39"/>
        <v>0</v>
      </c>
      <c r="F235" s="1">
        <f t="shared" si="39"/>
        <v>0</v>
      </c>
      <c r="G235" s="1">
        <f t="shared" ref="G235:H235" si="40">SUM(G236:G239)</f>
        <v>207000</v>
      </c>
      <c r="H235" s="1">
        <f t="shared" si="40"/>
        <v>0</v>
      </c>
      <c r="I235" s="40"/>
      <c r="J235" s="40"/>
      <c r="K235" s="40"/>
      <c r="L235" s="40"/>
      <c r="M235" s="40"/>
      <c r="N235" s="40"/>
      <c r="O235" s="40"/>
      <c r="P235" s="85"/>
      <c r="Q235" s="40"/>
      <c r="R235" s="40"/>
      <c r="S235" s="40"/>
      <c r="T235" s="55"/>
    </row>
    <row r="236" spans="1:20" s="7" customFormat="1" ht="15.95" customHeight="1" x14ac:dyDescent="0.2">
      <c r="A236" s="34"/>
      <c r="B236" s="25" t="s">
        <v>0</v>
      </c>
      <c r="C236" s="2">
        <f>D236+E236+F236+G236+H236</f>
        <v>202337.06632000001</v>
      </c>
      <c r="D236" s="1"/>
      <c r="E236" s="1"/>
      <c r="F236" s="1"/>
      <c r="G236" s="1">
        <f>0+202337.06632</f>
        <v>202337.06632000001</v>
      </c>
      <c r="H236" s="1"/>
      <c r="I236" s="40"/>
      <c r="J236" s="40"/>
      <c r="K236" s="40"/>
      <c r="L236" s="40"/>
      <c r="M236" s="40"/>
      <c r="N236" s="40"/>
      <c r="O236" s="40"/>
      <c r="P236" s="85"/>
      <c r="Q236" s="40"/>
      <c r="R236" s="40"/>
      <c r="S236" s="40"/>
      <c r="T236" s="55"/>
    </row>
    <row r="237" spans="1:20" s="7" customFormat="1" ht="15.95" customHeight="1" x14ac:dyDescent="0.2">
      <c r="A237" s="34"/>
      <c r="B237" s="25" t="s">
        <v>1</v>
      </c>
      <c r="C237" s="2">
        <f>D237+E237+F237+G237+H237</f>
        <v>4662.9336800000001</v>
      </c>
      <c r="D237" s="1"/>
      <c r="E237" s="1"/>
      <c r="F237" s="1"/>
      <c r="G237" s="1">
        <f>0+4662.93368</f>
        <v>4662.9336800000001</v>
      </c>
      <c r="H237" s="1"/>
      <c r="I237" s="40"/>
      <c r="J237" s="40"/>
      <c r="K237" s="40"/>
      <c r="L237" s="40"/>
      <c r="M237" s="40"/>
      <c r="N237" s="40"/>
      <c r="O237" s="40"/>
      <c r="P237" s="85"/>
      <c r="Q237" s="40"/>
      <c r="R237" s="40"/>
      <c r="S237" s="40"/>
      <c r="T237" s="55"/>
    </row>
    <row r="238" spans="1:20" s="7" customFormat="1" ht="15.95" customHeight="1" x14ac:dyDescent="0.2">
      <c r="A238" s="34"/>
      <c r="B238" s="25" t="s">
        <v>2</v>
      </c>
      <c r="C238" s="2">
        <f>SUM(D238:H238)</f>
        <v>0</v>
      </c>
      <c r="D238" s="1"/>
      <c r="E238" s="1"/>
      <c r="F238" s="1"/>
      <c r="G238" s="1"/>
      <c r="H238" s="1"/>
      <c r="I238" s="40"/>
      <c r="J238" s="40"/>
      <c r="K238" s="40"/>
      <c r="L238" s="40"/>
      <c r="M238" s="40"/>
      <c r="N238" s="40"/>
      <c r="O238" s="40"/>
      <c r="P238" s="85"/>
      <c r="Q238" s="40"/>
      <c r="R238" s="40"/>
      <c r="S238" s="40"/>
      <c r="T238" s="55"/>
    </row>
    <row r="239" spans="1:20" s="7" customFormat="1" ht="15.95" customHeight="1" x14ac:dyDescent="0.2">
      <c r="A239" s="34"/>
      <c r="B239" s="25" t="s">
        <v>3</v>
      </c>
      <c r="C239" s="2">
        <f>SUM(D239:H239)</f>
        <v>0</v>
      </c>
      <c r="D239" s="1"/>
      <c r="E239" s="1"/>
      <c r="F239" s="1"/>
      <c r="G239" s="1"/>
      <c r="H239" s="1"/>
      <c r="I239" s="41"/>
      <c r="J239" s="41"/>
      <c r="K239" s="41"/>
      <c r="L239" s="41"/>
      <c r="M239" s="41"/>
      <c r="N239" s="41"/>
      <c r="O239" s="41"/>
      <c r="P239" s="86"/>
      <c r="Q239" s="41"/>
      <c r="R239" s="41"/>
      <c r="S239" s="41"/>
      <c r="T239" s="55"/>
    </row>
    <row r="240" spans="1:20" s="7" customFormat="1" ht="15.95" customHeight="1" x14ac:dyDescent="0.2">
      <c r="A240" s="34" t="s">
        <v>496</v>
      </c>
      <c r="B240" s="45" t="s">
        <v>190</v>
      </c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9"/>
    </row>
    <row r="241" spans="1:20" s="7" customFormat="1" ht="15.95" customHeight="1" x14ac:dyDescent="0.2">
      <c r="A241" s="34"/>
      <c r="B241" s="50" t="s">
        <v>77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1"/>
    </row>
    <row r="242" spans="1:20" s="7" customFormat="1" ht="45" customHeight="1" x14ac:dyDescent="0.2">
      <c r="A242" s="34"/>
      <c r="B242" s="52" t="s">
        <v>491</v>
      </c>
      <c r="C242" s="53"/>
      <c r="D242" s="53"/>
      <c r="E242" s="53"/>
      <c r="F242" s="53"/>
      <c r="G242" s="53"/>
      <c r="H242" s="54"/>
      <c r="I242" s="39" t="s">
        <v>455</v>
      </c>
      <c r="J242" s="39" t="s">
        <v>207</v>
      </c>
      <c r="K242" s="39" t="s">
        <v>35</v>
      </c>
      <c r="L242" s="39" t="s">
        <v>449</v>
      </c>
      <c r="M242" s="39" t="s">
        <v>805</v>
      </c>
      <c r="N242" s="39" t="s">
        <v>56</v>
      </c>
      <c r="O242" s="39" t="s">
        <v>805</v>
      </c>
      <c r="P242" s="84" t="s">
        <v>444</v>
      </c>
      <c r="Q242" s="39" t="s">
        <v>29</v>
      </c>
      <c r="R242" s="39" t="s">
        <v>41</v>
      </c>
      <c r="S242" s="39" t="s">
        <v>30</v>
      </c>
      <c r="T242" s="55" t="s">
        <v>490</v>
      </c>
    </row>
    <row r="243" spans="1:20" s="7" customFormat="1" ht="15.95" customHeight="1" x14ac:dyDescent="0.2">
      <c r="A243" s="34"/>
      <c r="B243" s="25" t="s">
        <v>5</v>
      </c>
      <c r="C243" s="2">
        <f>D243+E243+F243+G243+H243</f>
        <v>73767.600000000006</v>
      </c>
      <c r="D243" s="1">
        <f t="shared" ref="D243:F243" si="41">SUM(D244:D247)</f>
        <v>0</v>
      </c>
      <c r="E243" s="1">
        <f t="shared" si="41"/>
        <v>0</v>
      </c>
      <c r="F243" s="1">
        <f t="shared" si="41"/>
        <v>0</v>
      </c>
      <c r="G243" s="1">
        <f t="shared" ref="G243:H243" si="42">SUM(G244:G247)</f>
        <v>73767.600000000006</v>
      </c>
      <c r="H243" s="1">
        <f t="shared" si="42"/>
        <v>0</v>
      </c>
      <c r="I243" s="40"/>
      <c r="J243" s="40"/>
      <c r="K243" s="40"/>
      <c r="L243" s="40"/>
      <c r="M243" s="40"/>
      <c r="N243" s="40"/>
      <c r="O243" s="40"/>
      <c r="P243" s="85"/>
      <c r="Q243" s="40"/>
      <c r="R243" s="40"/>
      <c r="S243" s="40"/>
      <c r="T243" s="55"/>
    </row>
    <row r="244" spans="1:20" s="7" customFormat="1" ht="15.95" customHeight="1" x14ac:dyDescent="0.2">
      <c r="A244" s="34"/>
      <c r="B244" s="25" t="s">
        <v>0</v>
      </c>
      <c r="C244" s="2">
        <f>D244+E244+F244+G244+H244</f>
        <v>72105.892630000002</v>
      </c>
      <c r="D244" s="1"/>
      <c r="E244" s="1"/>
      <c r="F244" s="1"/>
      <c r="G244" s="1">
        <f>0+72105.89263</f>
        <v>72105.892630000002</v>
      </c>
      <c r="H244" s="1"/>
      <c r="I244" s="40"/>
      <c r="J244" s="40"/>
      <c r="K244" s="40"/>
      <c r="L244" s="40"/>
      <c r="M244" s="40"/>
      <c r="N244" s="40"/>
      <c r="O244" s="40"/>
      <c r="P244" s="85"/>
      <c r="Q244" s="40"/>
      <c r="R244" s="40"/>
      <c r="S244" s="40"/>
      <c r="T244" s="55"/>
    </row>
    <row r="245" spans="1:20" s="7" customFormat="1" ht="15.95" customHeight="1" x14ac:dyDescent="0.2">
      <c r="A245" s="34"/>
      <c r="B245" s="25" t="s">
        <v>1</v>
      </c>
      <c r="C245" s="2">
        <f>D245+E245+F245+G245+H245</f>
        <v>1661.7073700000001</v>
      </c>
      <c r="D245" s="1"/>
      <c r="E245" s="1"/>
      <c r="F245" s="1"/>
      <c r="G245" s="1">
        <f>0+1661.70737</f>
        <v>1661.7073700000001</v>
      </c>
      <c r="H245" s="1"/>
      <c r="I245" s="40"/>
      <c r="J245" s="40"/>
      <c r="K245" s="40"/>
      <c r="L245" s="40"/>
      <c r="M245" s="40"/>
      <c r="N245" s="40"/>
      <c r="O245" s="40"/>
      <c r="P245" s="85"/>
      <c r="Q245" s="40"/>
      <c r="R245" s="40"/>
      <c r="S245" s="40"/>
      <c r="T245" s="55"/>
    </row>
    <row r="246" spans="1:20" s="7" customFormat="1" ht="15.95" customHeight="1" x14ac:dyDescent="0.2">
      <c r="A246" s="34"/>
      <c r="B246" s="25" t="s">
        <v>2</v>
      </c>
      <c r="C246" s="2">
        <f>SUM(D246:H246)</f>
        <v>0</v>
      </c>
      <c r="D246" s="1"/>
      <c r="E246" s="1"/>
      <c r="F246" s="1"/>
      <c r="G246" s="1"/>
      <c r="H246" s="1"/>
      <c r="I246" s="40"/>
      <c r="J246" s="40"/>
      <c r="K246" s="40"/>
      <c r="L246" s="40"/>
      <c r="M246" s="40"/>
      <c r="N246" s="40"/>
      <c r="O246" s="40"/>
      <c r="P246" s="85"/>
      <c r="Q246" s="40"/>
      <c r="R246" s="40"/>
      <c r="S246" s="40"/>
      <c r="T246" s="55"/>
    </row>
    <row r="247" spans="1:20" s="7" customFormat="1" ht="15.95" customHeight="1" x14ac:dyDescent="0.2">
      <c r="A247" s="34"/>
      <c r="B247" s="25" t="s">
        <v>3</v>
      </c>
      <c r="C247" s="2">
        <f>SUM(D247:H247)</f>
        <v>0</v>
      </c>
      <c r="D247" s="1"/>
      <c r="E247" s="1"/>
      <c r="F247" s="1"/>
      <c r="G247" s="1"/>
      <c r="H247" s="1"/>
      <c r="I247" s="41"/>
      <c r="J247" s="41"/>
      <c r="K247" s="41"/>
      <c r="L247" s="41"/>
      <c r="M247" s="41"/>
      <c r="N247" s="41"/>
      <c r="O247" s="41"/>
      <c r="P247" s="86"/>
      <c r="Q247" s="41"/>
      <c r="R247" s="41"/>
      <c r="S247" s="41"/>
      <c r="T247" s="55"/>
    </row>
    <row r="248" spans="1:20" s="7" customFormat="1" ht="15.95" customHeight="1" x14ac:dyDescent="0.2">
      <c r="A248" s="34" t="s">
        <v>497</v>
      </c>
      <c r="B248" s="45" t="s">
        <v>190</v>
      </c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9"/>
    </row>
    <row r="249" spans="1:20" s="7" customFormat="1" ht="15.95" customHeight="1" x14ac:dyDescent="0.2">
      <c r="A249" s="34"/>
      <c r="B249" s="50" t="s">
        <v>77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1"/>
    </row>
    <row r="250" spans="1:20" s="7" customFormat="1" ht="45" customHeight="1" x14ac:dyDescent="0.2">
      <c r="A250" s="34"/>
      <c r="B250" s="52" t="s">
        <v>492</v>
      </c>
      <c r="C250" s="53"/>
      <c r="D250" s="53"/>
      <c r="E250" s="53"/>
      <c r="F250" s="53"/>
      <c r="G250" s="53"/>
      <c r="H250" s="54"/>
      <c r="I250" s="39" t="s">
        <v>455</v>
      </c>
      <c r="J250" s="39" t="s">
        <v>208</v>
      </c>
      <c r="K250" s="39" t="s">
        <v>35</v>
      </c>
      <c r="L250" s="39" t="s">
        <v>214</v>
      </c>
      <c r="M250" s="39" t="s">
        <v>805</v>
      </c>
      <c r="N250" s="39" t="s">
        <v>56</v>
      </c>
      <c r="O250" s="39" t="s">
        <v>805</v>
      </c>
      <c r="P250" s="84" t="s">
        <v>444</v>
      </c>
      <c r="Q250" s="39" t="s">
        <v>29</v>
      </c>
      <c r="R250" s="39" t="s">
        <v>32</v>
      </c>
      <c r="S250" s="39" t="s">
        <v>30</v>
      </c>
      <c r="T250" s="55" t="s">
        <v>490</v>
      </c>
    </row>
    <row r="251" spans="1:20" s="7" customFormat="1" ht="15.95" customHeight="1" x14ac:dyDescent="0.2">
      <c r="A251" s="34"/>
      <c r="B251" s="25" t="s">
        <v>5</v>
      </c>
      <c r="C251" s="2">
        <f>D251+E251+F251+G251+H251</f>
        <v>27215</v>
      </c>
      <c r="D251" s="1">
        <f t="shared" ref="D251:F251" si="43">SUM(D252:D255)</f>
        <v>0</v>
      </c>
      <c r="E251" s="1">
        <f t="shared" si="43"/>
        <v>0</v>
      </c>
      <c r="F251" s="1">
        <f t="shared" si="43"/>
        <v>0</v>
      </c>
      <c r="G251" s="1">
        <f t="shared" ref="G251:H251" si="44">SUM(G252:G255)</f>
        <v>27215</v>
      </c>
      <c r="H251" s="1">
        <f t="shared" si="44"/>
        <v>0</v>
      </c>
      <c r="I251" s="40"/>
      <c r="J251" s="40"/>
      <c r="K251" s="40"/>
      <c r="L251" s="40"/>
      <c r="M251" s="40"/>
      <c r="N251" s="40"/>
      <c r="O251" s="40"/>
      <c r="P251" s="85"/>
      <c r="Q251" s="40"/>
      <c r="R251" s="40"/>
      <c r="S251" s="40"/>
      <c r="T251" s="55"/>
    </row>
    <row r="252" spans="1:20" s="7" customFormat="1" ht="15.95" customHeight="1" x14ac:dyDescent="0.2">
      <c r="A252" s="34"/>
      <c r="B252" s="25" t="s">
        <v>0</v>
      </c>
      <c r="C252" s="2">
        <f>D252+E252+F252+G252+H252</f>
        <v>26601.948120000001</v>
      </c>
      <c r="D252" s="1"/>
      <c r="E252" s="1"/>
      <c r="F252" s="1"/>
      <c r="G252" s="1">
        <f>0+26601.94812</f>
        <v>26601.948120000001</v>
      </c>
      <c r="H252" s="1"/>
      <c r="I252" s="40"/>
      <c r="J252" s="40"/>
      <c r="K252" s="40"/>
      <c r="L252" s="40"/>
      <c r="M252" s="40"/>
      <c r="N252" s="40"/>
      <c r="O252" s="40"/>
      <c r="P252" s="85"/>
      <c r="Q252" s="40"/>
      <c r="R252" s="40"/>
      <c r="S252" s="40"/>
      <c r="T252" s="55"/>
    </row>
    <row r="253" spans="1:20" s="7" customFormat="1" ht="15.95" customHeight="1" x14ac:dyDescent="0.2">
      <c r="A253" s="34"/>
      <c r="B253" s="25" t="s">
        <v>1</v>
      </c>
      <c r="C253" s="2">
        <f>D253+E253+F253+G253+H253</f>
        <v>613.05187999999998</v>
      </c>
      <c r="D253" s="1"/>
      <c r="E253" s="1"/>
      <c r="F253" s="1"/>
      <c r="G253" s="1">
        <f>0+613.05188</f>
        <v>613.05187999999998</v>
      </c>
      <c r="H253" s="1"/>
      <c r="I253" s="40"/>
      <c r="J253" s="40"/>
      <c r="K253" s="40"/>
      <c r="L253" s="40"/>
      <c r="M253" s="40"/>
      <c r="N253" s="40"/>
      <c r="O253" s="40"/>
      <c r="P253" s="85"/>
      <c r="Q253" s="40"/>
      <c r="R253" s="40"/>
      <c r="S253" s="40"/>
      <c r="T253" s="55"/>
    </row>
    <row r="254" spans="1:20" s="7" customFormat="1" ht="15.95" customHeight="1" x14ac:dyDescent="0.2">
      <c r="A254" s="34"/>
      <c r="B254" s="25" t="s">
        <v>2</v>
      </c>
      <c r="C254" s="2">
        <f>SUM(D254:H254)</f>
        <v>0</v>
      </c>
      <c r="D254" s="1"/>
      <c r="E254" s="1"/>
      <c r="F254" s="1"/>
      <c r="G254" s="1"/>
      <c r="H254" s="1"/>
      <c r="I254" s="40"/>
      <c r="J254" s="40"/>
      <c r="K254" s="40"/>
      <c r="L254" s="40"/>
      <c r="M254" s="40"/>
      <c r="N254" s="40"/>
      <c r="O254" s="40"/>
      <c r="P254" s="85"/>
      <c r="Q254" s="40"/>
      <c r="R254" s="40"/>
      <c r="S254" s="40"/>
      <c r="T254" s="55"/>
    </row>
    <row r="255" spans="1:20" s="7" customFormat="1" ht="15.95" customHeight="1" x14ac:dyDescent="0.2">
      <c r="A255" s="34"/>
      <c r="B255" s="25" t="s">
        <v>3</v>
      </c>
      <c r="C255" s="2">
        <f>SUM(D255:H255)</f>
        <v>0</v>
      </c>
      <c r="D255" s="1"/>
      <c r="E255" s="1"/>
      <c r="F255" s="1"/>
      <c r="G255" s="1"/>
      <c r="H255" s="1"/>
      <c r="I255" s="41"/>
      <c r="J255" s="41"/>
      <c r="K255" s="41"/>
      <c r="L255" s="41"/>
      <c r="M255" s="41"/>
      <c r="N255" s="41"/>
      <c r="O255" s="41"/>
      <c r="P255" s="86"/>
      <c r="Q255" s="41"/>
      <c r="R255" s="41"/>
      <c r="S255" s="41"/>
      <c r="T255" s="55"/>
    </row>
    <row r="256" spans="1:20" s="7" customFormat="1" ht="15.95" customHeight="1" x14ac:dyDescent="0.2">
      <c r="A256" s="34" t="s">
        <v>498</v>
      </c>
      <c r="B256" s="46" t="s">
        <v>190</v>
      </c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9"/>
    </row>
    <row r="257" spans="1:20" s="7" customFormat="1" ht="15.95" customHeight="1" x14ac:dyDescent="0.2">
      <c r="A257" s="34"/>
      <c r="B257" s="50" t="s">
        <v>77</v>
      </c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1"/>
    </row>
    <row r="258" spans="1:20" s="7" customFormat="1" ht="45" customHeight="1" x14ac:dyDescent="0.2">
      <c r="A258" s="34"/>
      <c r="B258" s="52" t="s">
        <v>493</v>
      </c>
      <c r="C258" s="53"/>
      <c r="D258" s="53"/>
      <c r="E258" s="53"/>
      <c r="F258" s="53"/>
      <c r="G258" s="53"/>
      <c r="H258" s="54"/>
      <c r="I258" s="39" t="s">
        <v>455</v>
      </c>
      <c r="J258" s="39" t="s">
        <v>208</v>
      </c>
      <c r="K258" s="39" t="s">
        <v>35</v>
      </c>
      <c r="L258" s="39" t="s">
        <v>462</v>
      </c>
      <c r="M258" s="39" t="s">
        <v>805</v>
      </c>
      <c r="N258" s="39" t="s">
        <v>56</v>
      </c>
      <c r="O258" s="39" t="s">
        <v>805</v>
      </c>
      <c r="P258" s="84"/>
      <c r="Q258" s="39" t="s">
        <v>29</v>
      </c>
      <c r="R258" s="39" t="s">
        <v>32</v>
      </c>
      <c r="S258" s="39" t="s">
        <v>30</v>
      </c>
      <c r="T258" s="55" t="s">
        <v>490</v>
      </c>
    </row>
    <row r="259" spans="1:20" s="7" customFormat="1" ht="15.95" customHeight="1" x14ac:dyDescent="0.2">
      <c r="A259" s="34"/>
      <c r="B259" s="25" t="s">
        <v>5</v>
      </c>
      <c r="C259" s="2">
        <f>D259+E259+F259+G259+H259</f>
        <v>28490</v>
      </c>
      <c r="D259" s="1">
        <f t="shared" ref="D259:F259" si="45">SUM(D260:D263)</f>
        <v>0</v>
      </c>
      <c r="E259" s="1">
        <f t="shared" si="45"/>
        <v>0</v>
      </c>
      <c r="F259" s="1">
        <f t="shared" si="45"/>
        <v>0</v>
      </c>
      <c r="G259" s="1">
        <f t="shared" ref="G259:H259" si="46">SUM(G260:G263)</f>
        <v>28490</v>
      </c>
      <c r="H259" s="1">
        <f t="shared" si="46"/>
        <v>0</v>
      </c>
      <c r="I259" s="40"/>
      <c r="J259" s="40"/>
      <c r="K259" s="40"/>
      <c r="L259" s="40"/>
      <c r="M259" s="40"/>
      <c r="N259" s="40"/>
      <c r="O259" s="40"/>
      <c r="P259" s="85"/>
      <c r="Q259" s="40"/>
      <c r="R259" s="40"/>
      <c r="S259" s="40"/>
      <c r="T259" s="55"/>
    </row>
    <row r="260" spans="1:20" s="7" customFormat="1" ht="15.95" customHeight="1" x14ac:dyDescent="0.2">
      <c r="A260" s="34"/>
      <c r="B260" s="25" t="s">
        <v>0</v>
      </c>
      <c r="C260" s="2">
        <f t="shared" ref="C260:C261" si="47">D260+E260+F260+G260+H260</f>
        <v>27848.227149999999</v>
      </c>
      <c r="D260" s="1"/>
      <c r="E260" s="1"/>
      <c r="F260" s="1"/>
      <c r="G260" s="1">
        <f>0+27848.22715</f>
        <v>27848.227149999999</v>
      </c>
      <c r="H260" s="1"/>
      <c r="I260" s="40"/>
      <c r="J260" s="40"/>
      <c r="K260" s="40"/>
      <c r="L260" s="40"/>
      <c r="M260" s="40"/>
      <c r="N260" s="40"/>
      <c r="O260" s="40"/>
      <c r="P260" s="85"/>
      <c r="Q260" s="40"/>
      <c r="R260" s="40"/>
      <c r="S260" s="40"/>
      <c r="T260" s="55"/>
    </row>
    <row r="261" spans="1:20" s="7" customFormat="1" ht="15.95" customHeight="1" x14ac:dyDescent="0.2">
      <c r="A261" s="34"/>
      <c r="B261" s="25" t="s">
        <v>1</v>
      </c>
      <c r="C261" s="2">
        <f t="shared" si="47"/>
        <v>641.77284999999995</v>
      </c>
      <c r="D261" s="1"/>
      <c r="E261" s="1"/>
      <c r="F261" s="1"/>
      <c r="G261" s="1">
        <f>0+641.77285</f>
        <v>641.77284999999995</v>
      </c>
      <c r="H261" s="1"/>
      <c r="I261" s="40"/>
      <c r="J261" s="40"/>
      <c r="K261" s="40"/>
      <c r="L261" s="40"/>
      <c r="M261" s="40"/>
      <c r="N261" s="40"/>
      <c r="O261" s="40"/>
      <c r="P261" s="85"/>
      <c r="Q261" s="40"/>
      <c r="R261" s="40"/>
      <c r="S261" s="40"/>
      <c r="T261" s="55"/>
    </row>
    <row r="262" spans="1:20" s="7" customFormat="1" ht="15.95" customHeight="1" x14ac:dyDescent="0.2">
      <c r="A262" s="34"/>
      <c r="B262" s="25" t="s">
        <v>2</v>
      </c>
      <c r="C262" s="2">
        <f>SUM(D262:H262)</f>
        <v>0</v>
      </c>
      <c r="D262" s="1"/>
      <c r="E262" s="1"/>
      <c r="F262" s="1"/>
      <c r="G262" s="1"/>
      <c r="H262" s="1"/>
      <c r="I262" s="40"/>
      <c r="J262" s="40"/>
      <c r="K262" s="40"/>
      <c r="L262" s="40"/>
      <c r="M262" s="40"/>
      <c r="N262" s="40"/>
      <c r="O262" s="40"/>
      <c r="P262" s="85"/>
      <c r="Q262" s="40"/>
      <c r="R262" s="40"/>
      <c r="S262" s="40"/>
      <c r="T262" s="55"/>
    </row>
    <row r="263" spans="1:20" s="7" customFormat="1" ht="15.95" customHeight="1" x14ac:dyDescent="0.2">
      <c r="A263" s="34"/>
      <c r="B263" s="25" t="s">
        <v>3</v>
      </c>
      <c r="C263" s="2">
        <f>SUM(D263:H263)</f>
        <v>0</v>
      </c>
      <c r="D263" s="1"/>
      <c r="E263" s="1"/>
      <c r="F263" s="1"/>
      <c r="G263" s="1"/>
      <c r="H263" s="1"/>
      <c r="I263" s="41"/>
      <c r="J263" s="41"/>
      <c r="K263" s="41"/>
      <c r="L263" s="41"/>
      <c r="M263" s="41"/>
      <c r="N263" s="41"/>
      <c r="O263" s="41"/>
      <c r="P263" s="86"/>
      <c r="Q263" s="41"/>
      <c r="R263" s="41"/>
      <c r="S263" s="41"/>
      <c r="T263" s="55"/>
    </row>
    <row r="264" spans="1:20" s="7" customFormat="1" ht="15.95" customHeight="1" x14ac:dyDescent="0.2">
      <c r="A264" s="34" t="s">
        <v>499</v>
      </c>
      <c r="B264" s="45" t="s">
        <v>190</v>
      </c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9"/>
    </row>
    <row r="265" spans="1:20" s="7" customFormat="1" ht="15.95" customHeight="1" x14ac:dyDescent="0.2">
      <c r="A265" s="34"/>
      <c r="B265" s="50" t="s">
        <v>77</v>
      </c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1"/>
    </row>
    <row r="266" spans="1:20" s="7" customFormat="1" ht="45" customHeight="1" x14ac:dyDescent="0.2">
      <c r="A266" s="34"/>
      <c r="B266" s="52" t="s">
        <v>494</v>
      </c>
      <c r="C266" s="53"/>
      <c r="D266" s="53"/>
      <c r="E266" s="53"/>
      <c r="F266" s="53"/>
      <c r="G266" s="53"/>
      <c r="H266" s="54"/>
      <c r="I266" s="39" t="s">
        <v>455</v>
      </c>
      <c r="J266" s="39" t="s">
        <v>208</v>
      </c>
      <c r="K266" s="39" t="s">
        <v>35</v>
      </c>
      <c r="L266" s="39" t="s">
        <v>462</v>
      </c>
      <c r="M266" s="39" t="s">
        <v>805</v>
      </c>
      <c r="N266" s="39" t="s">
        <v>56</v>
      </c>
      <c r="O266" s="39" t="s">
        <v>805</v>
      </c>
      <c r="P266" s="84" t="s">
        <v>444</v>
      </c>
      <c r="Q266" s="39" t="s">
        <v>29</v>
      </c>
      <c r="R266" s="39" t="s">
        <v>212</v>
      </c>
      <c r="S266" s="39" t="s">
        <v>30</v>
      </c>
      <c r="T266" s="55" t="s">
        <v>490</v>
      </c>
    </row>
    <row r="267" spans="1:20" s="7" customFormat="1" ht="15.95" customHeight="1" x14ac:dyDescent="0.2">
      <c r="A267" s="34"/>
      <c r="B267" s="25" t="s">
        <v>5</v>
      </c>
      <c r="C267" s="2">
        <f>D267+E267+F267+G267+H267</f>
        <v>23787.600000000002</v>
      </c>
      <c r="D267" s="1">
        <f t="shared" ref="D267:F267" si="48">SUM(D268:D271)</f>
        <v>0</v>
      </c>
      <c r="E267" s="1">
        <f t="shared" si="48"/>
        <v>0</v>
      </c>
      <c r="F267" s="1">
        <f t="shared" si="48"/>
        <v>0</v>
      </c>
      <c r="G267" s="1">
        <f t="shared" ref="G267:H267" si="49">SUM(G268:G271)</f>
        <v>23787.600000000002</v>
      </c>
      <c r="H267" s="1">
        <f t="shared" si="49"/>
        <v>0</v>
      </c>
      <c r="I267" s="40"/>
      <c r="J267" s="40"/>
      <c r="K267" s="40"/>
      <c r="L267" s="40"/>
      <c r="M267" s="40"/>
      <c r="N267" s="40"/>
      <c r="O267" s="40"/>
      <c r="P267" s="85"/>
      <c r="Q267" s="40"/>
      <c r="R267" s="40"/>
      <c r="S267" s="40"/>
      <c r="T267" s="55"/>
    </row>
    <row r="268" spans="1:20" s="7" customFormat="1" ht="15.95" customHeight="1" x14ac:dyDescent="0.2">
      <c r="A268" s="34"/>
      <c r="B268" s="25" t="s">
        <v>0</v>
      </c>
      <c r="C268" s="2">
        <f>D268+E268+F268+G268+H268</f>
        <v>23251.754580000001</v>
      </c>
      <c r="D268" s="1"/>
      <c r="E268" s="1"/>
      <c r="F268" s="1"/>
      <c r="G268" s="1">
        <f>0+23251.75458</f>
        <v>23251.754580000001</v>
      </c>
      <c r="H268" s="1"/>
      <c r="I268" s="40"/>
      <c r="J268" s="40"/>
      <c r="K268" s="40"/>
      <c r="L268" s="40"/>
      <c r="M268" s="40"/>
      <c r="N268" s="40"/>
      <c r="O268" s="40"/>
      <c r="P268" s="85"/>
      <c r="Q268" s="40"/>
      <c r="R268" s="40"/>
      <c r="S268" s="40"/>
      <c r="T268" s="55"/>
    </row>
    <row r="269" spans="1:20" s="7" customFormat="1" ht="15.95" customHeight="1" x14ac:dyDescent="0.2">
      <c r="A269" s="34"/>
      <c r="B269" s="25" t="s">
        <v>1</v>
      </c>
      <c r="C269" s="2">
        <f>D269+E269+F269+G269+H269</f>
        <v>535.84541999999999</v>
      </c>
      <c r="D269" s="1"/>
      <c r="E269" s="1"/>
      <c r="F269" s="1"/>
      <c r="G269" s="1">
        <f>0+535.84542</f>
        <v>535.84541999999999</v>
      </c>
      <c r="H269" s="1"/>
      <c r="I269" s="40"/>
      <c r="J269" s="40"/>
      <c r="K269" s="40"/>
      <c r="L269" s="40"/>
      <c r="M269" s="40"/>
      <c r="N269" s="40"/>
      <c r="O269" s="40"/>
      <c r="P269" s="85"/>
      <c r="Q269" s="40"/>
      <c r="R269" s="40"/>
      <c r="S269" s="40"/>
      <c r="T269" s="55"/>
    </row>
    <row r="270" spans="1:20" s="7" customFormat="1" ht="15.95" customHeight="1" x14ac:dyDescent="0.2">
      <c r="A270" s="34"/>
      <c r="B270" s="25" t="s">
        <v>2</v>
      </c>
      <c r="C270" s="2">
        <f>SUM(D270:H270)</f>
        <v>0</v>
      </c>
      <c r="D270" s="1"/>
      <c r="E270" s="1"/>
      <c r="F270" s="1"/>
      <c r="G270" s="1"/>
      <c r="H270" s="1"/>
      <c r="I270" s="40"/>
      <c r="J270" s="40"/>
      <c r="K270" s="40"/>
      <c r="L270" s="40"/>
      <c r="M270" s="40"/>
      <c r="N270" s="40"/>
      <c r="O270" s="40"/>
      <c r="P270" s="85"/>
      <c r="Q270" s="40"/>
      <c r="R270" s="40"/>
      <c r="S270" s="40"/>
      <c r="T270" s="55"/>
    </row>
    <row r="271" spans="1:20" s="7" customFormat="1" ht="15.95" customHeight="1" x14ac:dyDescent="0.2">
      <c r="A271" s="34"/>
      <c r="B271" s="25" t="s">
        <v>3</v>
      </c>
      <c r="C271" s="2">
        <f>SUM(D271:H271)</f>
        <v>0</v>
      </c>
      <c r="D271" s="1"/>
      <c r="E271" s="1"/>
      <c r="F271" s="1"/>
      <c r="G271" s="1"/>
      <c r="H271" s="1"/>
      <c r="I271" s="41"/>
      <c r="J271" s="41"/>
      <c r="K271" s="41"/>
      <c r="L271" s="41"/>
      <c r="M271" s="41"/>
      <c r="N271" s="41"/>
      <c r="O271" s="41"/>
      <c r="P271" s="86"/>
      <c r="Q271" s="41"/>
      <c r="R271" s="41"/>
      <c r="S271" s="41"/>
      <c r="T271" s="55"/>
    </row>
    <row r="272" spans="1:20" s="7" customFormat="1" ht="15.95" customHeight="1" x14ac:dyDescent="0.2">
      <c r="A272" s="34" t="s">
        <v>500</v>
      </c>
      <c r="B272" s="45" t="s">
        <v>190</v>
      </c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9"/>
    </row>
    <row r="273" spans="1:20" s="7" customFormat="1" ht="15.95" customHeight="1" x14ac:dyDescent="0.2">
      <c r="A273" s="34"/>
      <c r="B273" s="50" t="s">
        <v>77</v>
      </c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1"/>
    </row>
    <row r="274" spans="1:20" s="7" customFormat="1" ht="45" customHeight="1" x14ac:dyDescent="0.2">
      <c r="A274" s="34"/>
      <c r="B274" s="52" t="s">
        <v>525</v>
      </c>
      <c r="C274" s="53"/>
      <c r="D274" s="53"/>
      <c r="E274" s="53"/>
      <c r="F274" s="53"/>
      <c r="G274" s="53"/>
      <c r="H274" s="54"/>
      <c r="I274" s="39" t="s">
        <v>22</v>
      </c>
      <c r="J274" s="39"/>
      <c r="K274" s="39" t="s">
        <v>35</v>
      </c>
      <c r="L274" s="39" t="s">
        <v>233</v>
      </c>
      <c r="M274" s="39" t="s">
        <v>805</v>
      </c>
      <c r="N274" s="39" t="s">
        <v>56</v>
      </c>
      <c r="O274" s="39" t="s">
        <v>805</v>
      </c>
      <c r="P274" s="84" t="s">
        <v>523</v>
      </c>
      <c r="Q274" s="39" t="s">
        <v>29</v>
      </c>
      <c r="R274" s="39" t="s">
        <v>252</v>
      </c>
      <c r="S274" s="39" t="s">
        <v>30</v>
      </c>
      <c r="T274" s="110" t="s">
        <v>524</v>
      </c>
    </row>
    <row r="275" spans="1:20" s="7" customFormat="1" ht="15.95" customHeight="1" x14ac:dyDescent="0.2">
      <c r="A275" s="34"/>
      <c r="B275" s="25" t="s">
        <v>5</v>
      </c>
      <c r="C275" s="2">
        <f>D275+E275+F275+G275+H275</f>
        <v>22000</v>
      </c>
      <c r="D275" s="1">
        <f t="shared" ref="D275:F275" si="50">SUM(D276:D279)</f>
        <v>22000</v>
      </c>
      <c r="E275" s="1">
        <f t="shared" si="50"/>
        <v>0</v>
      </c>
      <c r="F275" s="1">
        <f t="shared" si="50"/>
        <v>0</v>
      </c>
      <c r="G275" s="1">
        <f t="shared" ref="G275:H275" si="51">SUM(G276:G279)</f>
        <v>0</v>
      </c>
      <c r="H275" s="1">
        <f t="shared" si="51"/>
        <v>0</v>
      </c>
      <c r="I275" s="40"/>
      <c r="J275" s="40"/>
      <c r="K275" s="40"/>
      <c r="L275" s="40"/>
      <c r="M275" s="40"/>
      <c r="N275" s="40"/>
      <c r="O275" s="40"/>
      <c r="P275" s="85"/>
      <c r="Q275" s="40"/>
      <c r="R275" s="40"/>
      <c r="S275" s="40"/>
      <c r="T275" s="111"/>
    </row>
    <row r="276" spans="1:20" s="7" customFormat="1" ht="15.95" customHeight="1" x14ac:dyDescent="0.2">
      <c r="A276" s="34"/>
      <c r="B276" s="25" t="s">
        <v>0</v>
      </c>
      <c r="C276" s="2">
        <f>D276+E276+F276+G276+H276</f>
        <v>0</v>
      </c>
      <c r="D276" s="1"/>
      <c r="E276" s="1"/>
      <c r="F276" s="1"/>
      <c r="G276" s="1"/>
      <c r="H276" s="1"/>
      <c r="I276" s="40"/>
      <c r="J276" s="40"/>
      <c r="K276" s="40"/>
      <c r="L276" s="40"/>
      <c r="M276" s="40"/>
      <c r="N276" s="40"/>
      <c r="O276" s="40"/>
      <c r="P276" s="85"/>
      <c r="Q276" s="40"/>
      <c r="R276" s="40"/>
      <c r="S276" s="40"/>
      <c r="T276" s="111"/>
    </row>
    <row r="277" spans="1:20" s="7" customFormat="1" ht="15.95" customHeight="1" x14ac:dyDescent="0.2">
      <c r="A277" s="34"/>
      <c r="B277" s="25" t="s">
        <v>1</v>
      </c>
      <c r="C277" s="2">
        <f>D277+E277+F277+G277+H277</f>
        <v>22000</v>
      </c>
      <c r="D277" s="1">
        <f>0+22000</f>
        <v>22000</v>
      </c>
      <c r="E277" s="1"/>
      <c r="F277" s="1"/>
      <c r="G277" s="1"/>
      <c r="H277" s="1"/>
      <c r="I277" s="40"/>
      <c r="J277" s="40"/>
      <c r="K277" s="40"/>
      <c r="L277" s="40"/>
      <c r="M277" s="40"/>
      <c r="N277" s="40"/>
      <c r="O277" s="40"/>
      <c r="P277" s="85"/>
      <c r="Q277" s="40"/>
      <c r="R277" s="40"/>
      <c r="S277" s="40"/>
      <c r="T277" s="111"/>
    </row>
    <row r="278" spans="1:20" s="7" customFormat="1" ht="15.95" customHeight="1" x14ac:dyDescent="0.2">
      <c r="A278" s="34"/>
      <c r="B278" s="25" t="s">
        <v>2</v>
      </c>
      <c r="C278" s="2">
        <f>SUM(D278:H278)</f>
        <v>0</v>
      </c>
      <c r="D278" s="1"/>
      <c r="E278" s="1"/>
      <c r="F278" s="1"/>
      <c r="G278" s="1"/>
      <c r="H278" s="1"/>
      <c r="I278" s="40"/>
      <c r="J278" s="40"/>
      <c r="K278" s="40"/>
      <c r="L278" s="40"/>
      <c r="M278" s="40"/>
      <c r="N278" s="40"/>
      <c r="O278" s="40"/>
      <c r="P278" s="85"/>
      <c r="Q278" s="40"/>
      <c r="R278" s="40"/>
      <c r="S278" s="40"/>
      <c r="T278" s="111"/>
    </row>
    <row r="279" spans="1:20" s="7" customFormat="1" ht="15.95" customHeight="1" x14ac:dyDescent="0.2">
      <c r="A279" s="34"/>
      <c r="B279" s="25" t="s">
        <v>3</v>
      </c>
      <c r="C279" s="2">
        <f>SUM(D279:H279)</f>
        <v>0</v>
      </c>
      <c r="D279" s="1"/>
      <c r="E279" s="1"/>
      <c r="F279" s="1"/>
      <c r="G279" s="1"/>
      <c r="H279" s="1"/>
      <c r="I279" s="41"/>
      <c r="J279" s="41"/>
      <c r="K279" s="41"/>
      <c r="L279" s="41"/>
      <c r="M279" s="41"/>
      <c r="N279" s="41"/>
      <c r="O279" s="41"/>
      <c r="P279" s="86"/>
      <c r="Q279" s="41"/>
      <c r="R279" s="41"/>
      <c r="S279" s="41"/>
      <c r="T279" s="112"/>
    </row>
    <row r="280" spans="1:20" s="7" customFormat="1" ht="15.95" customHeight="1" x14ac:dyDescent="0.2">
      <c r="A280" s="34" t="s">
        <v>522</v>
      </c>
      <c r="B280" s="45" t="s">
        <v>190</v>
      </c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9"/>
    </row>
    <row r="281" spans="1:20" s="7" customFormat="1" ht="15.95" customHeight="1" x14ac:dyDescent="0.2">
      <c r="A281" s="34"/>
      <c r="B281" s="50" t="s">
        <v>77</v>
      </c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1"/>
    </row>
    <row r="282" spans="1:20" s="7" customFormat="1" ht="45" customHeight="1" x14ac:dyDescent="0.2">
      <c r="A282" s="34"/>
      <c r="B282" s="52" t="s">
        <v>528</v>
      </c>
      <c r="C282" s="53"/>
      <c r="D282" s="53"/>
      <c r="E282" s="53"/>
      <c r="F282" s="53"/>
      <c r="G282" s="53"/>
      <c r="H282" s="54"/>
      <c r="I282" s="39" t="s">
        <v>22</v>
      </c>
      <c r="J282" s="39"/>
      <c r="K282" s="39" t="s">
        <v>35</v>
      </c>
      <c r="L282" s="39" t="s">
        <v>233</v>
      </c>
      <c r="M282" s="39" t="s">
        <v>805</v>
      </c>
      <c r="N282" s="39" t="s">
        <v>56</v>
      </c>
      <c r="O282" s="39" t="s">
        <v>805</v>
      </c>
      <c r="P282" s="84" t="s">
        <v>526</v>
      </c>
      <c r="Q282" s="39" t="s">
        <v>29</v>
      </c>
      <c r="R282" s="39" t="s">
        <v>252</v>
      </c>
      <c r="S282" s="39" t="s">
        <v>30</v>
      </c>
      <c r="T282" s="110" t="s">
        <v>527</v>
      </c>
    </row>
    <row r="283" spans="1:20" s="7" customFormat="1" ht="15.95" customHeight="1" x14ac:dyDescent="0.2">
      <c r="A283" s="34"/>
      <c r="B283" s="25" t="s">
        <v>5</v>
      </c>
      <c r="C283" s="2">
        <f>D283+E283+F283+G283+H283</f>
        <v>45000</v>
      </c>
      <c r="D283" s="1">
        <f t="shared" ref="D283:F283" si="52">SUM(D284:D287)</f>
        <v>45000</v>
      </c>
      <c r="E283" s="1">
        <f t="shared" si="52"/>
        <v>0</v>
      </c>
      <c r="F283" s="1">
        <f t="shared" si="52"/>
        <v>0</v>
      </c>
      <c r="G283" s="1">
        <f t="shared" ref="G283:H283" si="53">SUM(G284:G287)</f>
        <v>0</v>
      </c>
      <c r="H283" s="1">
        <f t="shared" si="53"/>
        <v>0</v>
      </c>
      <c r="I283" s="40"/>
      <c r="J283" s="40"/>
      <c r="K283" s="40"/>
      <c r="L283" s="40"/>
      <c r="M283" s="40"/>
      <c r="N283" s="40"/>
      <c r="O283" s="40"/>
      <c r="P283" s="85"/>
      <c r="Q283" s="40"/>
      <c r="R283" s="40"/>
      <c r="S283" s="40"/>
      <c r="T283" s="111"/>
    </row>
    <row r="284" spans="1:20" s="7" customFormat="1" ht="15.95" customHeight="1" x14ac:dyDescent="0.2">
      <c r="A284" s="34"/>
      <c r="B284" s="25" t="s">
        <v>0</v>
      </c>
      <c r="C284" s="2">
        <f>D284+E284+F284+G284+H284</f>
        <v>0</v>
      </c>
      <c r="D284" s="1"/>
      <c r="E284" s="1"/>
      <c r="F284" s="1"/>
      <c r="G284" s="1"/>
      <c r="H284" s="1"/>
      <c r="I284" s="40"/>
      <c r="J284" s="40"/>
      <c r="K284" s="40"/>
      <c r="L284" s="40"/>
      <c r="M284" s="40"/>
      <c r="N284" s="40"/>
      <c r="O284" s="40"/>
      <c r="P284" s="85"/>
      <c r="Q284" s="40"/>
      <c r="R284" s="40"/>
      <c r="S284" s="40"/>
      <c r="T284" s="111"/>
    </row>
    <row r="285" spans="1:20" s="7" customFormat="1" ht="15.95" customHeight="1" x14ac:dyDescent="0.2">
      <c r="A285" s="34"/>
      <c r="B285" s="25" t="s">
        <v>1</v>
      </c>
      <c r="C285" s="2">
        <f>D285+E285+F285+G285+H285</f>
        <v>45000</v>
      </c>
      <c r="D285" s="1">
        <f>0+42000+3000</f>
        <v>45000</v>
      </c>
      <c r="E285" s="1"/>
      <c r="F285" s="1"/>
      <c r="G285" s="1"/>
      <c r="H285" s="1"/>
      <c r="I285" s="40"/>
      <c r="J285" s="40"/>
      <c r="K285" s="40"/>
      <c r="L285" s="40"/>
      <c r="M285" s="40"/>
      <c r="N285" s="40"/>
      <c r="O285" s="40"/>
      <c r="P285" s="85"/>
      <c r="Q285" s="40"/>
      <c r="R285" s="40"/>
      <c r="S285" s="40"/>
      <c r="T285" s="111"/>
    </row>
    <row r="286" spans="1:20" s="7" customFormat="1" ht="15.95" customHeight="1" x14ac:dyDescent="0.2">
      <c r="A286" s="34"/>
      <c r="B286" s="25" t="s">
        <v>2</v>
      </c>
      <c r="C286" s="2">
        <f>SUM(D286:H286)</f>
        <v>0</v>
      </c>
      <c r="D286" s="1"/>
      <c r="E286" s="1"/>
      <c r="F286" s="1"/>
      <c r="G286" s="1"/>
      <c r="H286" s="1"/>
      <c r="I286" s="40"/>
      <c r="J286" s="40"/>
      <c r="K286" s="40"/>
      <c r="L286" s="40"/>
      <c r="M286" s="40"/>
      <c r="N286" s="40"/>
      <c r="O286" s="40"/>
      <c r="P286" s="85"/>
      <c r="Q286" s="40"/>
      <c r="R286" s="40"/>
      <c r="S286" s="40"/>
      <c r="T286" s="111"/>
    </row>
    <row r="287" spans="1:20" s="7" customFormat="1" ht="15.95" customHeight="1" x14ac:dyDescent="0.2">
      <c r="A287" s="34"/>
      <c r="B287" s="25" t="s">
        <v>3</v>
      </c>
      <c r="C287" s="2">
        <f>SUM(D287:H287)</f>
        <v>0</v>
      </c>
      <c r="D287" s="1"/>
      <c r="E287" s="1"/>
      <c r="F287" s="1"/>
      <c r="G287" s="1"/>
      <c r="H287" s="1"/>
      <c r="I287" s="41"/>
      <c r="J287" s="41"/>
      <c r="K287" s="41"/>
      <c r="L287" s="41"/>
      <c r="M287" s="41"/>
      <c r="N287" s="41"/>
      <c r="O287" s="41"/>
      <c r="P287" s="86"/>
      <c r="Q287" s="41"/>
      <c r="R287" s="41"/>
      <c r="S287" s="41"/>
      <c r="T287" s="112"/>
    </row>
    <row r="288" spans="1:20" ht="15.95" customHeight="1" x14ac:dyDescent="0.2">
      <c r="A288" s="102" t="s">
        <v>60</v>
      </c>
      <c r="B288" s="50" t="s">
        <v>78</v>
      </c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1"/>
    </row>
    <row r="289" spans="1:20" ht="15.95" customHeight="1" x14ac:dyDescent="0.2">
      <c r="A289" s="103"/>
      <c r="B289" s="31" t="s">
        <v>5</v>
      </c>
      <c r="C289" s="3">
        <f>SUM(C290:C294)</f>
        <v>4293816.8758699996</v>
      </c>
      <c r="D289" s="3">
        <f>SUM(D290:D294)</f>
        <v>1277625.2778200002</v>
      </c>
      <c r="E289" s="3">
        <f t="shared" ref="E289:H289" si="54">SUM(E290:E294)</f>
        <v>997560.24384999997</v>
      </c>
      <c r="F289" s="3">
        <f t="shared" si="54"/>
        <v>1225417.3119299999</v>
      </c>
      <c r="G289" s="3">
        <f t="shared" si="54"/>
        <v>645156.65026999998</v>
      </c>
      <c r="H289" s="3">
        <f t="shared" si="54"/>
        <v>148057.39200000002</v>
      </c>
      <c r="I289" s="105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1"/>
    </row>
    <row r="290" spans="1:20" ht="15.95" customHeight="1" x14ac:dyDescent="0.2">
      <c r="A290" s="103"/>
      <c r="B290" s="31" t="s">
        <v>0</v>
      </c>
      <c r="C290" s="3">
        <f>D290+E290+F290+H290+G290</f>
        <v>1075090.8</v>
      </c>
      <c r="D290" s="3">
        <f>D299+D307+D315+D323+D331+D339+D347+D355+D363+D371+D380+D389</f>
        <v>392489.3</v>
      </c>
      <c r="E290" s="3">
        <f t="shared" ref="E290:H290" si="55">E299+E307+E315+E323+E331+E339+E347+E355+E363+E371+E380+E389</f>
        <v>320561.8</v>
      </c>
      <c r="F290" s="3">
        <f t="shared" si="55"/>
        <v>362039.7</v>
      </c>
      <c r="G290" s="3">
        <f t="shared" si="55"/>
        <v>0</v>
      </c>
      <c r="H290" s="3">
        <f t="shared" si="55"/>
        <v>0</v>
      </c>
      <c r="I290" s="106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3"/>
    </row>
    <row r="291" spans="1:20" ht="15.95" customHeight="1" x14ac:dyDescent="0.2">
      <c r="A291" s="103"/>
      <c r="B291" s="31" t="s">
        <v>1</v>
      </c>
      <c r="C291" s="3">
        <f>D291+E291+F291+H291+G291</f>
        <v>3183207.5683599999</v>
      </c>
      <c r="D291" s="3">
        <f t="shared" ref="D291:H293" si="56">D300+D308+D316+D324+D332+D340+D348+D356+D364+D372+D381+D390</f>
        <v>852296.76009</v>
      </c>
      <c r="E291" s="3">
        <f t="shared" si="56"/>
        <v>675139.1473699999</v>
      </c>
      <c r="F291" s="3">
        <f t="shared" si="56"/>
        <v>863377.6119299999</v>
      </c>
      <c r="G291" s="3">
        <f t="shared" si="56"/>
        <v>645076.94397000002</v>
      </c>
      <c r="H291" s="3">
        <f t="shared" si="56"/>
        <v>147317.10500000001</v>
      </c>
      <c r="I291" s="106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3"/>
    </row>
    <row r="292" spans="1:20" ht="15.95" customHeight="1" x14ac:dyDescent="0.2">
      <c r="A292" s="103"/>
      <c r="B292" s="31" t="s">
        <v>2</v>
      </c>
      <c r="C292" s="3">
        <f>D292+E292+F292+H292+G292</f>
        <v>3824.6047699999999</v>
      </c>
      <c r="D292" s="3">
        <f t="shared" si="56"/>
        <v>1145.3149900000001</v>
      </c>
      <c r="E292" s="3">
        <f t="shared" si="56"/>
        <v>1859.29648</v>
      </c>
      <c r="F292" s="3">
        <f t="shared" si="56"/>
        <v>0</v>
      </c>
      <c r="G292" s="3">
        <f t="shared" si="56"/>
        <v>79.706299999999999</v>
      </c>
      <c r="H292" s="3">
        <f t="shared" si="56"/>
        <v>740.28700000000003</v>
      </c>
      <c r="I292" s="106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3"/>
    </row>
    <row r="293" spans="1:20" ht="15.95" customHeight="1" x14ac:dyDescent="0.2">
      <c r="A293" s="103"/>
      <c r="B293" s="31" t="s">
        <v>3</v>
      </c>
      <c r="C293" s="3">
        <f>D293+E293+F293+H293+G293</f>
        <v>0</v>
      </c>
      <c r="D293" s="3">
        <f t="shared" si="56"/>
        <v>0</v>
      </c>
      <c r="E293" s="3">
        <f t="shared" si="56"/>
        <v>0</v>
      </c>
      <c r="F293" s="3">
        <f t="shared" si="56"/>
        <v>0</v>
      </c>
      <c r="G293" s="3">
        <f t="shared" si="56"/>
        <v>0</v>
      </c>
      <c r="H293" s="3">
        <f t="shared" si="56"/>
        <v>0</v>
      </c>
      <c r="I293" s="106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3"/>
    </row>
    <row r="294" spans="1:20" ht="31.5" customHeight="1" x14ac:dyDescent="0.2">
      <c r="A294" s="104"/>
      <c r="B294" s="31" t="s">
        <v>795</v>
      </c>
      <c r="C294" s="3">
        <f>D294+E294+F294+H294+G294</f>
        <v>31693.902740000001</v>
      </c>
      <c r="D294" s="3">
        <f>D375+D384+D393</f>
        <v>31693.902740000001</v>
      </c>
      <c r="E294" s="3">
        <f t="shared" ref="E294:H294" si="57">E375+E384+E393</f>
        <v>0</v>
      </c>
      <c r="F294" s="3">
        <f t="shared" si="57"/>
        <v>0</v>
      </c>
      <c r="G294" s="3">
        <f t="shared" si="57"/>
        <v>0</v>
      </c>
      <c r="H294" s="3">
        <f t="shared" si="57"/>
        <v>0</v>
      </c>
      <c r="I294" s="107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9"/>
    </row>
    <row r="295" spans="1:20" ht="15.95" customHeight="1" x14ac:dyDescent="0.2">
      <c r="A295" s="34" t="s">
        <v>109</v>
      </c>
      <c r="B295" s="78" t="s">
        <v>141</v>
      </c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9"/>
    </row>
    <row r="296" spans="1:20" ht="15.95" customHeight="1" x14ac:dyDescent="0.2">
      <c r="A296" s="34" t="s">
        <v>57</v>
      </c>
      <c r="B296" s="50" t="s">
        <v>79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1"/>
    </row>
    <row r="297" spans="1:20" ht="45" customHeight="1" x14ac:dyDescent="0.2">
      <c r="A297" s="34"/>
      <c r="B297" s="78" t="s">
        <v>226</v>
      </c>
      <c r="C297" s="78"/>
      <c r="D297" s="78"/>
      <c r="E297" s="78"/>
      <c r="F297" s="78"/>
      <c r="G297" s="78"/>
      <c r="H297" s="78"/>
      <c r="I297" s="48" t="s">
        <v>22</v>
      </c>
      <c r="J297" s="48"/>
      <c r="K297" s="48" t="s">
        <v>40</v>
      </c>
      <c r="L297" s="48" t="s">
        <v>96</v>
      </c>
      <c r="M297" s="48" t="s">
        <v>8</v>
      </c>
      <c r="N297" s="48" t="s">
        <v>21</v>
      </c>
      <c r="O297" s="48" t="s">
        <v>21</v>
      </c>
      <c r="P297" s="38" t="s">
        <v>227</v>
      </c>
      <c r="Q297" s="48" t="s">
        <v>7</v>
      </c>
      <c r="R297" s="48" t="s">
        <v>8</v>
      </c>
      <c r="S297" s="48" t="s">
        <v>30</v>
      </c>
      <c r="T297" s="55" t="s">
        <v>228</v>
      </c>
    </row>
    <row r="298" spans="1:20" ht="15.95" customHeight="1" x14ac:dyDescent="0.2">
      <c r="A298" s="34"/>
      <c r="B298" s="25" t="s">
        <v>5</v>
      </c>
      <c r="C298" s="2">
        <f>D298+E298+F298+G298+H298</f>
        <v>402010.05024000001</v>
      </c>
      <c r="D298" s="1">
        <f>SUM(D299:D302)</f>
        <v>30150.75376</v>
      </c>
      <c r="E298" s="1">
        <f t="shared" ref="E298:H298" si="58">SUM(E299:E302)</f>
        <v>371859.29648000002</v>
      </c>
      <c r="F298" s="1">
        <f t="shared" si="58"/>
        <v>0</v>
      </c>
      <c r="G298" s="1">
        <f t="shared" si="58"/>
        <v>0</v>
      </c>
      <c r="H298" s="1">
        <f t="shared" si="58"/>
        <v>0</v>
      </c>
      <c r="I298" s="48"/>
      <c r="J298" s="48"/>
      <c r="K298" s="48"/>
      <c r="L298" s="48"/>
      <c r="M298" s="48"/>
      <c r="N298" s="48"/>
      <c r="O298" s="48"/>
      <c r="P298" s="38"/>
      <c r="Q298" s="48"/>
      <c r="R298" s="48"/>
      <c r="S298" s="48"/>
      <c r="T298" s="55"/>
    </row>
    <row r="299" spans="1:20" ht="15.95" customHeight="1" x14ac:dyDescent="0.2">
      <c r="A299" s="34"/>
      <c r="B299" s="25" t="s">
        <v>0</v>
      </c>
      <c r="C299" s="2">
        <f>D299+E299+F299+G299+H299</f>
        <v>0</v>
      </c>
      <c r="D299" s="1"/>
      <c r="E299" s="1"/>
      <c r="F299" s="1"/>
      <c r="G299" s="1"/>
      <c r="H299" s="1"/>
      <c r="I299" s="48"/>
      <c r="J299" s="48"/>
      <c r="K299" s="48"/>
      <c r="L299" s="48"/>
      <c r="M299" s="48"/>
      <c r="N299" s="48"/>
      <c r="O299" s="48"/>
      <c r="P299" s="38"/>
      <c r="Q299" s="48"/>
      <c r="R299" s="48"/>
      <c r="S299" s="48"/>
      <c r="T299" s="55"/>
    </row>
    <row r="300" spans="1:20" ht="15.95" customHeight="1" x14ac:dyDescent="0.2">
      <c r="A300" s="34"/>
      <c r="B300" s="25" t="s">
        <v>1</v>
      </c>
      <c r="C300" s="2">
        <f>D300+E300+F300+G300+H300</f>
        <v>400000</v>
      </c>
      <c r="D300" s="1">
        <f>30000-30000+30000</f>
        <v>30000</v>
      </c>
      <c r="E300" s="1">
        <v>370000</v>
      </c>
      <c r="F300" s="1"/>
      <c r="G300" s="1"/>
      <c r="H300" s="1"/>
      <c r="I300" s="48"/>
      <c r="J300" s="48"/>
      <c r="K300" s="48"/>
      <c r="L300" s="48"/>
      <c r="M300" s="48"/>
      <c r="N300" s="48"/>
      <c r="O300" s="48"/>
      <c r="P300" s="38"/>
      <c r="Q300" s="48"/>
      <c r="R300" s="48"/>
      <c r="S300" s="48"/>
      <c r="T300" s="55"/>
    </row>
    <row r="301" spans="1:20" ht="15.95" customHeight="1" x14ac:dyDescent="0.2">
      <c r="A301" s="34"/>
      <c r="B301" s="25" t="s">
        <v>2</v>
      </c>
      <c r="C301" s="2">
        <f>D301+E301+F301+G301+H301</f>
        <v>2010.05024</v>
      </c>
      <c r="D301" s="1">
        <f>150.75376-150.75376+150.75376</f>
        <v>150.75376</v>
      </c>
      <c r="E301" s="1">
        <v>1859.29648</v>
      </c>
      <c r="F301" s="1"/>
      <c r="G301" s="1"/>
      <c r="H301" s="1"/>
      <c r="I301" s="48"/>
      <c r="J301" s="48"/>
      <c r="K301" s="48"/>
      <c r="L301" s="48"/>
      <c r="M301" s="48"/>
      <c r="N301" s="48"/>
      <c r="O301" s="48"/>
      <c r="P301" s="38"/>
      <c r="Q301" s="48"/>
      <c r="R301" s="48"/>
      <c r="S301" s="48"/>
      <c r="T301" s="55"/>
    </row>
    <row r="302" spans="1:20" ht="15.95" customHeight="1" x14ac:dyDescent="0.2">
      <c r="A302" s="34"/>
      <c r="B302" s="25" t="s">
        <v>3</v>
      </c>
      <c r="C302" s="2">
        <f>D302+E302+F302+G302+H302</f>
        <v>0</v>
      </c>
      <c r="D302" s="1"/>
      <c r="E302" s="1"/>
      <c r="F302" s="1"/>
      <c r="G302" s="1"/>
      <c r="H302" s="1"/>
      <c r="I302" s="48"/>
      <c r="J302" s="48"/>
      <c r="K302" s="48"/>
      <c r="L302" s="48"/>
      <c r="M302" s="48"/>
      <c r="N302" s="48"/>
      <c r="O302" s="48"/>
      <c r="P302" s="38"/>
      <c r="Q302" s="48"/>
      <c r="R302" s="48"/>
      <c r="S302" s="48"/>
      <c r="T302" s="55"/>
    </row>
    <row r="303" spans="1:20" ht="15.95" customHeight="1" x14ac:dyDescent="0.2">
      <c r="A303" s="34" t="s">
        <v>409</v>
      </c>
      <c r="B303" s="78" t="s">
        <v>190</v>
      </c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9"/>
    </row>
    <row r="304" spans="1:20" ht="15.95" customHeight="1" x14ac:dyDescent="0.2">
      <c r="A304" s="34" t="s">
        <v>57</v>
      </c>
      <c r="B304" s="50" t="s">
        <v>79</v>
      </c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1"/>
    </row>
    <row r="305" spans="1:20" ht="45" customHeight="1" x14ac:dyDescent="0.2">
      <c r="A305" s="34"/>
      <c r="B305" s="80" t="s">
        <v>255</v>
      </c>
      <c r="C305" s="80"/>
      <c r="D305" s="80"/>
      <c r="E305" s="80"/>
      <c r="F305" s="80"/>
      <c r="G305" s="80"/>
      <c r="H305" s="80"/>
      <c r="I305" s="48" t="s">
        <v>23</v>
      </c>
      <c r="J305" s="48" t="s">
        <v>256</v>
      </c>
      <c r="K305" s="48" t="s">
        <v>35</v>
      </c>
      <c r="L305" s="48" t="s">
        <v>218</v>
      </c>
      <c r="M305" s="48" t="s">
        <v>221</v>
      </c>
      <c r="N305" s="48" t="s">
        <v>190</v>
      </c>
      <c r="O305" s="48" t="s">
        <v>221</v>
      </c>
      <c r="P305" s="38" t="s">
        <v>257</v>
      </c>
      <c r="Q305" s="48" t="s">
        <v>29</v>
      </c>
      <c r="R305" s="48" t="s">
        <v>32</v>
      </c>
      <c r="S305" s="48" t="s">
        <v>30</v>
      </c>
      <c r="T305" s="55"/>
    </row>
    <row r="306" spans="1:20" ht="15.95" customHeight="1" x14ac:dyDescent="0.2">
      <c r="A306" s="34"/>
      <c r="B306" s="25" t="s">
        <v>5</v>
      </c>
      <c r="C306" s="2">
        <f>D306+E306+F306+G306+H306</f>
        <v>575028.15800000005</v>
      </c>
      <c r="D306" s="1">
        <f t="shared" ref="D306:H306" si="59">SUM(D307:D310)</f>
        <v>273783.34700000001</v>
      </c>
      <c r="E306" s="1">
        <f t="shared" si="59"/>
        <v>301244.81099999999</v>
      </c>
      <c r="F306" s="1">
        <f t="shared" si="59"/>
        <v>0</v>
      </c>
      <c r="G306" s="1">
        <f t="shared" si="59"/>
        <v>0</v>
      </c>
      <c r="H306" s="1">
        <f t="shared" si="59"/>
        <v>0</v>
      </c>
      <c r="I306" s="48"/>
      <c r="J306" s="48"/>
      <c r="K306" s="48"/>
      <c r="L306" s="48"/>
      <c r="M306" s="48"/>
      <c r="N306" s="48"/>
      <c r="O306" s="48"/>
      <c r="P306" s="38"/>
      <c r="Q306" s="48"/>
      <c r="R306" s="48"/>
      <c r="S306" s="48"/>
      <c r="T306" s="55"/>
    </row>
    <row r="307" spans="1:20" ht="15.95" customHeight="1" x14ac:dyDescent="0.2">
      <c r="A307" s="34"/>
      <c r="B307" s="25" t="s">
        <v>0</v>
      </c>
      <c r="C307" s="2">
        <f>D307+E307+F307+G307+H307</f>
        <v>181359.7</v>
      </c>
      <c r="D307" s="1">
        <v>92190.3</v>
      </c>
      <c r="E307" s="1">
        <v>89169.4</v>
      </c>
      <c r="F307" s="1"/>
      <c r="G307" s="1"/>
      <c r="H307" s="1"/>
      <c r="I307" s="48"/>
      <c r="J307" s="48"/>
      <c r="K307" s="48"/>
      <c r="L307" s="48"/>
      <c r="M307" s="48"/>
      <c r="N307" s="48"/>
      <c r="O307" s="48"/>
      <c r="P307" s="38"/>
      <c r="Q307" s="48"/>
      <c r="R307" s="48"/>
      <c r="S307" s="48"/>
      <c r="T307" s="55"/>
    </row>
    <row r="308" spans="1:20" ht="15.95" customHeight="1" x14ac:dyDescent="0.2">
      <c r="A308" s="34"/>
      <c r="B308" s="25" t="s">
        <v>1</v>
      </c>
      <c r="C308" s="2">
        <f>D308+E308+F308+G308+H308</f>
        <v>393668.45799999998</v>
      </c>
      <c r="D308" s="1">
        <f>177809.7+3783.347</f>
        <v>181593.04700000002</v>
      </c>
      <c r="E308" s="1">
        <f>40830.6+171244.811</f>
        <v>212075.41099999999</v>
      </c>
      <c r="F308" s="1"/>
      <c r="G308" s="1"/>
      <c r="H308" s="1"/>
      <c r="I308" s="48"/>
      <c r="J308" s="48"/>
      <c r="K308" s="48"/>
      <c r="L308" s="48"/>
      <c r="M308" s="48"/>
      <c r="N308" s="48"/>
      <c r="O308" s="48"/>
      <c r="P308" s="38"/>
      <c r="Q308" s="48"/>
      <c r="R308" s="48"/>
      <c r="S308" s="48"/>
      <c r="T308" s="55"/>
    </row>
    <row r="309" spans="1:20" ht="15.95" customHeight="1" x14ac:dyDescent="0.2">
      <c r="A309" s="34"/>
      <c r="B309" s="25" t="s">
        <v>2</v>
      </c>
      <c r="C309" s="2">
        <f>D309+E309+F309+G309+H309</f>
        <v>0</v>
      </c>
      <c r="D309" s="1"/>
      <c r="E309" s="1"/>
      <c r="F309" s="1"/>
      <c r="G309" s="1"/>
      <c r="H309" s="1"/>
      <c r="I309" s="48"/>
      <c r="J309" s="48"/>
      <c r="K309" s="48"/>
      <c r="L309" s="48"/>
      <c r="M309" s="48"/>
      <c r="N309" s="48"/>
      <c r="O309" s="48"/>
      <c r="P309" s="38"/>
      <c r="Q309" s="48"/>
      <c r="R309" s="48"/>
      <c r="S309" s="48"/>
      <c r="T309" s="55"/>
    </row>
    <row r="310" spans="1:20" ht="15.95" customHeight="1" x14ac:dyDescent="0.2">
      <c r="A310" s="34"/>
      <c r="B310" s="25" t="s">
        <v>3</v>
      </c>
      <c r="C310" s="2">
        <f>D310+E310+F310+G310+H310</f>
        <v>0</v>
      </c>
      <c r="D310" s="1"/>
      <c r="E310" s="1"/>
      <c r="F310" s="1"/>
      <c r="G310" s="1"/>
      <c r="H310" s="1"/>
      <c r="I310" s="48"/>
      <c r="J310" s="48"/>
      <c r="K310" s="48"/>
      <c r="L310" s="48"/>
      <c r="M310" s="48"/>
      <c r="N310" s="48"/>
      <c r="O310" s="48"/>
      <c r="P310" s="38"/>
      <c r="Q310" s="48"/>
      <c r="R310" s="48"/>
      <c r="S310" s="48"/>
      <c r="T310" s="55"/>
    </row>
    <row r="311" spans="1:20" ht="15.95" customHeight="1" x14ac:dyDescent="0.2">
      <c r="A311" s="34" t="s">
        <v>229</v>
      </c>
      <c r="B311" s="78" t="s">
        <v>190</v>
      </c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9"/>
    </row>
    <row r="312" spans="1:20" ht="15.95" customHeight="1" x14ac:dyDescent="0.2">
      <c r="A312" s="34" t="s">
        <v>57</v>
      </c>
      <c r="B312" s="50" t="s">
        <v>79</v>
      </c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1"/>
    </row>
    <row r="313" spans="1:20" ht="45" customHeight="1" x14ac:dyDescent="0.2">
      <c r="A313" s="34"/>
      <c r="B313" s="78" t="s">
        <v>468</v>
      </c>
      <c r="C313" s="78"/>
      <c r="D313" s="78"/>
      <c r="E313" s="78"/>
      <c r="F313" s="78"/>
      <c r="G313" s="78"/>
      <c r="H313" s="78"/>
      <c r="I313" s="48" t="s">
        <v>28</v>
      </c>
      <c r="J313" s="48" t="s">
        <v>19</v>
      </c>
      <c r="K313" s="48" t="s">
        <v>35</v>
      </c>
      <c r="L313" s="48" t="s">
        <v>165</v>
      </c>
      <c r="M313" s="48" t="s">
        <v>221</v>
      </c>
      <c r="N313" s="48" t="s">
        <v>190</v>
      </c>
      <c r="O313" s="48" t="s">
        <v>221</v>
      </c>
      <c r="P313" s="38" t="s">
        <v>262</v>
      </c>
      <c r="Q313" s="48" t="s">
        <v>29</v>
      </c>
      <c r="R313" s="48" t="s">
        <v>8</v>
      </c>
      <c r="S313" s="48" t="s">
        <v>30</v>
      </c>
      <c r="T313" s="55"/>
    </row>
    <row r="314" spans="1:20" ht="15.95" customHeight="1" x14ac:dyDescent="0.2">
      <c r="A314" s="34"/>
      <c r="B314" s="25" t="s">
        <v>5</v>
      </c>
      <c r="C314" s="2">
        <f>D314+E314+F314+G314+H314</f>
        <v>1330145.7482999999</v>
      </c>
      <c r="D314" s="1">
        <f t="shared" ref="D314:H314" si="60">SUM(D315:D318)</f>
        <v>500</v>
      </c>
      <c r="E314" s="1">
        <f t="shared" si="60"/>
        <v>324456.13636999996</v>
      </c>
      <c r="F314" s="1">
        <f t="shared" si="60"/>
        <v>1005189.6119299999</v>
      </c>
      <c r="G314" s="1">
        <f t="shared" si="60"/>
        <v>0</v>
      </c>
      <c r="H314" s="1">
        <f t="shared" si="60"/>
        <v>0</v>
      </c>
      <c r="I314" s="48"/>
      <c r="J314" s="48"/>
      <c r="K314" s="48"/>
      <c r="L314" s="48"/>
      <c r="M314" s="48"/>
      <c r="N314" s="48"/>
      <c r="O314" s="48"/>
      <c r="P314" s="38"/>
      <c r="Q314" s="48"/>
      <c r="R314" s="48"/>
      <c r="S314" s="48"/>
      <c r="T314" s="55"/>
    </row>
    <row r="315" spans="1:20" ht="15.95" customHeight="1" x14ac:dyDescent="0.2">
      <c r="A315" s="34"/>
      <c r="B315" s="25" t="s">
        <v>0</v>
      </c>
      <c r="C315" s="2">
        <f>D315+E315+F315+G315+H315</f>
        <v>593432.1</v>
      </c>
      <c r="D315" s="1"/>
      <c r="E315" s="1">
        <v>231392.4</v>
      </c>
      <c r="F315" s="1">
        <v>362039.7</v>
      </c>
      <c r="G315" s="1"/>
      <c r="H315" s="1"/>
      <c r="I315" s="48"/>
      <c r="J315" s="48"/>
      <c r="K315" s="48"/>
      <c r="L315" s="48"/>
      <c r="M315" s="48"/>
      <c r="N315" s="48"/>
      <c r="O315" s="48"/>
      <c r="P315" s="38"/>
      <c r="Q315" s="48"/>
      <c r="R315" s="48"/>
      <c r="S315" s="48"/>
      <c r="T315" s="55"/>
    </row>
    <row r="316" spans="1:20" ht="15.95" customHeight="1" x14ac:dyDescent="0.2">
      <c r="A316" s="34"/>
      <c r="B316" s="25" t="s">
        <v>1</v>
      </c>
      <c r="C316" s="2">
        <f>D316+E316+F316+G316+H316</f>
        <v>736713.6483</v>
      </c>
      <c r="D316" s="1">
        <f>100000-99500</f>
        <v>500</v>
      </c>
      <c r="E316" s="1">
        <f>12178.54737+80885.189</f>
        <v>93063.736369999999</v>
      </c>
      <c r="F316" s="1">
        <f>346905.10093+171244.811+100000+25000</f>
        <v>643149.91192999994</v>
      </c>
      <c r="G316" s="1"/>
      <c r="H316" s="1"/>
      <c r="I316" s="48"/>
      <c r="J316" s="48"/>
      <c r="K316" s="48"/>
      <c r="L316" s="48"/>
      <c r="M316" s="48"/>
      <c r="N316" s="48"/>
      <c r="O316" s="48"/>
      <c r="P316" s="38"/>
      <c r="Q316" s="48"/>
      <c r="R316" s="48"/>
      <c r="S316" s="48"/>
      <c r="T316" s="55"/>
    </row>
    <row r="317" spans="1:20" ht="15.95" customHeight="1" x14ac:dyDescent="0.2">
      <c r="A317" s="34"/>
      <c r="B317" s="25" t="s">
        <v>2</v>
      </c>
      <c r="C317" s="2">
        <f>D317+E317+F317+G317+H317</f>
        <v>0</v>
      </c>
      <c r="D317" s="1"/>
      <c r="E317" s="1"/>
      <c r="F317" s="1"/>
      <c r="G317" s="1"/>
      <c r="H317" s="1"/>
      <c r="I317" s="48"/>
      <c r="J317" s="48"/>
      <c r="K317" s="48"/>
      <c r="L317" s="48"/>
      <c r="M317" s="48"/>
      <c r="N317" s="48"/>
      <c r="O317" s="48"/>
      <c r="P317" s="38"/>
      <c r="Q317" s="48"/>
      <c r="R317" s="48"/>
      <c r="S317" s="48"/>
      <c r="T317" s="55"/>
    </row>
    <row r="318" spans="1:20" ht="15.95" customHeight="1" x14ac:dyDescent="0.2">
      <c r="A318" s="34"/>
      <c r="B318" s="25" t="s">
        <v>3</v>
      </c>
      <c r="C318" s="2">
        <f>D318+E318+F318+G318+H318</f>
        <v>0</v>
      </c>
      <c r="D318" s="1"/>
      <c r="E318" s="1"/>
      <c r="F318" s="1"/>
      <c r="G318" s="1"/>
      <c r="H318" s="1"/>
      <c r="I318" s="48"/>
      <c r="J318" s="48"/>
      <c r="K318" s="48"/>
      <c r="L318" s="48"/>
      <c r="M318" s="48"/>
      <c r="N318" s="48"/>
      <c r="O318" s="48"/>
      <c r="P318" s="38"/>
      <c r="Q318" s="48"/>
      <c r="R318" s="48"/>
      <c r="S318" s="48"/>
      <c r="T318" s="55"/>
    </row>
    <row r="319" spans="1:20" ht="15.95" customHeight="1" x14ac:dyDescent="0.2">
      <c r="A319" s="34" t="s">
        <v>149</v>
      </c>
      <c r="B319" s="78" t="s">
        <v>190</v>
      </c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9"/>
    </row>
    <row r="320" spans="1:20" ht="15.95" customHeight="1" x14ac:dyDescent="0.2">
      <c r="A320" s="34" t="s">
        <v>57</v>
      </c>
      <c r="B320" s="50" t="s">
        <v>79</v>
      </c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1"/>
    </row>
    <row r="321" spans="1:20" ht="45" customHeight="1" x14ac:dyDescent="0.2">
      <c r="A321" s="34"/>
      <c r="B321" s="78" t="s">
        <v>80</v>
      </c>
      <c r="C321" s="78"/>
      <c r="D321" s="78"/>
      <c r="E321" s="78"/>
      <c r="F321" s="78"/>
      <c r="G321" s="78"/>
      <c r="H321" s="78"/>
      <c r="I321" s="48" t="s">
        <v>22</v>
      </c>
      <c r="J321" s="48"/>
      <c r="K321" s="48" t="s">
        <v>35</v>
      </c>
      <c r="L321" s="48" t="s">
        <v>81</v>
      </c>
      <c r="M321" s="48" t="s">
        <v>221</v>
      </c>
      <c r="N321" s="48" t="s">
        <v>190</v>
      </c>
      <c r="O321" s="48" t="s">
        <v>221</v>
      </c>
      <c r="P321" s="38" t="s">
        <v>142</v>
      </c>
      <c r="Q321" s="48" t="s">
        <v>29</v>
      </c>
      <c r="R321" s="48" t="s">
        <v>8</v>
      </c>
      <c r="S321" s="48" t="s">
        <v>31</v>
      </c>
      <c r="T321" s="55" t="s">
        <v>265</v>
      </c>
    </row>
    <row r="322" spans="1:20" ht="15.95" customHeight="1" x14ac:dyDescent="0.2">
      <c r="A322" s="34"/>
      <c r="B322" s="25" t="s">
        <v>5</v>
      </c>
      <c r="C322" s="2">
        <f>D322+E322+F322+G322+H322</f>
        <v>718409.64</v>
      </c>
      <c r="D322" s="1">
        <f>SUM(D323:D326)</f>
        <v>718409.64</v>
      </c>
      <c r="E322" s="1">
        <f t="shared" ref="E322:H322" si="61">SUM(E323:E326)</f>
        <v>0</v>
      </c>
      <c r="F322" s="1">
        <f t="shared" si="61"/>
        <v>0</v>
      </c>
      <c r="G322" s="1">
        <f t="shared" si="61"/>
        <v>0</v>
      </c>
      <c r="H322" s="1">
        <f t="shared" si="61"/>
        <v>0</v>
      </c>
      <c r="I322" s="48"/>
      <c r="J322" s="48"/>
      <c r="K322" s="48"/>
      <c r="L322" s="48"/>
      <c r="M322" s="48"/>
      <c r="N322" s="48"/>
      <c r="O322" s="48"/>
      <c r="P322" s="38"/>
      <c r="Q322" s="48"/>
      <c r="R322" s="48"/>
      <c r="S322" s="48"/>
      <c r="T322" s="55"/>
    </row>
    <row r="323" spans="1:20" ht="15.95" customHeight="1" x14ac:dyDescent="0.2">
      <c r="A323" s="34"/>
      <c r="B323" s="25" t="s">
        <v>0</v>
      </c>
      <c r="C323" s="2">
        <f>D323+E323+F323+G323+H323</f>
        <v>300299</v>
      </c>
      <c r="D323" s="1">
        <v>300299</v>
      </c>
      <c r="E323" s="1"/>
      <c r="F323" s="1"/>
      <c r="G323" s="1"/>
      <c r="H323" s="1"/>
      <c r="I323" s="48"/>
      <c r="J323" s="48"/>
      <c r="K323" s="48"/>
      <c r="L323" s="48"/>
      <c r="M323" s="48"/>
      <c r="N323" s="48"/>
      <c r="O323" s="48"/>
      <c r="P323" s="38"/>
      <c r="Q323" s="48"/>
      <c r="R323" s="48"/>
      <c r="S323" s="48"/>
      <c r="T323" s="55"/>
    </row>
    <row r="324" spans="1:20" ht="15.95" customHeight="1" x14ac:dyDescent="0.2">
      <c r="A324" s="34"/>
      <c r="B324" s="25" t="s">
        <v>1</v>
      </c>
      <c r="C324" s="2">
        <f>D324+E324+F324+G324+H324</f>
        <v>418110.64</v>
      </c>
      <c r="D324" s="1">
        <f>318610.64+99500</f>
        <v>418110.64</v>
      </c>
      <c r="E324" s="1"/>
      <c r="F324" s="1"/>
      <c r="G324" s="1"/>
      <c r="H324" s="1"/>
      <c r="I324" s="48"/>
      <c r="J324" s="48"/>
      <c r="K324" s="48"/>
      <c r="L324" s="48"/>
      <c r="M324" s="48"/>
      <c r="N324" s="48"/>
      <c r="O324" s="48"/>
      <c r="P324" s="38"/>
      <c r="Q324" s="48"/>
      <c r="R324" s="48"/>
      <c r="S324" s="48"/>
      <c r="T324" s="55"/>
    </row>
    <row r="325" spans="1:20" ht="15.95" customHeight="1" x14ac:dyDescent="0.2">
      <c r="A325" s="34"/>
      <c r="B325" s="25" t="s">
        <v>2</v>
      </c>
      <c r="C325" s="2">
        <f>D325+E325+F325+G325+H325</f>
        <v>0</v>
      </c>
      <c r="D325" s="1"/>
      <c r="E325" s="1"/>
      <c r="F325" s="1"/>
      <c r="G325" s="1"/>
      <c r="H325" s="1"/>
      <c r="I325" s="48"/>
      <c r="J325" s="48"/>
      <c r="K325" s="48"/>
      <c r="L325" s="48"/>
      <c r="M325" s="48"/>
      <c r="N325" s="48"/>
      <c r="O325" s="48"/>
      <c r="P325" s="38"/>
      <c r="Q325" s="48"/>
      <c r="R325" s="48"/>
      <c r="S325" s="48"/>
      <c r="T325" s="55"/>
    </row>
    <row r="326" spans="1:20" ht="15.95" customHeight="1" x14ac:dyDescent="0.2">
      <c r="A326" s="34"/>
      <c r="B326" s="25" t="s">
        <v>3</v>
      </c>
      <c r="C326" s="2">
        <f>D326+E326+F326+G326+H326</f>
        <v>0</v>
      </c>
      <c r="D326" s="1"/>
      <c r="E326" s="1"/>
      <c r="F326" s="1"/>
      <c r="G326" s="1"/>
      <c r="H326" s="1"/>
      <c r="I326" s="48"/>
      <c r="J326" s="48"/>
      <c r="K326" s="48"/>
      <c r="L326" s="48"/>
      <c r="M326" s="48"/>
      <c r="N326" s="48"/>
      <c r="O326" s="48"/>
      <c r="P326" s="38"/>
      <c r="Q326" s="48"/>
      <c r="R326" s="48"/>
      <c r="S326" s="48"/>
      <c r="T326" s="55"/>
    </row>
    <row r="327" spans="1:20" ht="15.95" customHeight="1" x14ac:dyDescent="0.2">
      <c r="A327" s="34" t="s">
        <v>110</v>
      </c>
      <c r="B327" s="78" t="s">
        <v>141</v>
      </c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9"/>
    </row>
    <row r="328" spans="1:20" ht="15.95" customHeight="1" x14ac:dyDescent="0.2">
      <c r="A328" s="34" t="s">
        <v>57</v>
      </c>
      <c r="B328" s="50" t="s">
        <v>79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1"/>
    </row>
    <row r="329" spans="1:20" ht="45" customHeight="1" x14ac:dyDescent="0.2">
      <c r="A329" s="34"/>
      <c r="B329" s="80" t="s">
        <v>472</v>
      </c>
      <c r="C329" s="80"/>
      <c r="D329" s="80"/>
      <c r="E329" s="80"/>
      <c r="F329" s="80"/>
      <c r="G329" s="80"/>
      <c r="H329" s="80"/>
      <c r="I329" s="48" t="s">
        <v>28</v>
      </c>
      <c r="J329" s="48"/>
      <c r="K329" s="48" t="s">
        <v>40</v>
      </c>
      <c r="L329" s="48" t="s">
        <v>258</v>
      </c>
      <c r="M329" s="48" t="s">
        <v>260</v>
      </c>
      <c r="N329" s="48" t="s">
        <v>141</v>
      </c>
      <c r="O329" s="48" t="s">
        <v>141</v>
      </c>
      <c r="P329" s="38" t="s">
        <v>259</v>
      </c>
      <c r="Q329" s="48" t="s">
        <v>29</v>
      </c>
      <c r="R329" s="48" t="s">
        <v>260</v>
      </c>
      <c r="S329" s="48" t="s">
        <v>30</v>
      </c>
      <c r="T329" s="55" t="s">
        <v>261</v>
      </c>
    </row>
    <row r="330" spans="1:20" ht="15.95" customHeight="1" x14ac:dyDescent="0.2">
      <c r="A330" s="34"/>
      <c r="B330" s="25" t="s">
        <v>5</v>
      </c>
      <c r="C330" s="2">
        <f>D330+E330+F330+G330+H330</f>
        <v>745822.85000000009</v>
      </c>
      <c r="D330" s="1">
        <f t="shared" ref="D330:H330" si="62">SUM(D331:D334)</f>
        <v>0</v>
      </c>
      <c r="E330" s="1">
        <f t="shared" si="62"/>
        <v>0</v>
      </c>
      <c r="F330" s="1">
        <f t="shared" si="62"/>
        <v>220227.7</v>
      </c>
      <c r="G330" s="1">
        <f t="shared" si="62"/>
        <v>525595.15</v>
      </c>
      <c r="H330" s="1">
        <f t="shared" si="62"/>
        <v>0</v>
      </c>
      <c r="I330" s="48"/>
      <c r="J330" s="48"/>
      <c r="K330" s="48"/>
      <c r="L330" s="48"/>
      <c r="M330" s="48"/>
      <c r="N330" s="48"/>
      <c r="O330" s="48"/>
      <c r="P330" s="38"/>
      <c r="Q330" s="48"/>
      <c r="R330" s="48"/>
      <c r="S330" s="48"/>
      <c r="T330" s="55"/>
    </row>
    <row r="331" spans="1:20" ht="15.95" customHeight="1" x14ac:dyDescent="0.2">
      <c r="A331" s="34"/>
      <c r="B331" s="25" t="s">
        <v>0</v>
      </c>
      <c r="C331" s="2">
        <f>D331+E331+F331+G331+H331</f>
        <v>0</v>
      </c>
      <c r="D331" s="1"/>
      <c r="E331" s="1"/>
      <c r="F331" s="1"/>
      <c r="G331" s="1"/>
      <c r="H331" s="1"/>
      <c r="I331" s="48"/>
      <c r="J331" s="48"/>
      <c r="K331" s="48"/>
      <c r="L331" s="48"/>
      <c r="M331" s="48"/>
      <c r="N331" s="48"/>
      <c r="O331" s="48"/>
      <c r="P331" s="38"/>
      <c r="Q331" s="48"/>
      <c r="R331" s="48"/>
      <c r="S331" s="48"/>
      <c r="T331" s="55"/>
    </row>
    <row r="332" spans="1:20" ht="15.95" customHeight="1" x14ac:dyDescent="0.2">
      <c r="A332" s="34"/>
      <c r="B332" s="25" t="s">
        <v>1</v>
      </c>
      <c r="C332" s="2">
        <f>D332+E332+F332+G332+H332</f>
        <v>745822.85000000009</v>
      </c>
      <c r="D332" s="1"/>
      <c r="E332" s="1"/>
      <c r="F332" s="1">
        <f>320227.7-100000</f>
        <v>220227.7</v>
      </c>
      <c r="G332" s="1">
        <v>525595.15</v>
      </c>
      <c r="H332" s="1"/>
      <c r="I332" s="48"/>
      <c r="J332" s="48"/>
      <c r="K332" s="48"/>
      <c r="L332" s="48"/>
      <c r="M332" s="48"/>
      <c r="N332" s="48"/>
      <c r="O332" s="48"/>
      <c r="P332" s="38"/>
      <c r="Q332" s="48"/>
      <c r="R332" s="48"/>
      <c r="S332" s="48"/>
      <c r="T332" s="55"/>
    </row>
    <row r="333" spans="1:20" ht="15.95" customHeight="1" x14ac:dyDescent="0.2">
      <c r="A333" s="34"/>
      <c r="B333" s="25" t="s">
        <v>2</v>
      </c>
      <c r="C333" s="2">
        <f>D333+E333+F333+G333+H333</f>
        <v>0</v>
      </c>
      <c r="D333" s="1"/>
      <c r="E333" s="1"/>
      <c r="F333" s="1"/>
      <c r="G333" s="1"/>
      <c r="H333" s="1"/>
      <c r="I333" s="48"/>
      <c r="J333" s="48"/>
      <c r="K333" s="48"/>
      <c r="L333" s="48"/>
      <c r="M333" s="48"/>
      <c r="N333" s="48"/>
      <c r="O333" s="48"/>
      <c r="P333" s="38"/>
      <c r="Q333" s="48"/>
      <c r="R333" s="48"/>
      <c r="S333" s="48"/>
      <c r="T333" s="55"/>
    </row>
    <row r="334" spans="1:20" ht="15.95" customHeight="1" x14ac:dyDescent="0.2">
      <c r="A334" s="34"/>
      <c r="B334" s="25" t="s">
        <v>3</v>
      </c>
      <c r="C334" s="2">
        <f>D334+E334+F334+G334+H334</f>
        <v>0</v>
      </c>
      <c r="D334" s="1"/>
      <c r="E334" s="1"/>
      <c r="F334" s="1"/>
      <c r="G334" s="1"/>
      <c r="H334" s="1"/>
      <c r="I334" s="48"/>
      <c r="J334" s="48"/>
      <c r="K334" s="48"/>
      <c r="L334" s="48"/>
      <c r="M334" s="48"/>
      <c r="N334" s="48"/>
      <c r="O334" s="48"/>
      <c r="P334" s="38"/>
      <c r="Q334" s="48"/>
      <c r="R334" s="48"/>
      <c r="S334" s="48"/>
      <c r="T334" s="55"/>
    </row>
    <row r="335" spans="1:20" ht="15.95" customHeight="1" x14ac:dyDescent="0.2">
      <c r="A335" s="34" t="s">
        <v>150</v>
      </c>
      <c r="B335" s="78" t="s">
        <v>190</v>
      </c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9"/>
    </row>
    <row r="336" spans="1:20" ht="15.95" customHeight="1" x14ac:dyDescent="0.2">
      <c r="A336" s="34" t="s">
        <v>57</v>
      </c>
      <c r="B336" s="50" t="s">
        <v>79</v>
      </c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1"/>
    </row>
    <row r="337" spans="1:20" ht="45" customHeight="1" x14ac:dyDescent="0.2">
      <c r="A337" s="34"/>
      <c r="B337" s="78" t="s">
        <v>263</v>
      </c>
      <c r="C337" s="78"/>
      <c r="D337" s="78"/>
      <c r="E337" s="78"/>
      <c r="F337" s="78"/>
      <c r="G337" s="78"/>
      <c r="H337" s="78"/>
      <c r="I337" s="48" t="s">
        <v>28</v>
      </c>
      <c r="J337" s="48" t="s">
        <v>22</v>
      </c>
      <c r="K337" s="48" t="s">
        <v>35</v>
      </c>
      <c r="L337" s="48" t="s">
        <v>218</v>
      </c>
      <c r="M337" s="48" t="s">
        <v>221</v>
      </c>
      <c r="N337" s="48" t="s">
        <v>190</v>
      </c>
      <c r="O337" s="48" t="s">
        <v>221</v>
      </c>
      <c r="P337" s="38" t="s">
        <v>374</v>
      </c>
      <c r="Q337" s="48" t="s">
        <v>29</v>
      </c>
      <c r="R337" s="48" t="s">
        <v>264</v>
      </c>
      <c r="S337" s="48" t="s">
        <v>30</v>
      </c>
      <c r="T337" s="55"/>
    </row>
    <row r="338" spans="1:20" ht="15.95" customHeight="1" x14ac:dyDescent="0.2">
      <c r="A338" s="34"/>
      <c r="B338" s="25" t="s">
        <v>5</v>
      </c>
      <c r="C338" s="2">
        <f>D338+E338+F338+G338+H338</f>
        <v>103700</v>
      </c>
      <c r="D338" s="1">
        <f>SUM(D339:D342)</f>
        <v>0</v>
      </c>
      <c r="E338" s="1">
        <f t="shared" ref="E338:H338" si="63">SUM(E339:E342)</f>
        <v>0</v>
      </c>
      <c r="F338" s="1">
        <f t="shared" si="63"/>
        <v>0</v>
      </c>
      <c r="G338" s="1">
        <f t="shared" si="63"/>
        <v>103700</v>
      </c>
      <c r="H338" s="1">
        <f t="shared" si="63"/>
        <v>0</v>
      </c>
      <c r="I338" s="48"/>
      <c r="J338" s="48"/>
      <c r="K338" s="48"/>
      <c r="L338" s="48"/>
      <c r="M338" s="48"/>
      <c r="N338" s="48"/>
      <c r="O338" s="48"/>
      <c r="P338" s="38"/>
      <c r="Q338" s="48"/>
      <c r="R338" s="48"/>
      <c r="S338" s="48"/>
      <c r="T338" s="55"/>
    </row>
    <row r="339" spans="1:20" ht="15.95" customHeight="1" x14ac:dyDescent="0.2">
      <c r="A339" s="34"/>
      <c r="B339" s="25" t="s">
        <v>0</v>
      </c>
      <c r="C339" s="2">
        <f>D339+E339+F339+G339+H339</f>
        <v>0</v>
      </c>
      <c r="D339" s="1"/>
      <c r="E339" s="1"/>
      <c r="F339" s="1"/>
      <c r="G339" s="1"/>
      <c r="H339" s="1"/>
      <c r="I339" s="48"/>
      <c r="J339" s="48"/>
      <c r="K339" s="48"/>
      <c r="L339" s="48"/>
      <c r="M339" s="48"/>
      <c r="N339" s="48"/>
      <c r="O339" s="48"/>
      <c r="P339" s="38"/>
      <c r="Q339" s="48"/>
      <c r="R339" s="48"/>
      <c r="S339" s="48"/>
      <c r="T339" s="55"/>
    </row>
    <row r="340" spans="1:20" ht="15.95" customHeight="1" x14ac:dyDescent="0.2">
      <c r="A340" s="34"/>
      <c r="B340" s="25" t="s">
        <v>1</v>
      </c>
      <c r="C340" s="2">
        <f>D340+E340+F340+G340+H340</f>
        <v>103700</v>
      </c>
      <c r="D340" s="1"/>
      <c r="E340" s="1"/>
      <c r="F340" s="1">
        <f>105200-105200</f>
        <v>0</v>
      </c>
      <c r="G340" s="1">
        <v>103700</v>
      </c>
      <c r="H340" s="1"/>
      <c r="I340" s="48"/>
      <c r="J340" s="48"/>
      <c r="K340" s="48"/>
      <c r="L340" s="48"/>
      <c r="M340" s="48"/>
      <c r="N340" s="48"/>
      <c r="O340" s="48"/>
      <c r="P340" s="38"/>
      <c r="Q340" s="48"/>
      <c r="R340" s="48"/>
      <c r="S340" s="48"/>
      <c r="T340" s="55"/>
    </row>
    <row r="341" spans="1:20" ht="15.95" customHeight="1" x14ac:dyDescent="0.2">
      <c r="A341" s="34"/>
      <c r="B341" s="25" t="s">
        <v>2</v>
      </c>
      <c r="C341" s="2">
        <f>D341+E341+F341+G341+H341</f>
        <v>0</v>
      </c>
      <c r="D341" s="1"/>
      <c r="E341" s="1"/>
      <c r="F341" s="1"/>
      <c r="G341" s="1"/>
      <c r="H341" s="1"/>
      <c r="I341" s="48"/>
      <c r="J341" s="48"/>
      <c r="K341" s="48"/>
      <c r="L341" s="48"/>
      <c r="M341" s="48"/>
      <c r="N341" s="48"/>
      <c r="O341" s="48"/>
      <c r="P341" s="38"/>
      <c r="Q341" s="48"/>
      <c r="R341" s="48"/>
      <c r="S341" s="48"/>
      <c r="T341" s="55"/>
    </row>
    <row r="342" spans="1:20" ht="15.95" customHeight="1" x14ac:dyDescent="0.2">
      <c r="A342" s="34"/>
      <c r="B342" s="25" t="s">
        <v>3</v>
      </c>
      <c r="C342" s="2">
        <f>D342+E342+F342+G342+H342</f>
        <v>0</v>
      </c>
      <c r="D342" s="1"/>
      <c r="E342" s="1"/>
      <c r="F342" s="1"/>
      <c r="G342" s="1"/>
      <c r="H342" s="1"/>
      <c r="I342" s="48"/>
      <c r="J342" s="48"/>
      <c r="K342" s="48"/>
      <c r="L342" s="48"/>
      <c r="M342" s="48"/>
      <c r="N342" s="48"/>
      <c r="O342" s="48"/>
      <c r="P342" s="38"/>
      <c r="Q342" s="48"/>
      <c r="R342" s="48"/>
      <c r="S342" s="48"/>
      <c r="T342" s="55"/>
    </row>
    <row r="343" spans="1:20" ht="15.95" customHeight="1" x14ac:dyDescent="0.2">
      <c r="A343" s="34" t="s">
        <v>151</v>
      </c>
      <c r="B343" s="78" t="s">
        <v>141</v>
      </c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9"/>
    </row>
    <row r="344" spans="1:20" ht="15.95" customHeight="1" x14ac:dyDescent="0.2">
      <c r="A344" s="34" t="s">
        <v>57</v>
      </c>
      <c r="B344" s="50" t="s">
        <v>79</v>
      </c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1"/>
    </row>
    <row r="345" spans="1:20" ht="45" customHeight="1" x14ac:dyDescent="0.2">
      <c r="A345" s="34"/>
      <c r="B345" s="78" t="s">
        <v>231</v>
      </c>
      <c r="C345" s="78"/>
      <c r="D345" s="78"/>
      <c r="E345" s="78"/>
      <c r="F345" s="78"/>
      <c r="G345" s="78"/>
      <c r="H345" s="78"/>
      <c r="I345" s="48" t="s">
        <v>403</v>
      </c>
      <c r="J345" s="48" t="s">
        <v>42</v>
      </c>
      <c r="K345" s="48" t="s">
        <v>40</v>
      </c>
      <c r="L345" s="39" t="s">
        <v>218</v>
      </c>
      <c r="M345" s="39" t="s">
        <v>264</v>
      </c>
      <c r="N345" s="39" t="s">
        <v>230</v>
      </c>
      <c r="O345" s="39" t="s">
        <v>230</v>
      </c>
      <c r="P345" s="84" t="s">
        <v>408</v>
      </c>
      <c r="Q345" s="39" t="s">
        <v>7</v>
      </c>
      <c r="R345" s="39" t="s">
        <v>264</v>
      </c>
      <c r="S345" s="39" t="s">
        <v>30</v>
      </c>
      <c r="T345" s="110"/>
    </row>
    <row r="346" spans="1:20" ht="15.95" customHeight="1" x14ac:dyDescent="0.2">
      <c r="A346" s="34"/>
      <c r="B346" s="25" t="s">
        <v>5</v>
      </c>
      <c r="C346" s="2">
        <f>D346+E346+F346+G346+H346</f>
        <v>163918.89227000001</v>
      </c>
      <c r="D346" s="1">
        <f>SUM(D347:D350)</f>
        <v>0</v>
      </c>
      <c r="E346" s="1">
        <f t="shared" ref="E346:H346" si="64">SUM(E347:E350)</f>
        <v>0</v>
      </c>
      <c r="F346" s="1">
        <f t="shared" si="64"/>
        <v>0</v>
      </c>
      <c r="G346" s="1">
        <f t="shared" si="64"/>
        <v>15861.50027</v>
      </c>
      <c r="H346" s="1">
        <f t="shared" si="64"/>
        <v>148057.39200000002</v>
      </c>
      <c r="I346" s="48"/>
      <c r="J346" s="48"/>
      <c r="K346" s="48"/>
      <c r="L346" s="40"/>
      <c r="M346" s="40"/>
      <c r="N346" s="40"/>
      <c r="O346" s="40"/>
      <c r="P346" s="85"/>
      <c r="Q346" s="40"/>
      <c r="R346" s="40"/>
      <c r="S346" s="40"/>
      <c r="T346" s="111"/>
    </row>
    <row r="347" spans="1:20" ht="15.95" customHeight="1" x14ac:dyDescent="0.2">
      <c r="A347" s="34"/>
      <c r="B347" s="25" t="s">
        <v>0</v>
      </c>
      <c r="C347" s="2">
        <f>D347+E347+F347+G347+H347</f>
        <v>0</v>
      </c>
      <c r="D347" s="1"/>
      <c r="E347" s="1"/>
      <c r="F347" s="1"/>
      <c r="G347" s="1"/>
      <c r="H347" s="1"/>
      <c r="I347" s="48"/>
      <c r="J347" s="48"/>
      <c r="K347" s="48"/>
      <c r="L347" s="40"/>
      <c r="M347" s="40"/>
      <c r="N347" s="40"/>
      <c r="O347" s="40"/>
      <c r="P347" s="85"/>
      <c r="Q347" s="40"/>
      <c r="R347" s="40"/>
      <c r="S347" s="40"/>
      <c r="T347" s="111"/>
    </row>
    <row r="348" spans="1:20" ht="15.95" customHeight="1" x14ac:dyDescent="0.2">
      <c r="A348" s="34"/>
      <c r="B348" s="25" t="s">
        <v>1</v>
      </c>
      <c r="C348" s="2">
        <f>D348+E348+F348+G348+H348</f>
        <v>163098.89897000001</v>
      </c>
      <c r="D348" s="1"/>
      <c r="E348" s="1"/>
      <c r="F348" s="1"/>
      <c r="G348" s="1">
        <v>15781.793970000001</v>
      </c>
      <c r="H348" s="1">
        <v>147317.10500000001</v>
      </c>
      <c r="I348" s="48"/>
      <c r="J348" s="48"/>
      <c r="K348" s="48"/>
      <c r="L348" s="40"/>
      <c r="M348" s="40"/>
      <c r="N348" s="40"/>
      <c r="O348" s="40"/>
      <c r="P348" s="85"/>
      <c r="Q348" s="40"/>
      <c r="R348" s="40"/>
      <c r="S348" s="40"/>
      <c r="T348" s="111"/>
    </row>
    <row r="349" spans="1:20" ht="15.95" customHeight="1" x14ac:dyDescent="0.2">
      <c r="A349" s="34"/>
      <c r="B349" s="25" t="s">
        <v>2</v>
      </c>
      <c r="C349" s="2">
        <f>D349+E349+F349+G349+H349</f>
        <v>819.99330000000009</v>
      </c>
      <c r="D349" s="1"/>
      <c r="E349" s="1"/>
      <c r="F349" s="1"/>
      <c r="G349" s="1">
        <v>79.706299999999999</v>
      </c>
      <c r="H349" s="1">
        <v>740.28700000000003</v>
      </c>
      <c r="I349" s="48"/>
      <c r="J349" s="48"/>
      <c r="K349" s="48"/>
      <c r="L349" s="40"/>
      <c r="M349" s="40"/>
      <c r="N349" s="40"/>
      <c r="O349" s="40"/>
      <c r="P349" s="85"/>
      <c r="Q349" s="40"/>
      <c r="R349" s="40"/>
      <c r="S349" s="40"/>
      <c r="T349" s="111"/>
    </row>
    <row r="350" spans="1:20" ht="15.95" customHeight="1" x14ac:dyDescent="0.2">
      <c r="A350" s="34"/>
      <c r="B350" s="25" t="s">
        <v>3</v>
      </c>
      <c r="C350" s="2">
        <f>D350+E350+F350+G350+H350</f>
        <v>0</v>
      </c>
      <c r="D350" s="1"/>
      <c r="E350" s="1"/>
      <c r="F350" s="1"/>
      <c r="G350" s="1"/>
      <c r="H350" s="1"/>
      <c r="I350" s="48"/>
      <c r="J350" s="48"/>
      <c r="K350" s="48"/>
      <c r="L350" s="41"/>
      <c r="M350" s="41"/>
      <c r="N350" s="41"/>
      <c r="O350" s="41"/>
      <c r="P350" s="86"/>
      <c r="Q350" s="41"/>
      <c r="R350" s="41"/>
      <c r="S350" s="41"/>
      <c r="T350" s="112"/>
    </row>
    <row r="351" spans="1:20" ht="15.95" customHeight="1" x14ac:dyDescent="0.2">
      <c r="A351" s="34" t="s">
        <v>181</v>
      </c>
      <c r="B351" s="46" t="s">
        <v>141</v>
      </c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9"/>
    </row>
    <row r="352" spans="1:20" ht="15.95" customHeight="1" x14ac:dyDescent="0.2">
      <c r="A352" s="34" t="s">
        <v>57</v>
      </c>
      <c r="B352" s="50" t="s">
        <v>79</v>
      </c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1"/>
    </row>
    <row r="353" spans="1:20" ht="45" customHeight="1" x14ac:dyDescent="0.2">
      <c r="A353" s="34"/>
      <c r="B353" s="52" t="s">
        <v>759</v>
      </c>
      <c r="C353" s="53"/>
      <c r="D353" s="53"/>
      <c r="E353" s="53"/>
      <c r="F353" s="53"/>
      <c r="G353" s="53"/>
      <c r="H353" s="54"/>
      <c r="I353" s="48" t="s">
        <v>22</v>
      </c>
      <c r="J353" s="48"/>
      <c r="K353" s="48" t="s">
        <v>40</v>
      </c>
      <c r="L353" s="48" t="s">
        <v>760</v>
      </c>
      <c r="M353" s="48" t="s">
        <v>761</v>
      </c>
      <c r="N353" s="48" t="s">
        <v>141</v>
      </c>
      <c r="O353" s="48" t="s">
        <v>761</v>
      </c>
      <c r="P353" s="38" t="s">
        <v>762</v>
      </c>
      <c r="Q353" s="48" t="s">
        <v>7</v>
      </c>
      <c r="R353" s="48" t="s">
        <v>34</v>
      </c>
      <c r="S353" s="48" t="s">
        <v>31</v>
      </c>
      <c r="T353" s="55" t="s">
        <v>763</v>
      </c>
    </row>
    <row r="354" spans="1:20" ht="15.95" customHeight="1" x14ac:dyDescent="0.2">
      <c r="A354" s="34"/>
      <c r="B354" s="25" t="s">
        <v>5</v>
      </c>
      <c r="C354" s="1">
        <f>SUM(D354:H354)</f>
        <v>198912.24431999997</v>
      </c>
      <c r="D354" s="1">
        <f>SUM(D355:D358)</f>
        <v>198912.24431999997</v>
      </c>
      <c r="E354" s="1">
        <f t="shared" ref="E354:H354" si="65">SUM(E355:E358)</f>
        <v>0</v>
      </c>
      <c r="F354" s="1">
        <f t="shared" si="65"/>
        <v>0</v>
      </c>
      <c r="G354" s="1">
        <f t="shared" si="65"/>
        <v>0</v>
      </c>
      <c r="H354" s="1">
        <f t="shared" si="65"/>
        <v>0</v>
      </c>
      <c r="I354" s="48"/>
      <c r="J354" s="48"/>
      <c r="K354" s="48"/>
      <c r="L354" s="48"/>
      <c r="M354" s="48"/>
      <c r="N354" s="48"/>
      <c r="O354" s="48"/>
      <c r="P354" s="38"/>
      <c r="Q354" s="48"/>
      <c r="R354" s="48"/>
      <c r="S354" s="48"/>
      <c r="T354" s="55"/>
    </row>
    <row r="355" spans="1:20" ht="15.95" customHeight="1" x14ac:dyDescent="0.2">
      <c r="A355" s="34"/>
      <c r="B355" s="25" t="s">
        <v>0</v>
      </c>
      <c r="C355" s="1">
        <f t="shared" ref="C355:C358" si="66">SUM(D355:H355)</f>
        <v>0</v>
      </c>
      <c r="D355" s="1"/>
      <c r="E355" s="1"/>
      <c r="F355" s="1"/>
      <c r="G355" s="1"/>
      <c r="H355" s="1"/>
      <c r="I355" s="48"/>
      <c r="J355" s="48"/>
      <c r="K355" s="48"/>
      <c r="L355" s="48"/>
      <c r="M355" s="48"/>
      <c r="N355" s="48"/>
      <c r="O355" s="48"/>
      <c r="P355" s="38"/>
      <c r="Q355" s="48"/>
      <c r="R355" s="48"/>
      <c r="S355" s="48"/>
      <c r="T355" s="55"/>
    </row>
    <row r="356" spans="1:20" ht="15.95" customHeight="1" x14ac:dyDescent="0.2">
      <c r="A356" s="34"/>
      <c r="B356" s="25" t="s">
        <v>1</v>
      </c>
      <c r="C356" s="1">
        <f t="shared" si="66"/>
        <v>197917.68308999998</v>
      </c>
      <c r="D356" s="1">
        <v>197917.68308999998</v>
      </c>
      <c r="E356" s="1"/>
      <c r="F356" s="1"/>
      <c r="G356" s="1"/>
      <c r="H356" s="1"/>
      <c r="I356" s="48"/>
      <c r="J356" s="48"/>
      <c r="K356" s="48"/>
      <c r="L356" s="48"/>
      <c r="M356" s="48"/>
      <c r="N356" s="48"/>
      <c r="O356" s="48"/>
      <c r="P356" s="38"/>
      <c r="Q356" s="48"/>
      <c r="R356" s="48"/>
      <c r="S356" s="48"/>
      <c r="T356" s="55"/>
    </row>
    <row r="357" spans="1:20" ht="15.95" customHeight="1" x14ac:dyDescent="0.2">
      <c r="A357" s="34"/>
      <c r="B357" s="25" t="s">
        <v>2</v>
      </c>
      <c r="C357" s="1">
        <f t="shared" si="66"/>
        <v>994.56123000000002</v>
      </c>
      <c r="D357" s="1">
        <v>994.56123000000002</v>
      </c>
      <c r="E357" s="1"/>
      <c r="F357" s="1"/>
      <c r="G357" s="1"/>
      <c r="H357" s="1"/>
      <c r="I357" s="48"/>
      <c r="J357" s="48"/>
      <c r="K357" s="48"/>
      <c r="L357" s="48"/>
      <c r="M357" s="48"/>
      <c r="N357" s="48"/>
      <c r="O357" s="48"/>
      <c r="P357" s="38"/>
      <c r="Q357" s="48"/>
      <c r="R357" s="48"/>
      <c r="S357" s="48"/>
      <c r="T357" s="55"/>
    </row>
    <row r="358" spans="1:20" ht="15.95" customHeight="1" x14ac:dyDescent="0.2">
      <c r="A358" s="34"/>
      <c r="B358" s="25" t="s">
        <v>3</v>
      </c>
      <c r="C358" s="1">
        <f t="shared" si="66"/>
        <v>0</v>
      </c>
      <c r="D358" s="1"/>
      <c r="E358" s="1"/>
      <c r="F358" s="1"/>
      <c r="G358" s="1"/>
      <c r="H358" s="1"/>
      <c r="I358" s="48"/>
      <c r="J358" s="48"/>
      <c r="K358" s="48"/>
      <c r="L358" s="48"/>
      <c r="M358" s="48"/>
      <c r="N358" s="48"/>
      <c r="O358" s="48"/>
      <c r="P358" s="38"/>
      <c r="Q358" s="48"/>
      <c r="R358" s="48"/>
      <c r="S358" s="48"/>
      <c r="T358" s="55"/>
    </row>
    <row r="359" spans="1:20" ht="18.75" customHeight="1" x14ac:dyDescent="0.2">
      <c r="A359" s="34" t="s">
        <v>418</v>
      </c>
      <c r="B359" s="45" t="s">
        <v>190</v>
      </c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9"/>
    </row>
    <row r="360" spans="1:20" ht="18" customHeight="1" x14ac:dyDescent="0.2">
      <c r="A360" s="34" t="s">
        <v>57</v>
      </c>
      <c r="B360" s="45" t="s">
        <v>782</v>
      </c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9"/>
    </row>
    <row r="361" spans="1:20" ht="45" customHeight="1" x14ac:dyDescent="0.2">
      <c r="A361" s="34"/>
      <c r="B361" s="45" t="s">
        <v>832</v>
      </c>
      <c r="C361" s="46"/>
      <c r="D361" s="46"/>
      <c r="E361" s="46"/>
      <c r="F361" s="46"/>
      <c r="G361" s="46"/>
      <c r="H361" s="47"/>
      <c r="I361" s="39">
        <v>2023</v>
      </c>
      <c r="J361" s="39">
        <v>2022</v>
      </c>
      <c r="K361" s="39" t="s">
        <v>35</v>
      </c>
      <c r="L361" s="48" t="s">
        <v>783</v>
      </c>
      <c r="M361" s="48" t="s">
        <v>221</v>
      </c>
      <c r="N361" s="48" t="s">
        <v>221</v>
      </c>
      <c r="O361" s="48" t="s">
        <v>221</v>
      </c>
      <c r="P361" s="38" t="s">
        <v>784</v>
      </c>
      <c r="Q361" s="48" t="s">
        <v>29</v>
      </c>
      <c r="R361" s="48" t="s">
        <v>33</v>
      </c>
      <c r="S361" s="48" t="s">
        <v>30</v>
      </c>
      <c r="T361" s="110"/>
    </row>
    <row r="362" spans="1:20" ht="15.95" customHeight="1" x14ac:dyDescent="0.2">
      <c r="A362" s="34"/>
      <c r="B362" s="25" t="s">
        <v>5</v>
      </c>
      <c r="C362" s="2">
        <f>SUM(D362:H362)</f>
        <v>24175.39</v>
      </c>
      <c r="D362" s="2">
        <f t="shared" ref="D362:H362" si="67">SUM(D363:D366)</f>
        <v>24175.39</v>
      </c>
      <c r="E362" s="2">
        <f t="shared" si="67"/>
        <v>0</v>
      </c>
      <c r="F362" s="2">
        <f t="shared" si="67"/>
        <v>0</v>
      </c>
      <c r="G362" s="2">
        <f t="shared" si="67"/>
        <v>0</v>
      </c>
      <c r="H362" s="2">
        <f t="shared" si="67"/>
        <v>0</v>
      </c>
      <c r="I362" s="40"/>
      <c r="J362" s="40"/>
      <c r="K362" s="40"/>
      <c r="L362" s="48"/>
      <c r="M362" s="48"/>
      <c r="N362" s="48"/>
      <c r="O362" s="48"/>
      <c r="P362" s="38"/>
      <c r="Q362" s="48"/>
      <c r="R362" s="48"/>
      <c r="S362" s="48"/>
      <c r="T362" s="111"/>
    </row>
    <row r="363" spans="1:20" ht="15.95" customHeight="1" x14ac:dyDescent="0.2">
      <c r="A363" s="34"/>
      <c r="B363" s="25" t="s">
        <v>0</v>
      </c>
      <c r="C363" s="2">
        <f t="shared" ref="C363:C366" si="68">SUM(D363:H363)</f>
        <v>0</v>
      </c>
      <c r="D363" s="2"/>
      <c r="E363" s="2"/>
      <c r="F363" s="2"/>
      <c r="G363" s="2"/>
      <c r="H363" s="2"/>
      <c r="I363" s="40"/>
      <c r="J363" s="40"/>
      <c r="K363" s="40"/>
      <c r="L363" s="48"/>
      <c r="M363" s="48"/>
      <c r="N363" s="48"/>
      <c r="O363" s="48"/>
      <c r="P363" s="38"/>
      <c r="Q363" s="48"/>
      <c r="R363" s="48"/>
      <c r="S363" s="48"/>
      <c r="T363" s="111"/>
    </row>
    <row r="364" spans="1:20" ht="15.95" customHeight="1" x14ac:dyDescent="0.2">
      <c r="A364" s="34"/>
      <c r="B364" s="25" t="s">
        <v>1</v>
      </c>
      <c r="C364" s="2">
        <f t="shared" si="68"/>
        <v>24175.39</v>
      </c>
      <c r="D364" s="2">
        <f>0+24175.39</f>
        <v>24175.39</v>
      </c>
      <c r="E364" s="2"/>
      <c r="F364" s="2"/>
      <c r="G364" s="2"/>
      <c r="H364" s="2"/>
      <c r="I364" s="40"/>
      <c r="J364" s="40"/>
      <c r="K364" s="40"/>
      <c r="L364" s="48"/>
      <c r="M364" s="48"/>
      <c r="N364" s="48"/>
      <c r="O364" s="48"/>
      <c r="P364" s="38"/>
      <c r="Q364" s="48"/>
      <c r="R364" s="48"/>
      <c r="S364" s="48"/>
      <c r="T364" s="111"/>
    </row>
    <row r="365" spans="1:20" ht="15.95" customHeight="1" x14ac:dyDescent="0.2">
      <c r="A365" s="34"/>
      <c r="B365" s="25" t="s">
        <v>2</v>
      </c>
      <c r="C365" s="2">
        <f t="shared" si="68"/>
        <v>0</v>
      </c>
      <c r="D365" s="1"/>
      <c r="E365" s="1"/>
      <c r="F365" s="1"/>
      <c r="G365" s="1"/>
      <c r="H365" s="1"/>
      <c r="I365" s="40"/>
      <c r="J365" s="40"/>
      <c r="K365" s="40"/>
      <c r="L365" s="48"/>
      <c r="M365" s="48"/>
      <c r="N365" s="48"/>
      <c r="O365" s="48"/>
      <c r="P365" s="38"/>
      <c r="Q365" s="48"/>
      <c r="R365" s="48"/>
      <c r="S365" s="48"/>
      <c r="T365" s="111"/>
    </row>
    <row r="366" spans="1:20" ht="15.95" customHeight="1" x14ac:dyDescent="0.2">
      <c r="A366" s="34"/>
      <c r="B366" s="25" t="s">
        <v>3</v>
      </c>
      <c r="C366" s="2">
        <f t="shared" si="68"/>
        <v>0</v>
      </c>
      <c r="D366" s="1"/>
      <c r="E366" s="1"/>
      <c r="F366" s="1"/>
      <c r="G366" s="1"/>
      <c r="H366" s="1"/>
      <c r="I366" s="41"/>
      <c r="J366" s="41"/>
      <c r="K366" s="41"/>
      <c r="L366" s="48"/>
      <c r="M366" s="48"/>
      <c r="N366" s="48"/>
      <c r="O366" s="48"/>
      <c r="P366" s="38"/>
      <c r="Q366" s="48"/>
      <c r="R366" s="48"/>
      <c r="S366" s="48"/>
      <c r="T366" s="112"/>
    </row>
    <row r="367" spans="1:20" ht="15.95" customHeight="1" x14ac:dyDescent="0.2">
      <c r="A367" s="75" t="s">
        <v>781</v>
      </c>
      <c r="B367" s="78" t="s">
        <v>141</v>
      </c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9"/>
    </row>
    <row r="368" spans="1:20" ht="15.95" customHeight="1" x14ac:dyDescent="0.2">
      <c r="A368" s="76"/>
      <c r="B368" s="50" t="s">
        <v>79</v>
      </c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1"/>
    </row>
    <row r="369" spans="1:20" ht="46.5" customHeight="1" x14ac:dyDescent="0.2">
      <c r="A369" s="76"/>
      <c r="B369" s="45" t="s">
        <v>812</v>
      </c>
      <c r="C369" s="46"/>
      <c r="D369" s="46"/>
      <c r="E369" s="46"/>
      <c r="F369" s="46"/>
      <c r="G369" s="46"/>
      <c r="H369" s="47"/>
      <c r="I369" s="39" t="s">
        <v>22</v>
      </c>
      <c r="J369" s="39"/>
      <c r="K369" s="39" t="s">
        <v>378</v>
      </c>
      <c r="L369" s="145"/>
      <c r="M369" s="145" t="s">
        <v>792</v>
      </c>
      <c r="N369" s="145" t="s">
        <v>141</v>
      </c>
      <c r="O369" s="145" t="s">
        <v>792</v>
      </c>
      <c r="P369" s="153" t="s">
        <v>793</v>
      </c>
      <c r="Q369" s="39" t="s">
        <v>29</v>
      </c>
      <c r="R369" s="145" t="s">
        <v>8</v>
      </c>
      <c r="S369" s="145" t="s">
        <v>794</v>
      </c>
      <c r="T369" s="148" t="s">
        <v>797</v>
      </c>
    </row>
    <row r="370" spans="1:20" ht="15.95" customHeight="1" x14ac:dyDescent="0.2">
      <c r="A370" s="76"/>
      <c r="B370" s="25" t="s">
        <v>5</v>
      </c>
      <c r="C370" s="2">
        <f>SUM(C371:C375)</f>
        <v>25143.902740000001</v>
      </c>
      <c r="D370" s="2">
        <f t="shared" ref="D370:H370" si="69">SUM(D371:D375)</f>
        <v>25143.902740000001</v>
      </c>
      <c r="E370" s="2">
        <f t="shared" si="69"/>
        <v>0</v>
      </c>
      <c r="F370" s="2">
        <f t="shared" si="69"/>
        <v>0</v>
      </c>
      <c r="G370" s="2">
        <f t="shared" si="69"/>
        <v>0</v>
      </c>
      <c r="H370" s="2">
        <f t="shared" si="69"/>
        <v>0</v>
      </c>
      <c r="I370" s="40"/>
      <c r="J370" s="40"/>
      <c r="K370" s="40"/>
      <c r="L370" s="146"/>
      <c r="M370" s="146"/>
      <c r="N370" s="146"/>
      <c r="O370" s="146"/>
      <c r="P370" s="154"/>
      <c r="Q370" s="40"/>
      <c r="R370" s="146"/>
      <c r="S370" s="146"/>
      <c r="T370" s="149"/>
    </row>
    <row r="371" spans="1:20" ht="15.95" customHeight="1" x14ac:dyDescent="0.2">
      <c r="A371" s="76"/>
      <c r="B371" s="25" t="s">
        <v>0</v>
      </c>
      <c r="C371" s="2">
        <f>D371+E371+F371+G371+H371</f>
        <v>0</v>
      </c>
      <c r="D371" s="1"/>
      <c r="E371" s="1"/>
      <c r="F371" s="1"/>
      <c r="G371" s="1"/>
      <c r="H371" s="1"/>
      <c r="I371" s="40"/>
      <c r="J371" s="40"/>
      <c r="K371" s="40"/>
      <c r="L371" s="146"/>
      <c r="M371" s="146"/>
      <c r="N371" s="146"/>
      <c r="O371" s="146"/>
      <c r="P371" s="154"/>
      <c r="Q371" s="40"/>
      <c r="R371" s="146"/>
      <c r="S371" s="146"/>
      <c r="T371" s="149"/>
    </row>
    <row r="372" spans="1:20" ht="15.95" customHeight="1" x14ac:dyDescent="0.2">
      <c r="A372" s="76"/>
      <c r="B372" s="25" t="s">
        <v>1</v>
      </c>
      <c r="C372" s="2">
        <f t="shared" ref="C372:C375" si="70">D372+E372+F372+G372+H372</f>
        <v>0</v>
      </c>
      <c r="D372" s="1"/>
      <c r="E372" s="1"/>
      <c r="F372" s="1"/>
      <c r="G372" s="1"/>
      <c r="H372" s="1"/>
      <c r="I372" s="40"/>
      <c r="J372" s="40"/>
      <c r="K372" s="40"/>
      <c r="L372" s="146"/>
      <c r="M372" s="146"/>
      <c r="N372" s="146"/>
      <c r="O372" s="146"/>
      <c r="P372" s="154"/>
      <c r="Q372" s="40"/>
      <c r="R372" s="146"/>
      <c r="S372" s="146"/>
      <c r="T372" s="149"/>
    </row>
    <row r="373" spans="1:20" ht="15.95" customHeight="1" x14ac:dyDescent="0.2">
      <c r="A373" s="76"/>
      <c r="B373" s="25" t="s">
        <v>2</v>
      </c>
      <c r="C373" s="2">
        <f t="shared" si="70"/>
        <v>0</v>
      </c>
      <c r="D373" s="1"/>
      <c r="E373" s="1"/>
      <c r="F373" s="1"/>
      <c r="G373" s="1"/>
      <c r="H373" s="1"/>
      <c r="I373" s="40"/>
      <c r="J373" s="40"/>
      <c r="K373" s="40"/>
      <c r="L373" s="146"/>
      <c r="M373" s="146"/>
      <c r="N373" s="146"/>
      <c r="O373" s="146"/>
      <c r="P373" s="154"/>
      <c r="Q373" s="40"/>
      <c r="R373" s="146"/>
      <c r="S373" s="146"/>
      <c r="T373" s="149"/>
    </row>
    <row r="374" spans="1:20" ht="15.95" customHeight="1" x14ac:dyDescent="0.2">
      <c r="A374" s="76"/>
      <c r="B374" s="25" t="s">
        <v>3</v>
      </c>
      <c r="C374" s="2">
        <f t="shared" si="70"/>
        <v>0</v>
      </c>
      <c r="D374" s="1"/>
      <c r="E374" s="1"/>
      <c r="F374" s="1"/>
      <c r="G374" s="1"/>
      <c r="H374" s="1"/>
      <c r="I374" s="40"/>
      <c r="J374" s="40"/>
      <c r="K374" s="40"/>
      <c r="L374" s="146"/>
      <c r="M374" s="146"/>
      <c r="N374" s="146"/>
      <c r="O374" s="146"/>
      <c r="P374" s="154"/>
      <c r="Q374" s="40"/>
      <c r="R374" s="146"/>
      <c r="S374" s="146"/>
      <c r="T374" s="149"/>
    </row>
    <row r="375" spans="1:20" ht="28.5" customHeight="1" x14ac:dyDescent="0.2">
      <c r="A375" s="77"/>
      <c r="B375" s="25" t="s">
        <v>795</v>
      </c>
      <c r="C375" s="2">
        <f t="shared" si="70"/>
        <v>25143.902740000001</v>
      </c>
      <c r="D375" s="1">
        <f>0+25143.90274</f>
        <v>25143.902740000001</v>
      </c>
      <c r="E375" s="1"/>
      <c r="F375" s="1"/>
      <c r="G375" s="1"/>
      <c r="H375" s="1"/>
      <c r="I375" s="41"/>
      <c r="J375" s="41"/>
      <c r="K375" s="41"/>
      <c r="L375" s="147"/>
      <c r="M375" s="147"/>
      <c r="N375" s="147"/>
      <c r="O375" s="147"/>
      <c r="P375" s="155"/>
      <c r="Q375" s="41"/>
      <c r="R375" s="147"/>
      <c r="S375" s="147"/>
      <c r="T375" s="150"/>
    </row>
    <row r="376" spans="1:20" ht="15.95" customHeight="1" x14ac:dyDescent="0.2">
      <c r="A376" s="75" t="s">
        <v>796</v>
      </c>
      <c r="B376" s="46" t="s">
        <v>141</v>
      </c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9"/>
    </row>
    <row r="377" spans="1:20" ht="15.95" customHeight="1" x14ac:dyDescent="0.2">
      <c r="A377" s="76"/>
      <c r="B377" s="42" t="s">
        <v>813</v>
      </c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4"/>
    </row>
    <row r="378" spans="1:20" ht="45" customHeight="1" x14ac:dyDescent="0.2">
      <c r="A378" s="76"/>
      <c r="B378" s="45" t="s">
        <v>798</v>
      </c>
      <c r="C378" s="46"/>
      <c r="D378" s="46"/>
      <c r="E378" s="46"/>
      <c r="F378" s="46"/>
      <c r="G378" s="46"/>
      <c r="H378" s="47"/>
      <c r="I378" s="96">
        <v>2021</v>
      </c>
      <c r="J378" s="96"/>
      <c r="K378" s="96" t="s">
        <v>801</v>
      </c>
      <c r="L378" s="96"/>
      <c r="M378" s="96" t="s">
        <v>799</v>
      </c>
      <c r="N378" s="96" t="s">
        <v>141</v>
      </c>
      <c r="O378" s="96"/>
      <c r="P378" s="99"/>
      <c r="Q378" s="96" t="s">
        <v>29</v>
      </c>
      <c r="R378" s="96" t="s">
        <v>800</v>
      </c>
      <c r="S378" s="96" t="s">
        <v>76</v>
      </c>
      <c r="T378" s="142"/>
    </row>
    <row r="379" spans="1:20" ht="15.95" customHeight="1" x14ac:dyDescent="0.2">
      <c r="A379" s="76"/>
      <c r="B379" s="25" t="s">
        <v>5</v>
      </c>
      <c r="C379" s="1">
        <f>SUM(C380:C384)</f>
        <v>1050</v>
      </c>
      <c r="D379" s="1">
        <f t="shared" ref="D379:H379" si="71">SUM(D380:D384)</f>
        <v>1050</v>
      </c>
      <c r="E379" s="1">
        <f t="shared" si="71"/>
        <v>0</v>
      </c>
      <c r="F379" s="1">
        <f t="shared" si="71"/>
        <v>0</v>
      </c>
      <c r="G379" s="1">
        <f t="shared" si="71"/>
        <v>0</v>
      </c>
      <c r="H379" s="1">
        <f t="shared" si="71"/>
        <v>0</v>
      </c>
      <c r="I379" s="97"/>
      <c r="J379" s="97"/>
      <c r="K379" s="97"/>
      <c r="L379" s="97"/>
      <c r="M379" s="97"/>
      <c r="N379" s="97"/>
      <c r="O379" s="97"/>
      <c r="P379" s="100"/>
      <c r="Q379" s="97"/>
      <c r="R379" s="97"/>
      <c r="S379" s="97"/>
      <c r="T379" s="143"/>
    </row>
    <row r="380" spans="1:20" ht="15.95" customHeight="1" x14ac:dyDescent="0.2">
      <c r="A380" s="76"/>
      <c r="B380" s="25" t="s">
        <v>0</v>
      </c>
      <c r="C380" s="1">
        <f>SUM(D380:H380)</f>
        <v>0</v>
      </c>
      <c r="D380" s="1"/>
      <c r="E380" s="1"/>
      <c r="F380" s="1"/>
      <c r="G380" s="1"/>
      <c r="H380" s="1"/>
      <c r="I380" s="97"/>
      <c r="J380" s="97"/>
      <c r="K380" s="97"/>
      <c r="L380" s="97"/>
      <c r="M380" s="97"/>
      <c r="N380" s="97"/>
      <c r="O380" s="97"/>
      <c r="P380" s="100"/>
      <c r="Q380" s="97"/>
      <c r="R380" s="97"/>
      <c r="S380" s="97"/>
      <c r="T380" s="143"/>
    </row>
    <row r="381" spans="1:20" ht="15.95" customHeight="1" x14ac:dyDescent="0.2">
      <c r="A381" s="76"/>
      <c r="B381" s="25" t="s">
        <v>1</v>
      </c>
      <c r="C381" s="1">
        <f t="shared" ref="C381:C384" si="72">SUM(D381:H381)</f>
        <v>0</v>
      </c>
      <c r="D381" s="1"/>
      <c r="E381" s="1"/>
      <c r="F381" s="1"/>
      <c r="G381" s="1"/>
      <c r="H381" s="1"/>
      <c r="I381" s="97"/>
      <c r="J381" s="97"/>
      <c r="K381" s="97"/>
      <c r="L381" s="97"/>
      <c r="M381" s="97"/>
      <c r="N381" s="97"/>
      <c r="O381" s="97"/>
      <c r="P381" s="100"/>
      <c r="Q381" s="97"/>
      <c r="R381" s="97"/>
      <c r="S381" s="97"/>
      <c r="T381" s="143"/>
    </row>
    <row r="382" spans="1:20" ht="15.95" customHeight="1" x14ac:dyDescent="0.2">
      <c r="A382" s="76"/>
      <c r="B382" s="25" t="s">
        <v>2</v>
      </c>
      <c r="C382" s="1">
        <f t="shared" si="72"/>
        <v>0</v>
      </c>
      <c r="D382" s="1"/>
      <c r="E382" s="1"/>
      <c r="F382" s="1"/>
      <c r="G382" s="1"/>
      <c r="H382" s="1"/>
      <c r="I382" s="97"/>
      <c r="J382" s="97"/>
      <c r="K382" s="97"/>
      <c r="L382" s="97"/>
      <c r="M382" s="97"/>
      <c r="N382" s="97"/>
      <c r="O382" s="97"/>
      <c r="P382" s="100"/>
      <c r="Q382" s="97"/>
      <c r="R382" s="97"/>
      <c r="S382" s="97"/>
      <c r="T382" s="143"/>
    </row>
    <row r="383" spans="1:20" ht="15.95" customHeight="1" x14ac:dyDescent="0.2">
      <c r="A383" s="76"/>
      <c r="B383" s="25" t="s">
        <v>3</v>
      </c>
      <c r="C383" s="1">
        <f t="shared" si="72"/>
        <v>0</v>
      </c>
      <c r="D383" s="1"/>
      <c r="E383" s="1"/>
      <c r="F383" s="1"/>
      <c r="G383" s="1"/>
      <c r="H383" s="1"/>
      <c r="I383" s="97"/>
      <c r="J383" s="97"/>
      <c r="K383" s="97"/>
      <c r="L383" s="97"/>
      <c r="M383" s="97"/>
      <c r="N383" s="97"/>
      <c r="O383" s="97"/>
      <c r="P383" s="100"/>
      <c r="Q383" s="97"/>
      <c r="R383" s="97"/>
      <c r="S383" s="97"/>
      <c r="T383" s="143"/>
    </row>
    <row r="384" spans="1:20" ht="30" customHeight="1" x14ac:dyDescent="0.2">
      <c r="A384" s="77"/>
      <c r="B384" s="26" t="s">
        <v>795</v>
      </c>
      <c r="C384" s="1">
        <f t="shared" si="72"/>
        <v>1050</v>
      </c>
      <c r="D384" s="1">
        <v>1050</v>
      </c>
      <c r="E384" s="1"/>
      <c r="F384" s="1"/>
      <c r="G384" s="1"/>
      <c r="H384" s="1"/>
      <c r="I384" s="98"/>
      <c r="J384" s="98"/>
      <c r="K384" s="98"/>
      <c r="L384" s="98"/>
      <c r="M384" s="98"/>
      <c r="N384" s="98"/>
      <c r="O384" s="98"/>
      <c r="P384" s="101"/>
      <c r="Q384" s="98"/>
      <c r="R384" s="98"/>
      <c r="S384" s="98"/>
      <c r="T384" s="144"/>
    </row>
    <row r="385" spans="1:20" ht="15.95" customHeight="1" x14ac:dyDescent="0.2">
      <c r="A385" s="75" t="s">
        <v>802</v>
      </c>
      <c r="B385" s="46" t="s">
        <v>141</v>
      </c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9"/>
    </row>
    <row r="386" spans="1:20" ht="15.95" customHeight="1" x14ac:dyDescent="0.2">
      <c r="A386" s="76"/>
      <c r="B386" s="42" t="s">
        <v>813</v>
      </c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4"/>
    </row>
    <row r="387" spans="1:20" ht="45" customHeight="1" x14ac:dyDescent="0.2">
      <c r="A387" s="76"/>
      <c r="B387" s="45" t="s">
        <v>798</v>
      </c>
      <c r="C387" s="46"/>
      <c r="D387" s="46"/>
      <c r="E387" s="46"/>
      <c r="F387" s="46"/>
      <c r="G387" s="46"/>
      <c r="H387" s="47"/>
      <c r="I387" s="39">
        <v>2021</v>
      </c>
      <c r="J387" s="39"/>
      <c r="K387" s="39" t="s">
        <v>801</v>
      </c>
      <c r="L387" s="39"/>
      <c r="M387" s="145" t="s">
        <v>814</v>
      </c>
      <c r="N387" s="39" t="s">
        <v>141</v>
      </c>
      <c r="O387" s="39"/>
      <c r="P387" s="84"/>
      <c r="Q387" s="39" t="s">
        <v>29</v>
      </c>
      <c r="R387" s="39" t="s">
        <v>33</v>
      </c>
      <c r="S387" s="96" t="s">
        <v>76</v>
      </c>
      <c r="T387" s="110"/>
    </row>
    <row r="388" spans="1:20" ht="15.95" customHeight="1" x14ac:dyDescent="0.2">
      <c r="A388" s="76"/>
      <c r="B388" s="25" t="s">
        <v>5</v>
      </c>
      <c r="C388" s="1">
        <f>SUM(C389:C393)</f>
        <v>5500</v>
      </c>
      <c r="D388" s="1">
        <f t="shared" ref="D388:H388" si="73">SUM(D389:D393)</f>
        <v>5500</v>
      </c>
      <c r="E388" s="1">
        <f t="shared" si="73"/>
        <v>0</v>
      </c>
      <c r="F388" s="1">
        <f t="shared" si="73"/>
        <v>0</v>
      </c>
      <c r="G388" s="1">
        <f t="shared" si="73"/>
        <v>0</v>
      </c>
      <c r="H388" s="1">
        <f t="shared" si="73"/>
        <v>0</v>
      </c>
      <c r="I388" s="40"/>
      <c r="J388" s="40"/>
      <c r="K388" s="40"/>
      <c r="L388" s="40"/>
      <c r="M388" s="146"/>
      <c r="N388" s="40"/>
      <c r="O388" s="40"/>
      <c r="P388" s="85"/>
      <c r="Q388" s="40"/>
      <c r="R388" s="40"/>
      <c r="S388" s="97"/>
      <c r="T388" s="111"/>
    </row>
    <row r="389" spans="1:20" ht="15.95" customHeight="1" x14ac:dyDescent="0.2">
      <c r="A389" s="76"/>
      <c r="B389" s="25" t="s">
        <v>0</v>
      </c>
      <c r="C389" s="1">
        <f>SUM(D389:H389)</f>
        <v>0</v>
      </c>
      <c r="D389" s="1"/>
      <c r="E389" s="1"/>
      <c r="F389" s="1"/>
      <c r="G389" s="1"/>
      <c r="H389" s="1"/>
      <c r="I389" s="40"/>
      <c r="J389" s="40"/>
      <c r="K389" s="40"/>
      <c r="L389" s="40"/>
      <c r="M389" s="146"/>
      <c r="N389" s="40"/>
      <c r="O389" s="40"/>
      <c r="P389" s="85"/>
      <c r="Q389" s="40"/>
      <c r="R389" s="40"/>
      <c r="S389" s="97"/>
      <c r="T389" s="111"/>
    </row>
    <row r="390" spans="1:20" ht="15.95" customHeight="1" x14ac:dyDescent="0.2">
      <c r="A390" s="76"/>
      <c r="B390" s="25" t="s">
        <v>1</v>
      </c>
      <c r="C390" s="1">
        <f t="shared" ref="C390:C393" si="74">SUM(D390:H390)</f>
        <v>0</v>
      </c>
      <c r="D390" s="1"/>
      <c r="E390" s="1"/>
      <c r="F390" s="1"/>
      <c r="G390" s="1"/>
      <c r="H390" s="1"/>
      <c r="I390" s="40"/>
      <c r="J390" s="40"/>
      <c r="K390" s="40"/>
      <c r="L390" s="40"/>
      <c r="M390" s="146"/>
      <c r="N390" s="40"/>
      <c r="O390" s="40"/>
      <c r="P390" s="85"/>
      <c r="Q390" s="40"/>
      <c r="R390" s="40"/>
      <c r="S390" s="97"/>
      <c r="T390" s="111"/>
    </row>
    <row r="391" spans="1:20" ht="15.95" customHeight="1" x14ac:dyDescent="0.2">
      <c r="A391" s="76"/>
      <c r="B391" s="25" t="s">
        <v>2</v>
      </c>
      <c r="C391" s="1">
        <f t="shared" si="74"/>
        <v>0</v>
      </c>
      <c r="D391" s="1"/>
      <c r="E391" s="1"/>
      <c r="F391" s="1"/>
      <c r="G391" s="1"/>
      <c r="H391" s="1"/>
      <c r="I391" s="40"/>
      <c r="J391" s="40"/>
      <c r="K391" s="40"/>
      <c r="L391" s="40"/>
      <c r="M391" s="146"/>
      <c r="N391" s="40"/>
      <c r="O391" s="40"/>
      <c r="P391" s="85"/>
      <c r="Q391" s="40"/>
      <c r="R391" s="40"/>
      <c r="S391" s="97"/>
      <c r="T391" s="111"/>
    </row>
    <row r="392" spans="1:20" ht="15.95" customHeight="1" x14ac:dyDescent="0.2">
      <c r="A392" s="76"/>
      <c r="B392" s="25" t="s">
        <v>3</v>
      </c>
      <c r="C392" s="1">
        <f t="shared" si="74"/>
        <v>0</v>
      </c>
      <c r="D392" s="1"/>
      <c r="E392" s="1"/>
      <c r="F392" s="1"/>
      <c r="G392" s="1"/>
      <c r="H392" s="1"/>
      <c r="I392" s="40"/>
      <c r="J392" s="40"/>
      <c r="K392" s="40"/>
      <c r="L392" s="40"/>
      <c r="M392" s="146"/>
      <c r="N392" s="40"/>
      <c r="O392" s="40"/>
      <c r="P392" s="85"/>
      <c r="Q392" s="40"/>
      <c r="R392" s="40"/>
      <c r="S392" s="97"/>
      <c r="T392" s="111"/>
    </row>
    <row r="393" spans="1:20" ht="26.25" customHeight="1" x14ac:dyDescent="0.2">
      <c r="A393" s="77"/>
      <c r="B393" s="25" t="s">
        <v>795</v>
      </c>
      <c r="C393" s="1">
        <f t="shared" si="74"/>
        <v>5500</v>
      </c>
      <c r="D393" s="1">
        <v>5500</v>
      </c>
      <c r="E393" s="1"/>
      <c r="F393" s="1"/>
      <c r="G393" s="1"/>
      <c r="H393" s="1"/>
      <c r="I393" s="41"/>
      <c r="J393" s="41"/>
      <c r="K393" s="41"/>
      <c r="L393" s="41"/>
      <c r="M393" s="147"/>
      <c r="N393" s="41"/>
      <c r="O393" s="41"/>
      <c r="P393" s="86"/>
      <c r="Q393" s="41"/>
      <c r="R393" s="41"/>
      <c r="S393" s="98"/>
      <c r="T393" s="112"/>
    </row>
    <row r="394" spans="1:20" ht="15.95" customHeight="1" x14ac:dyDescent="0.2">
      <c r="A394" s="89" t="s">
        <v>61</v>
      </c>
      <c r="B394" s="50" t="s">
        <v>82</v>
      </c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1"/>
    </row>
    <row r="395" spans="1:20" ht="15.95" customHeight="1" x14ac:dyDescent="0.2">
      <c r="A395" s="89"/>
      <c r="B395" s="31" t="s">
        <v>5</v>
      </c>
      <c r="C395" s="3">
        <f>C396+C397+C398+C399</f>
        <v>1386903.0684199999</v>
      </c>
      <c r="D395" s="3">
        <f>D396+D397+D399+D398</f>
        <v>461995.7</v>
      </c>
      <c r="E395" s="3">
        <f t="shared" ref="E395:H395" si="75">E396+E397+E399+E398</f>
        <v>454761.57895</v>
      </c>
      <c r="F395" s="3">
        <f t="shared" ref="F395" si="76">F396+F397+F399+F398</f>
        <v>470145.78947000002</v>
      </c>
      <c r="G395" s="3">
        <f t="shared" si="75"/>
        <v>0</v>
      </c>
      <c r="H395" s="3">
        <f t="shared" si="75"/>
        <v>0</v>
      </c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8"/>
    </row>
    <row r="396" spans="1:20" ht="15.95" customHeight="1" x14ac:dyDescent="0.2">
      <c r="A396" s="89"/>
      <c r="B396" s="31" t="s">
        <v>0</v>
      </c>
      <c r="C396" s="3">
        <f>D396+E396+F396+H396+G396</f>
        <v>1291201.3999999999</v>
      </c>
      <c r="D396" s="3">
        <f>D404+D412</f>
        <v>412539.4</v>
      </c>
      <c r="E396" s="3">
        <f t="shared" ref="E396:H396" si="77">E404+E412</f>
        <v>432023.5</v>
      </c>
      <c r="F396" s="3">
        <f t="shared" si="77"/>
        <v>446638.5</v>
      </c>
      <c r="G396" s="3">
        <f t="shared" si="77"/>
        <v>0</v>
      </c>
      <c r="H396" s="3">
        <f t="shared" si="77"/>
        <v>0</v>
      </c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8"/>
    </row>
    <row r="397" spans="1:20" ht="15.95" customHeight="1" x14ac:dyDescent="0.2">
      <c r="A397" s="89"/>
      <c r="B397" s="31" t="s">
        <v>1</v>
      </c>
      <c r="C397" s="3">
        <f>D397+E397+F397+H397+G397</f>
        <v>95701.668420000002</v>
      </c>
      <c r="D397" s="3">
        <f t="shared" ref="D397:H399" si="78">D405+D413</f>
        <v>49456.3</v>
      </c>
      <c r="E397" s="3">
        <f t="shared" si="78"/>
        <v>22738.078949999999</v>
      </c>
      <c r="F397" s="3">
        <f t="shared" si="78"/>
        <v>23507.28947</v>
      </c>
      <c r="G397" s="3">
        <f t="shared" si="78"/>
        <v>0</v>
      </c>
      <c r="H397" s="3">
        <f t="shared" si="78"/>
        <v>0</v>
      </c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8"/>
    </row>
    <row r="398" spans="1:20" ht="15.95" customHeight="1" x14ac:dyDescent="0.2">
      <c r="A398" s="89"/>
      <c r="B398" s="31" t="s">
        <v>2</v>
      </c>
      <c r="C398" s="3">
        <f>D398+E398+F398+H398+G398</f>
        <v>0</v>
      </c>
      <c r="D398" s="3">
        <f t="shared" si="78"/>
        <v>0</v>
      </c>
      <c r="E398" s="3">
        <f t="shared" si="78"/>
        <v>0</v>
      </c>
      <c r="F398" s="3">
        <f t="shared" si="78"/>
        <v>0</v>
      </c>
      <c r="G398" s="3">
        <f t="shared" si="78"/>
        <v>0</v>
      </c>
      <c r="H398" s="3">
        <f t="shared" si="78"/>
        <v>0</v>
      </c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8"/>
    </row>
    <row r="399" spans="1:20" ht="15.95" customHeight="1" x14ac:dyDescent="0.2">
      <c r="A399" s="89"/>
      <c r="B399" s="31" t="s">
        <v>3</v>
      </c>
      <c r="C399" s="3">
        <f>D399+E399+F399+H399+G399</f>
        <v>0</v>
      </c>
      <c r="D399" s="3">
        <f t="shared" si="78"/>
        <v>0</v>
      </c>
      <c r="E399" s="3">
        <f t="shared" si="78"/>
        <v>0</v>
      </c>
      <c r="F399" s="3">
        <f t="shared" si="78"/>
        <v>0</v>
      </c>
      <c r="G399" s="3">
        <f t="shared" si="78"/>
        <v>0</v>
      </c>
      <c r="H399" s="3">
        <f t="shared" si="78"/>
        <v>0</v>
      </c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8"/>
    </row>
    <row r="400" spans="1:20" ht="15.95" customHeight="1" x14ac:dyDescent="0.2">
      <c r="A400" s="34" t="s">
        <v>182</v>
      </c>
      <c r="B400" s="78" t="s">
        <v>190</v>
      </c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9"/>
    </row>
    <row r="401" spans="1:20" ht="15.95" customHeight="1" x14ac:dyDescent="0.2">
      <c r="A401" s="34" t="s">
        <v>57</v>
      </c>
      <c r="B401" s="50" t="s">
        <v>83</v>
      </c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1"/>
    </row>
    <row r="402" spans="1:20" ht="45" customHeight="1" x14ac:dyDescent="0.2">
      <c r="A402" s="34"/>
      <c r="B402" s="80" t="s">
        <v>158</v>
      </c>
      <c r="C402" s="80"/>
      <c r="D402" s="80"/>
      <c r="E402" s="80"/>
      <c r="F402" s="80"/>
      <c r="G402" s="80"/>
      <c r="H402" s="80"/>
      <c r="I402" s="48" t="s">
        <v>28</v>
      </c>
      <c r="J402" s="48"/>
      <c r="K402" s="48" t="s">
        <v>35</v>
      </c>
      <c r="L402" s="48" t="s">
        <v>288</v>
      </c>
      <c r="M402" s="48" t="s">
        <v>221</v>
      </c>
      <c r="N402" s="48" t="s">
        <v>190</v>
      </c>
      <c r="O402" s="48" t="s">
        <v>221</v>
      </c>
      <c r="P402" s="38" t="s">
        <v>375</v>
      </c>
      <c r="Q402" s="48" t="s">
        <v>29</v>
      </c>
      <c r="R402" s="48" t="s">
        <v>8</v>
      </c>
      <c r="S402" s="48" t="s">
        <v>31</v>
      </c>
      <c r="T402" s="55" t="s">
        <v>266</v>
      </c>
    </row>
    <row r="403" spans="1:20" ht="15.95" customHeight="1" x14ac:dyDescent="0.2">
      <c r="A403" s="34"/>
      <c r="B403" s="25" t="s">
        <v>5</v>
      </c>
      <c r="C403" s="2">
        <f>D403+E403+F403+G403+H403</f>
        <v>1360659.36842</v>
      </c>
      <c r="D403" s="1">
        <f t="shared" ref="D403:H403" si="79">SUM(D404:D407)</f>
        <v>435752</v>
      </c>
      <c r="E403" s="1">
        <f t="shared" si="79"/>
        <v>454761.57895</v>
      </c>
      <c r="F403" s="1">
        <f t="shared" si="79"/>
        <v>470145.78947000002</v>
      </c>
      <c r="G403" s="1">
        <f t="shared" si="79"/>
        <v>0</v>
      </c>
      <c r="H403" s="1">
        <f t="shared" si="79"/>
        <v>0</v>
      </c>
      <c r="I403" s="48"/>
      <c r="J403" s="48"/>
      <c r="K403" s="48"/>
      <c r="L403" s="48"/>
      <c r="M403" s="48"/>
      <c r="N403" s="48"/>
      <c r="O403" s="48"/>
      <c r="P403" s="38"/>
      <c r="Q403" s="48"/>
      <c r="R403" s="48"/>
      <c r="S403" s="48"/>
      <c r="T403" s="55"/>
    </row>
    <row r="404" spans="1:20" ht="15.95" customHeight="1" x14ac:dyDescent="0.2">
      <c r="A404" s="34"/>
      <c r="B404" s="25" t="s">
        <v>0</v>
      </c>
      <c r="C404" s="2">
        <f>D404+E404+F404+G404+H404</f>
        <v>1291201.3999999999</v>
      </c>
      <c r="D404" s="1">
        <v>412539.4</v>
      </c>
      <c r="E404" s="1">
        <v>432023.5</v>
      </c>
      <c r="F404" s="1">
        <v>446638.5</v>
      </c>
      <c r="G404" s="1"/>
      <c r="H404" s="1"/>
      <c r="I404" s="48"/>
      <c r="J404" s="48"/>
      <c r="K404" s="48"/>
      <c r="L404" s="48"/>
      <c r="M404" s="48"/>
      <c r="N404" s="48"/>
      <c r="O404" s="48"/>
      <c r="P404" s="38"/>
      <c r="Q404" s="48"/>
      <c r="R404" s="48"/>
      <c r="S404" s="48"/>
      <c r="T404" s="55"/>
    </row>
    <row r="405" spans="1:20" ht="15.95" customHeight="1" x14ac:dyDescent="0.2">
      <c r="A405" s="34"/>
      <c r="B405" s="25" t="s">
        <v>1</v>
      </c>
      <c r="C405" s="2">
        <f>D405+E405+F405+G405+H405</f>
        <v>69457.968420000005</v>
      </c>
      <c r="D405" s="1">
        <f>21712.6+1500</f>
        <v>23212.6</v>
      </c>
      <c r="E405" s="1">
        <v>22738.078949999999</v>
      </c>
      <c r="F405" s="1">
        <v>23507.28947</v>
      </c>
      <c r="G405" s="1"/>
      <c r="H405" s="1"/>
      <c r="I405" s="48"/>
      <c r="J405" s="48"/>
      <c r="K405" s="48"/>
      <c r="L405" s="48"/>
      <c r="M405" s="48"/>
      <c r="N405" s="48"/>
      <c r="O405" s="48"/>
      <c r="P405" s="38"/>
      <c r="Q405" s="48"/>
      <c r="R405" s="48"/>
      <c r="S405" s="48"/>
      <c r="T405" s="55"/>
    </row>
    <row r="406" spans="1:20" ht="15.95" customHeight="1" x14ac:dyDescent="0.2">
      <c r="A406" s="34"/>
      <c r="B406" s="25" t="s">
        <v>2</v>
      </c>
      <c r="C406" s="2">
        <f>D406+E406+F406+G406+H406</f>
        <v>0</v>
      </c>
      <c r="D406" s="1"/>
      <c r="E406" s="1"/>
      <c r="F406" s="1"/>
      <c r="G406" s="1"/>
      <c r="H406" s="1"/>
      <c r="I406" s="48"/>
      <c r="J406" s="48"/>
      <c r="K406" s="48"/>
      <c r="L406" s="48"/>
      <c r="M406" s="48"/>
      <c r="N406" s="48"/>
      <c r="O406" s="48"/>
      <c r="P406" s="38"/>
      <c r="Q406" s="48"/>
      <c r="R406" s="48"/>
      <c r="S406" s="48"/>
      <c r="T406" s="55"/>
    </row>
    <row r="407" spans="1:20" ht="15.95" customHeight="1" x14ac:dyDescent="0.2">
      <c r="A407" s="34"/>
      <c r="B407" s="25" t="s">
        <v>3</v>
      </c>
      <c r="C407" s="2">
        <f>D407+E407+F407+G407+H407</f>
        <v>0</v>
      </c>
      <c r="D407" s="1"/>
      <c r="E407" s="1"/>
      <c r="F407" s="1"/>
      <c r="G407" s="1"/>
      <c r="H407" s="1"/>
      <c r="I407" s="48"/>
      <c r="J407" s="48"/>
      <c r="K407" s="48"/>
      <c r="L407" s="48"/>
      <c r="M407" s="48"/>
      <c r="N407" s="48"/>
      <c r="O407" s="48"/>
      <c r="P407" s="38"/>
      <c r="Q407" s="48"/>
      <c r="R407" s="48"/>
      <c r="S407" s="48"/>
      <c r="T407" s="55"/>
    </row>
    <row r="408" spans="1:20" ht="15.95" customHeight="1" x14ac:dyDescent="0.2">
      <c r="A408" s="34" t="s">
        <v>183</v>
      </c>
      <c r="B408" s="78" t="s">
        <v>190</v>
      </c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9"/>
    </row>
    <row r="409" spans="1:20" ht="15.95" customHeight="1" x14ac:dyDescent="0.2">
      <c r="A409" s="34" t="s">
        <v>57</v>
      </c>
      <c r="B409" s="78" t="s">
        <v>83</v>
      </c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9"/>
    </row>
    <row r="410" spans="1:20" ht="45" customHeight="1" x14ac:dyDescent="0.2">
      <c r="A410" s="34"/>
      <c r="B410" s="78" t="s">
        <v>625</v>
      </c>
      <c r="C410" s="78"/>
      <c r="D410" s="78"/>
      <c r="E410" s="78"/>
      <c r="F410" s="78"/>
      <c r="G410" s="78"/>
      <c r="H410" s="78"/>
      <c r="I410" s="39" t="s">
        <v>22</v>
      </c>
      <c r="J410" s="39"/>
      <c r="K410" s="39" t="s">
        <v>35</v>
      </c>
      <c r="L410" s="39"/>
      <c r="M410" s="39" t="s">
        <v>221</v>
      </c>
      <c r="N410" s="39" t="s">
        <v>67</v>
      </c>
      <c r="O410" s="39" t="s">
        <v>221</v>
      </c>
      <c r="P410" s="84" t="s">
        <v>636</v>
      </c>
      <c r="Q410" s="39" t="s">
        <v>29</v>
      </c>
      <c r="R410" s="39" t="s">
        <v>815</v>
      </c>
      <c r="S410" s="39" t="s">
        <v>637</v>
      </c>
      <c r="T410" s="55" t="s">
        <v>638</v>
      </c>
    </row>
    <row r="411" spans="1:20" ht="15.95" customHeight="1" x14ac:dyDescent="0.2">
      <c r="A411" s="34"/>
      <c r="B411" s="25" t="s">
        <v>5</v>
      </c>
      <c r="C411" s="2">
        <f>D411+E411+F411+G411+H411</f>
        <v>26243.7</v>
      </c>
      <c r="D411" s="1">
        <f>D412+D413+D414</f>
        <v>26243.7</v>
      </c>
      <c r="E411" s="1">
        <f t="shared" ref="E411:G411" si="80">E412+E413+E414</f>
        <v>0</v>
      </c>
      <c r="F411" s="1">
        <f t="shared" si="80"/>
        <v>0</v>
      </c>
      <c r="G411" s="1">
        <f t="shared" si="80"/>
        <v>0</v>
      </c>
      <c r="H411" s="1">
        <f>H412+H413+H414</f>
        <v>0</v>
      </c>
      <c r="I411" s="40"/>
      <c r="J411" s="40"/>
      <c r="K411" s="40"/>
      <c r="L411" s="40"/>
      <c r="M411" s="40"/>
      <c r="N411" s="40"/>
      <c r="O411" s="40"/>
      <c r="P411" s="85"/>
      <c r="Q411" s="40"/>
      <c r="R411" s="40"/>
      <c r="S411" s="40"/>
      <c r="T411" s="55"/>
    </row>
    <row r="412" spans="1:20" ht="15.95" customHeight="1" x14ac:dyDescent="0.2">
      <c r="A412" s="34"/>
      <c r="B412" s="25" t="s">
        <v>0</v>
      </c>
      <c r="C412" s="2">
        <f>D412++E412+F412+G412+H412</f>
        <v>0</v>
      </c>
      <c r="D412" s="1"/>
      <c r="E412" s="1"/>
      <c r="F412" s="1"/>
      <c r="G412" s="1"/>
      <c r="H412" s="1"/>
      <c r="I412" s="40"/>
      <c r="J412" s="40"/>
      <c r="K412" s="40"/>
      <c r="L412" s="40"/>
      <c r="M412" s="40"/>
      <c r="N412" s="40"/>
      <c r="O412" s="40"/>
      <c r="P412" s="85"/>
      <c r="Q412" s="40"/>
      <c r="R412" s="40"/>
      <c r="S412" s="40"/>
      <c r="T412" s="55"/>
    </row>
    <row r="413" spans="1:20" ht="15.95" customHeight="1" x14ac:dyDescent="0.2">
      <c r="A413" s="34"/>
      <c r="B413" s="25" t="s">
        <v>1</v>
      </c>
      <c r="C413" s="2">
        <f>D413+E413+F413+G413+H413</f>
        <v>26243.7</v>
      </c>
      <c r="D413" s="1">
        <f>0+14190.4653+12053.2347</f>
        <v>26243.7</v>
      </c>
      <c r="E413" s="1"/>
      <c r="F413" s="1"/>
      <c r="G413" s="1"/>
      <c r="H413" s="1"/>
      <c r="I413" s="40"/>
      <c r="J413" s="40"/>
      <c r="K413" s="40"/>
      <c r="L413" s="40"/>
      <c r="M413" s="40"/>
      <c r="N413" s="40"/>
      <c r="O413" s="40"/>
      <c r="P413" s="85"/>
      <c r="Q413" s="40"/>
      <c r="R413" s="40"/>
      <c r="S413" s="40"/>
      <c r="T413" s="55"/>
    </row>
    <row r="414" spans="1:20" ht="15.95" customHeight="1" x14ac:dyDescent="0.2">
      <c r="A414" s="34"/>
      <c r="B414" s="25" t="s">
        <v>2</v>
      </c>
      <c r="C414" s="2">
        <f>D414+E414+F414+G414+H414</f>
        <v>0</v>
      </c>
      <c r="D414" s="1"/>
      <c r="E414" s="1"/>
      <c r="F414" s="1"/>
      <c r="G414" s="1"/>
      <c r="H414" s="1"/>
      <c r="I414" s="40"/>
      <c r="J414" s="40"/>
      <c r="K414" s="40"/>
      <c r="L414" s="40"/>
      <c r="M414" s="40"/>
      <c r="N414" s="40"/>
      <c r="O414" s="40"/>
      <c r="P414" s="85"/>
      <c r="Q414" s="40"/>
      <c r="R414" s="40"/>
      <c r="S414" s="40"/>
      <c r="T414" s="55"/>
    </row>
    <row r="415" spans="1:20" ht="15.95" customHeight="1" x14ac:dyDescent="0.2">
      <c r="A415" s="34"/>
      <c r="B415" s="25" t="s">
        <v>3</v>
      </c>
      <c r="C415" s="2">
        <v>0</v>
      </c>
      <c r="D415" s="1"/>
      <c r="E415" s="1"/>
      <c r="F415" s="1"/>
      <c r="G415" s="1"/>
      <c r="H415" s="1"/>
      <c r="I415" s="41"/>
      <c r="J415" s="41"/>
      <c r="K415" s="41"/>
      <c r="L415" s="41"/>
      <c r="M415" s="41"/>
      <c r="N415" s="41"/>
      <c r="O415" s="41"/>
      <c r="P415" s="86"/>
      <c r="Q415" s="41"/>
      <c r="R415" s="41"/>
      <c r="S415" s="41"/>
      <c r="T415" s="55"/>
    </row>
    <row r="416" spans="1:20" ht="15.95" customHeight="1" x14ac:dyDescent="0.2">
      <c r="A416" s="89" t="s">
        <v>62</v>
      </c>
      <c r="B416" s="50" t="s">
        <v>84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1"/>
    </row>
    <row r="417" spans="1:20" ht="15.95" customHeight="1" x14ac:dyDescent="0.2">
      <c r="A417" s="89"/>
      <c r="B417" s="31" t="s">
        <v>5</v>
      </c>
      <c r="C417" s="3">
        <f>SUM(C418:C421)</f>
        <v>1560609.29</v>
      </c>
      <c r="D417" s="3">
        <f>D418+D419+D420+D421</f>
        <v>33200</v>
      </c>
      <c r="E417" s="3">
        <f t="shared" ref="E417:H417" si="81">E418+E419+E420+E421</f>
        <v>330499.49</v>
      </c>
      <c r="F417" s="3">
        <f t="shared" ref="F417" si="82">F418+F419+F420+F421</f>
        <v>724909.8</v>
      </c>
      <c r="G417" s="3">
        <f t="shared" si="81"/>
        <v>310000</v>
      </c>
      <c r="H417" s="3">
        <f t="shared" si="81"/>
        <v>162000</v>
      </c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8"/>
    </row>
    <row r="418" spans="1:20" ht="15.95" customHeight="1" x14ac:dyDescent="0.2">
      <c r="A418" s="89"/>
      <c r="B418" s="31" t="s">
        <v>0</v>
      </c>
      <c r="C418" s="3">
        <f>D418+E418+F418+H418+G418</f>
        <v>1019104.3</v>
      </c>
      <c r="D418" s="3">
        <f t="shared" ref="D418:H418" si="83">D426+D434+D442+D450</f>
        <v>0</v>
      </c>
      <c r="E418" s="3">
        <f t="shared" si="83"/>
        <v>327194.5</v>
      </c>
      <c r="F418" s="3">
        <f t="shared" si="83"/>
        <v>691909.8</v>
      </c>
      <c r="G418" s="3">
        <f t="shared" si="83"/>
        <v>0</v>
      </c>
      <c r="H418" s="3">
        <f t="shared" si="83"/>
        <v>0</v>
      </c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8"/>
    </row>
    <row r="419" spans="1:20" ht="15.95" customHeight="1" x14ac:dyDescent="0.2">
      <c r="A419" s="89"/>
      <c r="B419" s="31" t="s">
        <v>1</v>
      </c>
      <c r="C419" s="3">
        <f>D419+E419+F419+H419+G419</f>
        <v>541504.99</v>
      </c>
      <c r="D419" s="3">
        <f t="shared" ref="D419:H421" si="84">D427+D435+D443+D451</f>
        <v>33200</v>
      </c>
      <c r="E419" s="3">
        <f t="shared" si="84"/>
        <v>3304.99</v>
      </c>
      <c r="F419" s="3">
        <f t="shared" si="84"/>
        <v>33000</v>
      </c>
      <c r="G419" s="3">
        <f t="shared" si="84"/>
        <v>310000</v>
      </c>
      <c r="H419" s="3">
        <f t="shared" si="84"/>
        <v>162000</v>
      </c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8"/>
    </row>
    <row r="420" spans="1:20" ht="15.95" customHeight="1" x14ac:dyDescent="0.2">
      <c r="A420" s="89"/>
      <c r="B420" s="31" t="s">
        <v>2</v>
      </c>
      <c r="C420" s="3">
        <f>D420+E420+F420+H420+G420</f>
        <v>0</v>
      </c>
      <c r="D420" s="3">
        <f t="shared" si="84"/>
        <v>0</v>
      </c>
      <c r="E420" s="3">
        <f t="shared" si="84"/>
        <v>0</v>
      </c>
      <c r="F420" s="3">
        <f t="shared" si="84"/>
        <v>0</v>
      </c>
      <c r="G420" s="3">
        <f t="shared" si="84"/>
        <v>0</v>
      </c>
      <c r="H420" s="3">
        <f t="shared" si="84"/>
        <v>0</v>
      </c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8"/>
    </row>
    <row r="421" spans="1:20" ht="15.95" customHeight="1" x14ac:dyDescent="0.2">
      <c r="A421" s="89"/>
      <c r="B421" s="31" t="s">
        <v>3</v>
      </c>
      <c r="C421" s="3">
        <f>D421+E421+F421+H421+G421</f>
        <v>0</v>
      </c>
      <c r="D421" s="3">
        <f t="shared" si="84"/>
        <v>0</v>
      </c>
      <c r="E421" s="3">
        <f t="shared" si="84"/>
        <v>0</v>
      </c>
      <c r="F421" s="3">
        <f t="shared" si="84"/>
        <v>0</v>
      </c>
      <c r="G421" s="3">
        <f t="shared" si="84"/>
        <v>0</v>
      </c>
      <c r="H421" s="3">
        <f t="shared" si="84"/>
        <v>0</v>
      </c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8"/>
    </row>
    <row r="422" spans="1:20" ht="15.95" customHeight="1" x14ac:dyDescent="0.2">
      <c r="A422" s="34" t="s">
        <v>111</v>
      </c>
      <c r="B422" s="78" t="s">
        <v>190</v>
      </c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9"/>
    </row>
    <row r="423" spans="1:20" ht="15" customHeight="1" x14ac:dyDescent="0.2">
      <c r="A423" s="34"/>
      <c r="B423" s="50" t="s">
        <v>471</v>
      </c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1"/>
    </row>
    <row r="424" spans="1:20" ht="45" customHeight="1" x14ac:dyDescent="0.2">
      <c r="A424" s="34"/>
      <c r="B424" s="80" t="s">
        <v>503</v>
      </c>
      <c r="C424" s="80"/>
      <c r="D424" s="80"/>
      <c r="E424" s="80"/>
      <c r="F424" s="80"/>
      <c r="G424" s="80"/>
      <c r="H424" s="80"/>
      <c r="I424" s="48" t="s">
        <v>28</v>
      </c>
      <c r="J424" s="48" t="s">
        <v>19</v>
      </c>
      <c r="K424" s="48" t="s">
        <v>35</v>
      </c>
      <c r="L424" s="48" t="s">
        <v>171</v>
      </c>
      <c r="M424" s="48" t="s">
        <v>221</v>
      </c>
      <c r="N424" s="48" t="s">
        <v>190</v>
      </c>
      <c r="O424" s="48" t="s">
        <v>221</v>
      </c>
      <c r="P424" s="38" t="s">
        <v>376</v>
      </c>
      <c r="Q424" s="48" t="s">
        <v>29</v>
      </c>
      <c r="R424" s="48" t="s">
        <v>542</v>
      </c>
      <c r="S424" s="48" t="s">
        <v>30</v>
      </c>
      <c r="T424" s="55" t="s">
        <v>185</v>
      </c>
    </row>
    <row r="425" spans="1:20" ht="15.95" customHeight="1" x14ac:dyDescent="0.2">
      <c r="A425" s="34"/>
      <c r="B425" s="25" t="s">
        <v>5</v>
      </c>
      <c r="C425" s="2">
        <f>D425+E425+F425+G425+H425</f>
        <v>1055609.29</v>
      </c>
      <c r="D425" s="1">
        <f t="shared" ref="D425:H425" si="85">SUM(D426:D429)</f>
        <v>33200</v>
      </c>
      <c r="E425" s="1">
        <f t="shared" si="85"/>
        <v>330499.49</v>
      </c>
      <c r="F425" s="1">
        <f t="shared" si="85"/>
        <v>691909.8</v>
      </c>
      <c r="G425" s="1">
        <f t="shared" si="85"/>
        <v>0</v>
      </c>
      <c r="H425" s="1">
        <f t="shared" si="85"/>
        <v>0</v>
      </c>
      <c r="I425" s="48"/>
      <c r="J425" s="48"/>
      <c r="K425" s="48"/>
      <c r="L425" s="48"/>
      <c r="M425" s="48"/>
      <c r="N425" s="48"/>
      <c r="O425" s="48"/>
      <c r="P425" s="38"/>
      <c r="Q425" s="48"/>
      <c r="R425" s="48"/>
      <c r="S425" s="48"/>
      <c r="T425" s="55"/>
    </row>
    <row r="426" spans="1:20" ht="15.95" customHeight="1" x14ac:dyDescent="0.2">
      <c r="A426" s="34"/>
      <c r="B426" s="25" t="s">
        <v>0</v>
      </c>
      <c r="C426" s="2">
        <f>D426+E426+F426+G426+H426</f>
        <v>1019104.3</v>
      </c>
      <c r="D426" s="1"/>
      <c r="E426" s="1">
        <v>327194.5</v>
      </c>
      <c r="F426" s="1">
        <v>691909.8</v>
      </c>
      <c r="G426" s="1"/>
      <c r="H426" s="1"/>
      <c r="I426" s="48"/>
      <c r="J426" s="48"/>
      <c r="K426" s="48"/>
      <c r="L426" s="48"/>
      <c r="M426" s="48"/>
      <c r="N426" s="48"/>
      <c r="O426" s="48"/>
      <c r="P426" s="38"/>
      <c r="Q426" s="48"/>
      <c r="R426" s="48"/>
      <c r="S426" s="48"/>
      <c r="T426" s="55"/>
    </row>
    <row r="427" spans="1:20" ht="15.95" customHeight="1" x14ac:dyDescent="0.2">
      <c r="A427" s="34"/>
      <c r="B427" s="25" t="s">
        <v>1</v>
      </c>
      <c r="C427" s="2">
        <f>D427+E427+F427+G427+H427</f>
        <v>36504.99</v>
      </c>
      <c r="D427" s="1">
        <f>3304+33200-3304</f>
        <v>33200</v>
      </c>
      <c r="E427" s="1">
        <v>3304.99</v>
      </c>
      <c r="F427" s="1"/>
      <c r="G427" s="1"/>
      <c r="H427" s="1"/>
      <c r="I427" s="48"/>
      <c r="J427" s="48"/>
      <c r="K427" s="48"/>
      <c r="L427" s="48"/>
      <c r="M427" s="48"/>
      <c r="N427" s="48"/>
      <c r="O427" s="48"/>
      <c r="P427" s="38"/>
      <c r="Q427" s="48"/>
      <c r="R427" s="48"/>
      <c r="S427" s="48"/>
      <c r="T427" s="55"/>
    </row>
    <row r="428" spans="1:20" ht="15.95" customHeight="1" x14ac:dyDescent="0.2">
      <c r="A428" s="34"/>
      <c r="B428" s="25" t="s">
        <v>2</v>
      </c>
      <c r="C428" s="2">
        <f>SUM(D428:H428)</f>
        <v>0</v>
      </c>
      <c r="D428" s="1"/>
      <c r="E428" s="1"/>
      <c r="F428" s="1"/>
      <c r="G428" s="1"/>
      <c r="H428" s="1"/>
      <c r="I428" s="48"/>
      <c r="J428" s="48"/>
      <c r="K428" s="48"/>
      <c r="L428" s="48"/>
      <c r="M428" s="48"/>
      <c r="N428" s="48"/>
      <c r="O428" s="48"/>
      <c r="P428" s="38"/>
      <c r="Q428" s="48"/>
      <c r="R428" s="48"/>
      <c r="S428" s="48"/>
      <c r="T428" s="55"/>
    </row>
    <row r="429" spans="1:20" ht="15.95" customHeight="1" x14ac:dyDescent="0.2">
      <c r="A429" s="34"/>
      <c r="B429" s="25" t="s">
        <v>3</v>
      </c>
      <c r="C429" s="2">
        <f>SUM(D429:H429)</f>
        <v>0</v>
      </c>
      <c r="D429" s="1"/>
      <c r="E429" s="1"/>
      <c r="F429" s="1"/>
      <c r="G429" s="1"/>
      <c r="H429" s="1"/>
      <c r="I429" s="48"/>
      <c r="J429" s="48"/>
      <c r="K429" s="48"/>
      <c r="L429" s="48"/>
      <c r="M429" s="48"/>
      <c r="N429" s="48"/>
      <c r="O429" s="48"/>
      <c r="P429" s="38"/>
      <c r="Q429" s="48"/>
      <c r="R429" s="48"/>
      <c r="S429" s="48"/>
      <c r="T429" s="55"/>
    </row>
    <row r="430" spans="1:20" ht="15.95" customHeight="1" x14ac:dyDescent="0.2">
      <c r="A430" s="34" t="s">
        <v>112</v>
      </c>
      <c r="B430" s="78" t="s">
        <v>368</v>
      </c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9"/>
    </row>
    <row r="431" spans="1:20" ht="15.95" customHeight="1" x14ac:dyDescent="0.2">
      <c r="A431" s="34"/>
      <c r="B431" s="50" t="s">
        <v>297</v>
      </c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1"/>
    </row>
    <row r="432" spans="1:20" ht="45" customHeight="1" x14ac:dyDescent="0.2">
      <c r="A432" s="34"/>
      <c r="B432" s="78" t="s">
        <v>298</v>
      </c>
      <c r="C432" s="78"/>
      <c r="D432" s="78"/>
      <c r="E432" s="78"/>
      <c r="F432" s="78"/>
      <c r="G432" s="78"/>
      <c r="H432" s="78"/>
      <c r="I432" s="48" t="s">
        <v>176</v>
      </c>
      <c r="J432" s="48" t="s">
        <v>28</v>
      </c>
      <c r="K432" s="48" t="s">
        <v>35</v>
      </c>
      <c r="L432" s="48" t="s">
        <v>300</v>
      </c>
      <c r="M432" s="48" t="s">
        <v>368</v>
      </c>
      <c r="N432" s="48" t="s">
        <v>368</v>
      </c>
      <c r="O432" s="48" t="s">
        <v>368</v>
      </c>
      <c r="P432" s="48" t="s">
        <v>302</v>
      </c>
      <c r="Q432" s="38" t="s">
        <v>29</v>
      </c>
      <c r="R432" s="48" t="s">
        <v>542</v>
      </c>
      <c r="S432" s="48" t="s">
        <v>30</v>
      </c>
      <c r="T432" s="55"/>
    </row>
    <row r="433" spans="1:20" ht="15.95" customHeight="1" x14ac:dyDescent="0.2">
      <c r="A433" s="34"/>
      <c r="B433" s="25" t="s">
        <v>5</v>
      </c>
      <c r="C433" s="2">
        <f>D433+E433+F433+G433+H433</f>
        <v>120000</v>
      </c>
      <c r="D433" s="1">
        <f>D434+D435</f>
        <v>0</v>
      </c>
      <c r="E433" s="1">
        <f t="shared" ref="E433:F433" si="86">E434+E435</f>
        <v>0</v>
      </c>
      <c r="F433" s="1">
        <f t="shared" si="86"/>
        <v>8000</v>
      </c>
      <c r="G433" s="1">
        <f t="shared" ref="G433:H433" si="87">G434+G435</f>
        <v>80000</v>
      </c>
      <c r="H433" s="1">
        <f t="shared" si="87"/>
        <v>32000</v>
      </c>
      <c r="I433" s="48"/>
      <c r="J433" s="48"/>
      <c r="K433" s="48"/>
      <c r="L433" s="48"/>
      <c r="M433" s="48"/>
      <c r="N433" s="48"/>
      <c r="O433" s="48"/>
      <c r="P433" s="48"/>
      <c r="Q433" s="38"/>
      <c r="R433" s="48"/>
      <c r="S433" s="48"/>
      <c r="T433" s="55"/>
    </row>
    <row r="434" spans="1:20" ht="15.95" customHeight="1" x14ac:dyDescent="0.2">
      <c r="A434" s="34"/>
      <c r="B434" s="25" t="s">
        <v>0</v>
      </c>
      <c r="C434" s="2">
        <f>D434+E434+F434+G434+H434</f>
        <v>0</v>
      </c>
      <c r="D434" s="1"/>
      <c r="E434" s="1"/>
      <c r="F434" s="1"/>
      <c r="G434" s="1"/>
      <c r="H434" s="1"/>
      <c r="I434" s="48"/>
      <c r="J434" s="48"/>
      <c r="K434" s="48"/>
      <c r="L434" s="48"/>
      <c r="M434" s="48"/>
      <c r="N434" s="48"/>
      <c r="O434" s="48"/>
      <c r="P434" s="48"/>
      <c r="Q434" s="38"/>
      <c r="R434" s="48"/>
      <c r="S434" s="48"/>
      <c r="T434" s="55"/>
    </row>
    <row r="435" spans="1:20" ht="15.95" customHeight="1" x14ac:dyDescent="0.2">
      <c r="A435" s="34"/>
      <c r="B435" s="25" t="s">
        <v>1</v>
      </c>
      <c r="C435" s="2">
        <f>D435+E435+F435+G435+H435</f>
        <v>120000</v>
      </c>
      <c r="D435" s="1"/>
      <c r="E435" s="1"/>
      <c r="F435" s="1">
        <v>8000</v>
      </c>
      <c r="G435" s="1">
        <v>80000</v>
      </c>
      <c r="H435" s="1">
        <v>32000</v>
      </c>
      <c r="I435" s="48"/>
      <c r="J435" s="48"/>
      <c r="K435" s="48"/>
      <c r="L435" s="48"/>
      <c r="M435" s="48"/>
      <c r="N435" s="48"/>
      <c r="O435" s="48"/>
      <c r="P435" s="48"/>
      <c r="Q435" s="38"/>
      <c r="R435" s="48"/>
      <c r="S435" s="48"/>
      <c r="T435" s="55"/>
    </row>
    <row r="436" spans="1:20" ht="15.95" customHeight="1" x14ac:dyDescent="0.2">
      <c r="A436" s="34"/>
      <c r="B436" s="25" t="s">
        <v>2</v>
      </c>
      <c r="C436" s="2"/>
      <c r="D436" s="1"/>
      <c r="E436" s="1"/>
      <c r="F436" s="1"/>
      <c r="G436" s="1"/>
      <c r="H436" s="1"/>
      <c r="I436" s="48"/>
      <c r="J436" s="48"/>
      <c r="K436" s="48"/>
      <c r="L436" s="48"/>
      <c r="M436" s="48"/>
      <c r="N436" s="48"/>
      <c r="O436" s="48"/>
      <c r="P436" s="48"/>
      <c r="Q436" s="38"/>
      <c r="R436" s="48"/>
      <c r="S436" s="48"/>
      <c r="T436" s="55"/>
    </row>
    <row r="437" spans="1:20" ht="15.95" customHeight="1" x14ac:dyDescent="0.2">
      <c r="A437" s="34"/>
      <c r="B437" s="25" t="s">
        <v>3</v>
      </c>
      <c r="C437" s="2"/>
      <c r="D437" s="1"/>
      <c r="E437" s="1"/>
      <c r="F437" s="1"/>
      <c r="G437" s="1"/>
      <c r="H437" s="1"/>
      <c r="I437" s="48"/>
      <c r="J437" s="48"/>
      <c r="K437" s="48"/>
      <c r="L437" s="48"/>
      <c r="M437" s="48"/>
      <c r="N437" s="48"/>
      <c r="O437" s="48"/>
      <c r="P437" s="48"/>
      <c r="Q437" s="38"/>
      <c r="R437" s="48"/>
      <c r="S437" s="48"/>
      <c r="T437" s="55"/>
    </row>
    <row r="438" spans="1:20" ht="15.95" customHeight="1" x14ac:dyDescent="0.2">
      <c r="A438" s="34" t="s">
        <v>113</v>
      </c>
      <c r="B438" s="78" t="s">
        <v>368</v>
      </c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9"/>
    </row>
    <row r="439" spans="1:20" ht="15.95" customHeight="1" x14ac:dyDescent="0.2">
      <c r="A439" s="34"/>
      <c r="B439" s="50" t="s">
        <v>297</v>
      </c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1"/>
    </row>
    <row r="440" spans="1:20" ht="45" customHeight="1" x14ac:dyDescent="0.2">
      <c r="A440" s="34"/>
      <c r="B440" s="78" t="s">
        <v>299</v>
      </c>
      <c r="C440" s="78"/>
      <c r="D440" s="78"/>
      <c r="E440" s="78"/>
      <c r="F440" s="78"/>
      <c r="G440" s="78"/>
      <c r="H440" s="78"/>
      <c r="I440" s="48" t="s">
        <v>176</v>
      </c>
      <c r="J440" s="48" t="s">
        <v>28</v>
      </c>
      <c r="K440" s="48" t="s">
        <v>35</v>
      </c>
      <c r="L440" s="48" t="s">
        <v>106</v>
      </c>
      <c r="M440" s="48" t="s">
        <v>191</v>
      </c>
      <c r="N440" s="48" t="s">
        <v>191</v>
      </c>
      <c r="O440" s="48" t="s">
        <v>191</v>
      </c>
      <c r="P440" s="48" t="s">
        <v>303</v>
      </c>
      <c r="Q440" s="38" t="s">
        <v>29</v>
      </c>
      <c r="R440" s="48" t="s">
        <v>33</v>
      </c>
      <c r="S440" s="48" t="s">
        <v>30</v>
      </c>
      <c r="T440" s="55"/>
    </row>
    <row r="441" spans="1:20" ht="15.95" customHeight="1" x14ac:dyDescent="0.2">
      <c r="A441" s="34"/>
      <c r="B441" s="25" t="s">
        <v>5</v>
      </c>
      <c r="C441" s="2">
        <f>D441+E441+F441+G441++H441</f>
        <v>265000</v>
      </c>
      <c r="D441" s="1">
        <f>D442+D443+D444</f>
        <v>0</v>
      </c>
      <c r="E441" s="1">
        <f t="shared" ref="E441:F441" si="88">E442+E443+E444</f>
        <v>0</v>
      </c>
      <c r="F441" s="1">
        <f t="shared" si="88"/>
        <v>15000</v>
      </c>
      <c r="G441" s="1">
        <f t="shared" ref="G441:H441" si="89">G442+G443+G444</f>
        <v>150000</v>
      </c>
      <c r="H441" s="1">
        <f t="shared" si="89"/>
        <v>100000</v>
      </c>
      <c r="I441" s="48"/>
      <c r="J441" s="48"/>
      <c r="K441" s="48"/>
      <c r="L441" s="48"/>
      <c r="M441" s="48"/>
      <c r="N441" s="48"/>
      <c r="O441" s="48"/>
      <c r="P441" s="48"/>
      <c r="Q441" s="38"/>
      <c r="R441" s="48"/>
      <c r="S441" s="48"/>
      <c r="T441" s="55"/>
    </row>
    <row r="442" spans="1:20" ht="15.95" customHeight="1" x14ac:dyDescent="0.2">
      <c r="A442" s="34"/>
      <c r="B442" s="25" t="s">
        <v>0</v>
      </c>
      <c r="C442" s="2">
        <f>D442+E442+F442+G442++H442</f>
        <v>0</v>
      </c>
      <c r="D442" s="1"/>
      <c r="E442" s="1"/>
      <c r="F442" s="1"/>
      <c r="G442" s="1"/>
      <c r="H442" s="1"/>
      <c r="I442" s="48"/>
      <c r="J442" s="48"/>
      <c r="K442" s="48"/>
      <c r="L442" s="48"/>
      <c r="M442" s="48"/>
      <c r="N442" s="48"/>
      <c r="O442" s="48"/>
      <c r="P442" s="48"/>
      <c r="Q442" s="38"/>
      <c r="R442" s="48"/>
      <c r="S442" s="48"/>
      <c r="T442" s="55"/>
    </row>
    <row r="443" spans="1:20" ht="15.95" customHeight="1" x14ac:dyDescent="0.2">
      <c r="A443" s="34"/>
      <c r="B443" s="25" t="s">
        <v>1</v>
      </c>
      <c r="C443" s="2">
        <f>D443+E443+F443+G443++H443</f>
        <v>265000</v>
      </c>
      <c r="D443" s="1"/>
      <c r="E443" s="1"/>
      <c r="F443" s="1">
        <v>15000</v>
      </c>
      <c r="G443" s="1">
        <v>150000</v>
      </c>
      <c r="H443" s="1">
        <v>100000</v>
      </c>
      <c r="I443" s="48"/>
      <c r="J443" s="48"/>
      <c r="K443" s="48"/>
      <c r="L443" s="48"/>
      <c r="M443" s="48"/>
      <c r="N443" s="48"/>
      <c r="O443" s="48"/>
      <c r="P443" s="48"/>
      <c r="Q443" s="38"/>
      <c r="R443" s="48"/>
      <c r="S443" s="48"/>
      <c r="T443" s="55"/>
    </row>
    <row r="444" spans="1:20" ht="15.95" customHeight="1" x14ac:dyDescent="0.2">
      <c r="A444" s="34"/>
      <c r="B444" s="25" t="s">
        <v>2</v>
      </c>
      <c r="C444" s="2"/>
      <c r="D444" s="1"/>
      <c r="E444" s="1"/>
      <c r="F444" s="1"/>
      <c r="G444" s="1"/>
      <c r="H444" s="1"/>
      <c r="I444" s="48"/>
      <c r="J444" s="48"/>
      <c r="K444" s="48"/>
      <c r="L444" s="48"/>
      <c r="M444" s="48"/>
      <c r="N444" s="48"/>
      <c r="O444" s="48"/>
      <c r="P444" s="48"/>
      <c r="Q444" s="38"/>
      <c r="R444" s="48"/>
      <c r="S444" s="48"/>
      <c r="T444" s="55"/>
    </row>
    <row r="445" spans="1:20" ht="15.95" customHeight="1" x14ac:dyDescent="0.2">
      <c r="A445" s="34"/>
      <c r="B445" s="25" t="s">
        <v>3</v>
      </c>
      <c r="C445" s="2"/>
      <c r="D445" s="1"/>
      <c r="E445" s="1"/>
      <c r="F445" s="1"/>
      <c r="G445" s="1"/>
      <c r="H445" s="1"/>
      <c r="I445" s="48"/>
      <c r="J445" s="48"/>
      <c r="K445" s="48"/>
      <c r="L445" s="48"/>
      <c r="M445" s="48"/>
      <c r="N445" s="48"/>
      <c r="O445" s="48"/>
      <c r="P445" s="48"/>
      <c r="Q445" s="38"/>
      <c r="R445" s="48"/>
      <c r="S445" s="48"/>
      <c r="T445" s="55"/>
    </row>
    <row r="446" spans="1:20" ht="15.95" customHeight="1" x14ac:dyDescent="0.2">
      <c r="A446" s="34" t="s">
        <v>296</v>
      </c>
      <c r="B446" s="78" t="s">
        <v>191</v>
      </c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9"/>
    </row>
    <row r="447" spans="1:20" ht="15.95" customHeight="1" x14ac:dyDescent="0.2">
      <c r="A447" s="34"/>
      <c r="B447" s="50" t="s">
        <v>297</v>
      </c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1"/>
    </row>
    <row r="448" spans="1:20" ht="45" customHeight="1" x14ac:dyDescent="0.2">
      <c r="A448" s="34"/>
      <c r="B448" s="50" t="s">
        <v>816</v>
      </c>
      <c r="C448" s="50"/>
      <c r="D448" s="50"/>
      <c r="E448" s="50"/>
      <c r="F448" s="50"/>
      <c r="G448" s="50"/>
      <c r="H448" s="1"/>
      <c r="I448" s="48" t="s">
        <v>176</v>
      </c>
      <c r="J448" s="48" t="s">
        <v>28</v>
      </c>
      <c r="K448" s="48" t="s">
        <v>35</v>
      </c>
      <c r="L448" s="48" t="s">
        <v>301</v>
      </c>
      <c r="M448" s="48" t="s">
        <v>191</v>
      </c>
      <c r="N448" s="48" t="s">
        <v>191</v>
      </c>
      <c r="O448" s="48" t="s">
        <v>191</v>
      </c>
      <c r="P448" s="48" t="s">
        <v>302</v>
      </c>
      <c r="Q448" s="38" t="s">
        <v>29</v>
      </c>
      <c r="R448" s="48" t="s">
        <v>304</v>
      </c>
      <c r="S448" s="48" t="s">
        <v>30</v>
      </c>
      <c r="T448" s="55"/>
    </row>
    <row r="449" spans="1:20" ht="15.95" customHeight="1" x14ac:dyDescent="0.2">
      <c r="A449" s="34"/>
      <c r="B449" s="25" t="s">
        <v>5</v>
      </c>
      <c r="C449" s="2">
        <f>D449+E449+F449+G449+H449</f>
        <v>120000</v>
      </c>
      <c r="D449" s="1">
        <f>D450+D451</f>
        <v>0</v>
      </c>
      <c r="E449" s="1">
        <f t="shared" ref="E449:F449" si="90">E450+E451</f>
        <v>0</v>
      </c>
      <c r="F449" s="1">
        <f t="shared" si="90"/>
        <v>10000</v>
      </c>
      <c r="G449" s="1">
        <f t="shared" ref="G449:H449" si="91">G450+G451</f>
        <v>80000</v>
      </c>
      <c r="H449" s="1">
        <f t="shared" si="91"/>
        <v>30000</v>
      </c>
      <c r="I449" s="48"/>
      <c r="J449" s="48"/>
      <c r="K449" s="48"/>
      <c r="L449" s="48"/>
      <c r="M449" s="48"/>
      <c r="N449" s="48"/>
      <c r="O449" s="48"/>
      <c r="P449" s="48"/>
      <c r="Q449" s="38"/>
      <c r="R449" s="48"/>
      <c r="S449" s="48"/>
      <c r="T449" s="55"/>
    </row>
    <row r="450" spans="1:20" ht="15.95" customHeight="1" x14ac:dyDescent="0.2">
      <c r="A450" s="34"/>
      <c r="B450" s="25" t="s">
        <v>0</v>
      </c>
      <c r="C450" s="2">
        <f>D450+E450+F450+G450+H450</f>
        <v>0</v>
      </c>
      <c r="D450" s="1"/>
      <c r="E450" s="1"/>
      <c r="F450" s="1">
        <v>0</v>
      </c>
      <c r="G450" s="1">
        <v>0</v>
      </c>
      <c r="H450" s="1">
        <v>0</v>
      </c>
      <c r="I450" s="48"/>
      <c r="J450" s="48"/>
      <c r="K450" s="48"/>
      <c r="L450" s="48"/>
      <c r="M450" s="48"/>
      <c r="N450" s="48"/>
      <c r="O450" s="48"/>
      <c r="P450" s="48"/>
      <c r="Q450" s="38"/>
      <c r="R450" s="48"/>
      <c r="S450" s="48"/>
      <c r="T450" s="55"/>
    </row>
    <row r="451" spans="1:20" ht="15.95" customHeight="1" x14ac:dyDescent="0.2">
      <c r="A451" s="34"/>
      <c r="B451" s="25" t="s">
        <v>1</v>
      </c>
      <c r="C451" s="2">
        <f>D451+E451+F451+G451+H451</f>
        <v>120000</v>
      </c>
      <c r="D451" s="1"/>
      <c r="E451" s="1"/>
      <c r="F451" s="1">
        <v>10000</v>
      </c>
      <c r="G451" s="1">
        <v>80000</v>
      </c>
      <c r="H451" s="1">
        <v>30000</v>
      </c>
      <c r="I451" s="48"/>
      <c r="J451" s="48"/>
      <c r="K451" s="48"/>
      <c r="L451" s="48"/>
      <c r="M451" s="48"/>
      <c r="N451" s="48"/>
      <c r="O451" s="48"/>
      <c r="P451" s="48"/>
      <c r="Q451" s="38"/>
      <c r="R451" s="48"/>
      <c r="S451" s="48"/>
      <c r="T451" s="55"/>
    </row>
    <row r="452" spans="1:20" ht="15.95" customHeight="1" x14ac:dyDescent="0.2">
      <c r="A452" s="34"/>
      <c r="B452" s="25" t="s">
        <v>2</v>
      </c>
      <c r="C452" s="2"/>
      <c r="D452" s="1"/>
      <c r="E452" s="1"/>
      <c r="F452" s="1"/>
      <c r="G452" s="1"/>
      <c r="H452" s="1"/>
      <c r="I452" s="48"/>
      <c r="J452" s="48"/>
      <c r="K452" s="48"/>
      <c r="L452" s="48"/>
      <c r="M452" s="48"/>
      <c r="N452" s="48"/>
      <c r="O452" s="48"/>
      <c r="P452" s="48"/>
      <c r="Q452" s="38"/>
      <c r="R452" s="48"/>
      <c r="S452" s="48"/>
      <c r="T452" s="55"/>
    </row>
    <row r="453" spans="1:20" ht="15.95" customHeight="1" x14ac:dyDescent="0.2">
      <c r="A453" s="34"/>
      <c r="B453" s="25" t="s">
        <v>3</v>
      </c>
      <c r="C453" s="2"/>
      <c r="D453" s="1"/>
      <c r="E453" s="1"/>
      <c r="F453" s="1"/>
      <c r="G453" s="1"/>
      <c r="H453" s="1"/>
      <c r="I453" s="48"/>
      <c r="J453" s="48"/>
      <c r="K453" s="48"/>
      <c r="L453" s="48"/>
      <c r="M453" s="48"/>
      <c r="N453" s="48"/>
      <c r="O453" s="48"/>
      <c r="P453" s="48"/>
      <c r="Q453" s="38"/>
      <c r="R453" s="48"/>
      <c r="S453" s="48"/>
      <c r="T453" s="55"/>
    </row>
    <row r="454" spans="1:20" ht="15.95" customHeight="1" x14ac:dyDescent="0.2">
      <c r="A454" s="102" t="s">
        <v>63</v>
      </c>
      <c r="B454" s="50" t="s">
        <v>267</v>
      </c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1"/>
    </row>
    <row r="455" spans="1:20" ht="15.95" customHeight="1" x14ac:dyDescent="0.2">
      <c r="A455" s="103"/>
      <c r="B455" s="31" t="s">
        <v>5</v>
      </c>
      <c r="C455" s="3">
        <f>SUM(C456:C461)</f>
        <v>1338330.6131309001</v>
      </c>
      <c r="D455" s="3">
        <f>SUM(D456:D461)</f>
        <v>725965.08155</v>
      </c>
      <c r="E455" s="3">
        <f t="shared" ref="E455:H455" si="92">SUM(E456:E461)</f>
        <v>34777.671450000002</v>
      </c>
      <c r="F455" s="3">
        <f t="shared" si="92"/>
        <v>492494.89013090002</v>
      </c>
      <c r="G455" s="3">
        <f t="shared" si="92"/>
        <v>85092.97</v>
      </c>
      <c r="H455" s="3">
        <f t="shared" si="92"/>
        <v>0</v>
      </c>
      <c r="I455" s="105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1"/>
    </row>
    <row r="456" spans="1:20" ht="15.95" customHeight="1" x14ac:dyDescent="0.2">
      <c r="A456" s="103"/>
      <c r="B456" s="31" t="s">
        <v>0</v>
      </c>
      <c r="C456" s="3">
        <f>D456+E456+F456+H456+G456</f>
        <v>668047.1</v>
      </c>
      <c r="D456" s="3">
        <f>D466+D474+D482+D490+D498+D506</f>
        <v>490937.59999999998</v>
      </c>
      <c r="E456" s="3">
        <f t="shared" ref="E456:H456" si="93">E466+E474+E482+E490+E498</f>
        <v>32708.400000000001</v>
      </c>
      <c r="F456" s="3">
        <f t="shared" si="93"/>
        <v>144401.09999999998</v>
      </c>
      <c r="G456" s="3">
        <f t="shared" si="93"/>
        <v>0</v>
      </c>
      <c r="H456" s="3">
        <f t="shared" si="93"/>
        <v>0</v>
      </c>
      <c r="I456" s="106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3"/>
    </row>
    <row r="457" spans="1:20" ht="15.95" customHeight="1" x14ac:dyDescent="0.2">
      <c r="A457" s="103"/>
      <c r="B457" s="31" t="s">
        <v>1</v>
      </c>
      <c r="C457" s="3">
        <f>D457+E457+F457+H457+G457</f>
        <v>430138.78148090001</v>
      </c>
      <c r="D457" s="3">
        <f t="shared" ref="D457:D459" si="94">D467+D475+D483+D491+D499+D507</f>
        <v>6105.5767699999997</v>
      </c>
      <c r="E457" s="3">
        <f t="shared" ref="E457:H459" si="95">E467+E475+E483+E491+E499</f>
        <v>330.38788</v>
      </c>
      <c r="F457" s="3">
        <f t="shared" si="95"/>
        <v>342864.49683090003</v>
      </c>
      <c r="G457" s="3">
        <f t="shared" si="95"/>
        <v>80838.320000000007</v>
      </c>
      <c r="H457" s="3">
        <f t="shared" si="95"/>
        <v>0</v>
      </c>
      <c r="I457" s="106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3"/>
    </row>
    <row r="458" spans="1:20" ht="15.95" customHeight="1" x14ac:dyDescent="0.2">
      <c r="A458" s="103"/>
      <c r="B458" s="31" t="s">
        <v>2</v>
      </c>
      <c r="C458" s="3">
        <f>D458+E458+F458+H458+G458</f>
        <v>26444.731650000002</v>
      </c>
      <c r="D458" s="3">
        <f t="shared" si="94"/>
        <v>15221.904780000001</v>
      </c>
      <c r="E458" s="3">
        <f t="shared" si="95"/>
        <v>1738.88357</v>
      </c>
      <c r="F458" s="3">
        <f t="shared" si="95"/>
        <v>5229.2932999999994</v>
      </c>
      <c r="G458" s="3">
        <f t="shared" si="95"/>
        <v>4254.6499999999996</v>
      </c>
      <c r="H458" s="3">
        <f t="shared" si="95"/>
        <v>0</v>
      </c>
      <c r="I458" s="106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3"/>
    </row>
    <row r="459" spans="1:20" ht="15.95" customHeight="1" x14ac:dyDescent="0.2">
      <c r="A459" s="103"/>
      <c r="B459" s="31" t="s">
        <v>3</v>
      </c>
      <c r="C459" s="3">
        <f>D459+E459+F459+H459+G459</f>
        <v>0</v>
      </c>
      <c r="D459" s="3">
        <f t="shared" si="94"/>
        <v>0</v>
      </c>
      <c r="E459" s="3">
        <f t="shared" si="95"/>
        <v>0</v>
      </c>
      <c r="F459" s="3">
        <f t="shared" si="95"/>
        <v>0</v>
      </c>
      <c r="G459" s="3">
        <f t="shared" si="95"/>
        <v>0</v>
      </c>
      <c r="H459" s="3">
        <f t="shared" si="95"/>
        <v>0</v>
      </c>
      <c r="I459" s="106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3"/>
    </row>
    <row r="460" spans="1:20" ht="31.5" customHeight="1" x14ac:dyDescent="0.2">
      <c r="A460" s="103"/>
      <c r="B460" s="31" t="s">
        <v>785</v>
      </c>
      <c r="C460" s="3">
        <f t="shared" ref="C460:C461" si="96">D460+E460+F460+H460+G460</f>
        <v>169543.5</v>
      </c>
      <c r="D460" s="3">
        <f>D510</f>
        <v>169543.5</v>
      </c>
      <c r="E460" s="3">
        <f t="shared" ref="E460:H460" si="97">E510</f>
        <v>0</v>
      </c>
      <c r="F460" s="3">
        <f t="shared" si="97"/>
        <v>0</v>
      </c>
      <c r="G460" s="3">
        <f t="shared" si="97"/>
        <v>0</v>
      </c>
      <c r="H460" s="3">
        <f t="shared" si="97"/>
        <v>0</v>
      </c>
      <c r="I460" s="106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3"/>
    </row>
    <row r="461" spans="1:20" ht="32.25" customHeight="1" x14ac:dyDescent="0.2">
      <c r="A461" s="104"/>
      <c r="B461" s="31" t="s">
        <v>786</v>
      </c>
      <c r="C461" s="3">
        <f t="shared" si="96"/>
        <v>44156.5</v>
      </c>
      <c r="D461" s="3">
        <f>D511</f>
        <v>44156.5</v>
      </c>
      <c r="E461" s="3">
        <f t="shared" ref="E461:H461" si="98">E511</f>
        <v>0</v>
      </c>
      <c r="F461" s="3">
        <f t="shared" si="98"/>
        <v>0</v>
      </c>
      <c r="G461" s="3">
        <f t="shared" si="98"/>
        <v>0</v>
      </c>
      <c r="H461" s="3">
        <f t="shared" si="98"/>
        <v>0</v>
      </c>
      <c r="I461" s="107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9"/>
    </row>
    <row r="462" spans="1:20" ht="15.95" customHeight="1" x14ac:dyDescent="0.2">
      <c r="A462" s="34" t="s">
        <v>114</v>
      </c>
      <c r="B462" s="78" t="s">
        <v>85</v>
      </c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9"/>
    </row>
    <row r="463" spans="1:20" ht="15.95" customHeight="1" x14ac:dyDescent="0.2">
      <c r="A463" s="34" t="s">
        <v>57</v>
      </c>
      <c r="B463" s="50" t="s">
        <v>268</v>
      </c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1"/>
    </row>
    <row r="464" spans="1:20" ht="45" customHeight="1" x14ac:dyDescent="0.2">
      <c r="A464" s="34"/>
      <c r="B464" s="78" t="s">
        <v>216</v>
      </c>
      <c r="C464" s="78"/>
      <c r="D464" s="78"/>
      <c r="E464" s="78"/>
      <c r="F464" s="78"/>
      <c r="G464" s="78"/>
      <c r="H464" s="78"/>
      <c r="I464" s="48" t="s">
        <v>23</v>
      </c>
      <c r="J464" s="48" t="s">
        <v>19</v>
      </c>
      <c r="K464" s="48" t="s">
        <v>40</v>
      </c>
      <c r="L464" s="48" t="s">
        <v>172</v>
      </c>
      <c r="M464" s="48" t="s">
        <v>33</v>
      </c>
      <c r="N464" s="48" t="s">
        <v>72</v>
      </c>
      <c r="O464" s="48" t="s">
        <v>370</v>
      </c>
      <c r="P464" s="38" t="s">
        <v>377</v>
      </c>
      <c r="Q464" s="48" t="s">
        <v>7</v>
      </c>
      <c r="R464" s="48" t="s">
        <v>48</v>
      </c>
      <c r="S464" s="48" t="s">
        <v>30</v>
      </c>
      <c r="T464" s="55"/>
    </row>
    <row r="465" spans="1:20" ht="15.95" customHeight="1" x14ac:dyDescent="0.2">
      <c r="A465" s="34"/>
      <c r="B465" s="25" t="s">
        <v>5</v>
      </c>
      <c r="C465" s="2">
        <f t="shared" ref="C465:C469" si="99">D465+E465+F465+G465+H465</f>
        <v>353057.73261999997</v>
      </c>
      <c r="D465" s="2">
        <f>SUM(D466:D469)</f>
        <v>207198.03665999998</v>
      </c>
      <c r="E465" s="2">
        <f>SUM(E466:E469)</f>
        <v>0</v>
      </c>
      <c r="F465" s="2">
        <f t="shared" ref="F465:G465" si="100">SUM(F466:F469)</f>
        <v>145859.69595999998</v>
      </c>
      <c r="G465" s="2">
        <f t="shared" si="100"/>
        <v>0</v>
      </c>
      <c r="H465" s="1">
        <f t="shared" ref="H465" si="101">SUM(H466:H469)</f>
        <v>0</v>
      </c>
      <c r="I465" s="48"/>
      <c r="J465" s="48"/>
      <c r="K465" s="48"/>
      <c r="L465" s="48"/>
      <c r="M465" s="48"/>
      <c r="N465" s="48"/>
      <c r="O465" s="48"/>
      <c r="P465" s="38"/>
      <c r="Q465" s="48"/>
      <c r="R465" s="48"/>
      <c r="S465" s="48"/>
      <c r="T465" s="55"/>
    </row>
    <row r="466" spans="1:20" ht="15.95" customHeight="1" x14ac:dyDescent="0.2">
      <c r="A466" s="34"/>
      <c r="B466" s="25" t="s">
        <v>0</v>
      </c>
      <c r="C466" s="2">
        <f t="shared" si="99"/>
        <v>349014.67099999997</v>
      </c>
      <c r="D466" s="1">
        <v>204613.571</v>
      </c>
      <c r="E466" s="1"/>
      <c r="F466" s="1">
        <f>143503.8+897.3</f>
        <v>144401.09999999998</v>
      </c>
      <c r="G466" s="1"/>
      <c r="H466" s="1"/>
      <c r="I466" s="48"/>
      <c r="J466" s="48"/>
      <c r="K466" s="48"/>
      <c r="L466" s="48"/>
      <c r="M466" s="48"/>
      <c r="N466" s="48"/>
      <c r="O466" s="48"/>
      <c r="P466" s="38"/>
      <c r="Q466" s="48"/>
      <c r="R466" s="48"/>
      <c r="S466" s="48"/>
      <c r="T466" s="55"/>
    </row>
    <row r="467" spans="1:20" ht="15.95" customHeight="1" x14ac:dyDescent="0.2">
      <c r="A467" s="34"/>
      <c r="B467" s="25" t="s">
        <v>1</v>
      </c>
      <c r="C467" s="2">
        <f t="shared" si="99"/>
        <v>4043.0616199999995</v>
      </c>
      <c r="D467" s="1">
        <v>2584.4656599999998</v>
      </c>
      <c r="E467" s="1"/>
      <c r="F467" s="1">
        <f>1449.53333+9.06263</f>
        <v>1458.5959599999999</v>
      </c>
      <c r="G467" s="1"/>
      <c r="H467" s="1"/>
      <c r="I467" s="48"/>
      <c r="J467" s="48"/>
      <c r="K467" s="48"/>
      <c r="L467" s="48"/>
      <c r="M467" s="48"/>
      <c r="N467" s="48"/>
      <c r="O467" s="48"/>
      <c r="P467" s="38"/>
      <c r="Q467" s="48"/>
      <c r="R467" s="48"/>
      <c r="S467" s="48"/>
      <c r="T467" s="55"/>
    </row>
    <row r="468" spans="1:20" ht="15.95" customHeight="1" x14ac:dyDescent="0.2">
      <c r="A468" s="34"/>
      <c r="B468" s="25" t="s">
        <v>2</v>
      </c>
      <c r="C468" s="2">
        <f t="shared" si="99"/>
        <v>0</v>
      </c>
      <c r="D468" s="1"/>
      <c r="E468" s="1"/>
      <c r="F468" s="1"/>
      <c r="G468" s="1"/>
      <c r="H468" s="1"/>
      <c r="I468" s="48"/>
      <c r="J468" s="48"/>
      <c r="K468" s="48"/>
      <c r="L468" s="48"/>
      <c r="M468" s="48"/>
      <c r="N468" s="48"/>
      <c r="O468" s="48"/>
      <c r="P468" s="38"/>
      <c r="Q468" s="48"/>
      <c r="R468" s="48"/>
      <c r="S468" s="48"/>
      <c r="T468" s="55"/>
    </row>
    <row r="469" spans="1:20" ht="15.95" customHeight="1" x14ac:dyDescent="0.2">
      <c r="A469" s="34"/>
      <c r="B469" s="25" t="s">
        <v>3</v>
      </c>
      <c r="C469" s="2">
        <f t="shared" si="99"/>
        <v>0</v>
      </c>
      <c r="D469" s="1"/>
      <c r="E469" s="1"/>
      <c r="F469" s="1"/>
      <c r="G469" s="1"/>
      <c r="H469" s="1"/>
      <c r="I469" s="48"/>
      <c r="J469" s="48"/>
      <c r="K469" s="48"/>
      <c r="L469" s="48"/>
      <c r="M469" s="48"/>
      <c r="N469" s="48"/>
      <c r="O469" s="48"/>
      <c r="P469" s="38"/>
      <c r="Q469" s="48"/>
      <c r="R469" s="48"/>
      <c r="S469" s="48"/>
      <c r="T469" s="55"/>
    </row>
    <row r="470" spans="1:20" ht="15.95" customHeight="1" x14ac:dyDescent="0.2">
      <c r="A470" s="34" t="s">
        <v>115</v>
      </c>
      <c r="B470" s="78" t="s">
        <v>85</v>
      </c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9"/>
    </row>
    <row r="471" spans="1:20" ht="15.95" customHeight="1" x14ac:dyDescent="0.2">
      <c r="A471" s="34" t="s">
        <v>57</v>
      </c>
      <c r="B471" s="50" t="s">
        <v>268</v>
      </c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1"/>
    </row>
    <row r="472" spans="1:20" ht="45" customHeight="1" x14ac:dyDescent="0.2">
      <c r="A472" s="34"/>
      <c r="B472" s="80" t="s">
        <v>306</v>
      </c>
      <c r="C472" s="80" t="s">
        <v>307</v>
      </c>
      <c r="D472" s="80"/>
      <c r="E472" s="80"/>
      <c r="F472" s="80"/>
      <c r="G472" s="80"/>
      <c r="H472" s="80"/>
      <c r="I472" s="48" t="s">
        <v>28</v>
      </c>
      <c r="J472" s="48"/>
      <c r="K472" s="48" t="s">
        <v>40</v>
      </c>
      <c r="L472" s="48" t="s">
        <v>308</v>
      </c>
      <c r="M472" s="48" t="s">
        <v>33</v>
      </c>
      <c r="N472" s="48" t="s">
        <v>72</v>
      </c>
      <c r="O472" s="48" t="s">
        <v>72</v>
      </c>
      <c r="P472" s="38" t="s">
        <v>309</v>
      </c>
      <c r="Q472" s="48" t="s">
        <v>7</v>
      </c>
      <c r="R472" s="48" t="s">
        <v>33</v>
      </c>
      <c r="S472" s="48" t="s">
        <v>30</v>
      </c>
      <c r="T472" s="55" t="s">
        <v>310</v>
      </c>
    </row>
    <row r="473" spans="1:20" ht="15.95" customHeight="1" x14ac:dyDescent="0.2">
      <c r="A473" s="34"/>
      <c r="B473" s="25" t="s">
        <v>5</v>
      </c>
      <c r="C473" s="2">
        <f t="shared" ref="C473:C477" si="102">D473+E473+F473+G473+H473</f>
        <v>19492.865699999998</v>
      </c>
      <c r="D473" s="2">
        <f t="shared" ref="D473:G473" si="103">SUM(D474:D477)</f>
        <v>0</v>
      </c>
      <c r="E473" s="2">
        <f t="shared" si="103"/>
        <v>0</v>
      </c>
      <c r="F473" s="2">
        <f t="shared" si="103"/>
        <v>19492.865699999998</v>
      </c>
      <c r="G473" s="2">
        <f t="shared" si="103"/>
        <v>0</v>
      </c>
      <c r="H473" s="1">
        <f t="shared" ref="H473" si="104">SUM(H474:H477)</f>
        <v>0</v>
      </c>
      <c r="I473" s="48"/>
      <c r="J473" s="48"/>
      <c r="K473" s="48"/>
      <c r="L473" s="48"/>
      <c r="M473" s="48"/>
      <c r="N473" s="48"/>
      <c r="O473" s="48"/>
      <c r="P473" s="38"/>
      <c r="Q473" s="48"/>
      <c r="R473" s="48"/>
      <c r="S473" s="48"/>
      <c r="T473" s="55"/>
    </row>
    <row r="474" spans="1:20" ht="15.95" customHeight="1" x14ac:dyDescent="0.2">
      <c r="A474" s="34"/>
      <c r="B474" s="25" t="s">
        <v>0</v>
      </c>
      <c r="C474" s="2">
        <f t="shared" si="102"/>
        <v>0</v>
      </c>
      <c r="D474" s="1"/>
      <c r="E474" s="1"/>
      <c r="F474" s="1"/>
      <c r="G474" s="1"/>
      <c r="H474" s="3"/>
      <c r="I474" s="48"/>
      <c r="J474" s="48"/>
      <c r="K474" s="48"/>
      <c r="L474" s="48"/>
      <c r="M474" s="48"/>
      <c r="N474" s="48"/>
      <c r="O474" s="48"/>
      <c r="P474" s="38"/>
      <c r="Q474" s="48"/>
      <c r="R474" s="48"/>
      <c r="S474" s="48"/>
      <c r="T474" s="55"/>
    </row>
    <row r="475" spans="1:20" ht="15.95" customHeight="1" x14ac:dyDescent="0.2">
      <c r="A475" s="34"/>
      <c r="B475" s="25" t="s">
        <v>1</v>
      </c>
      <c r="C475" s="2">
        <f t="shared" si="102"/>
        <v>18518.222399999999</v>
      </c>
      <c r="D475" s="1"/>
      <c r="E475" s="1"/>
      <c r="F475" s="1">
        <v>18518.222399999999</v>
      </c>
      <c r="G475" s="1"/>
      <c r="H475" s="3"/>
      <c r="I475" s="48"/>
      <c r="J475" s="48"/>
      <c r="K475" s="48"/>
      <c r="L475" s="48"/>
      <c r="M475" s="48"/>
      <c r="N475" s="48"/>
      <c r="O475" s="48"/>
      <c r="P475" s="38"/>
      <c r="Q475" s="48"/>
      <c r="R475" s="48"/>
      <c r="S475" s="48"/>
      <c r="T475" s="55"/>
    </row>
    <row r="476" spans="1:20" ht="15.95" customHeight="1" x14ac:dyDescent="0.2">
      <c r="A476" s="34"/>
      <c r="B476" s="25" t="s">
        <v>2</v>
      </c>
      <c r="C476" s="2">
        <f t="shared" si="102"/>
        <v>974.64329999999995</v>
      </c>
      <c r="D476" s="1"/>
      <c r="E476" s="1"/>
      <c r="F476" s="1">
        <v>974.64329999999995</v>
      </c>
      <c r="G476" s="1"/>
      <c r="H476" s="3"/>
      <c r="I476" s="48"/>
      <c r="J476" s="48"/>
      <c r="K476" s="48"/>
      <c r="L476" s="48"/>
      <c r="M476" s="48"/>
      <c r="N476" s="48"/>
      <c r="O476" s="48"/>
      <c r="P476" s="38"/>
      <c r="Q476" s="48"/>
      <c r="R476" s="48"/>
      <c r="S476" s="48"/>
      <c r="T476" s="55"/>
    </row>
    <row r="477" spans="1:20" ht="15.95" customHeight="1" x14ac:dyDescent="0.2">
      <c r="A477" s="34"/>
      <c r="B477" s="25" t="s">
        <v>3</v>
      </c>
      <c r="C477" s="2">
        <f t="shared" si="102"/>
        <v>0</v>
      </c>
      <c r="D477" s="1"/>
      <c r="E477" s="1"/>
      <c r="F477" s="1"/>
      <c r="G477" s="1"/>
      <c r="H477" s="3"/>
      <c r="I477" s="48"/>
      <c r="J477" s="48"/>
      <c r="K477" s="48"/>
      <c r="L477" s="48"/>
      <c r="M477" s="48"/>
      <c r="N477" s="48"/>
      <c r="O477" s="48"/>
      <c r="P477" s="38"/>
      <c r="Q477" s="48"/>
      <c r="R477" s="48"/>
      <c r="S477" s="48"/>
      <c r="T477" s="55"/>
    </row>
    <row r="478" spans="1:20" ht="15.95" customHeight="1" x14ac:dyDescent="0.2">
      <c r="A478" s="34" t="s">
        <v>152</v>
      </c>
      <c r="B478" s="78" t="s">
        <v>85</v>
      </c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9"/>
    </row>
    <row r="479" spans="1:20" ht="15.95" customHeight="1" x14ac:dyDescent="0.2">
      <c r="A479" s="34" t="s">
        <v>57</v>
      </c>
      <c r="B479" s="50" t="s">
        <v>268</v>
      </c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1"/>
    </row>
    <row r="480" spans="1:20" ht="45" customHeight="1" x14ac:dyDescent="0.2">
      <c r="A480" s="34"/>
      <c r="B480" s="80" t="s">
        <v>464</v>
      </c>
      <c r="C480" s="80" t="s">
        <v>307</v>
      </c>
      <c r="D480" s="80"/>
      <c r="E480" s="80"/>
      <c r="F480" s="80"/>
      <c r="G480" s="80"/>
      <c r="H480" s="80"/>
      <c r="I480" s="48" t="s">
        <v>42</v>
      </c>
      <c r="J480" s="48"/>
      <c r="K480" s="48" t="s">
        <v>40</v>
      </c>
      <c r="L480" s="48" t="s">
        <v>723</v>
      </c>
      <c r="M480" s="48" t="s">
        <v>33</v>
      </c>
      <c r="N480" s="48" t="s">
        <v>72</v>
      </c>
      <c r="O480" s="48" t="s">
        <v>72</v>
      </c>
      <c r="P480" s="38" t="s">
        <v>724</v>
      </c>
      <c r="Q480" s="48" t="s">
        <v>7</v>
      </c>
      <c r="R480" s="48" t="s">
        <v>33</v>
      </c>
      <c r="S480" s="48" t="s">
        <v>30</v>
      </c>
      <c r="T480" s="55" t="s">
        <v>725</v>
      </c>
    </row>
    <row r="481" spans="1:20" ht="15.95" customHeight="1" x14ac:dyDescent="0.2">
      <c r="A481" s="34"/>
      <c r="B481" s="25" t="s">
        <v>5</v>
      </c>
      <c r="C481" s="2">
        <f>D481+E481+F481+H481+G481</f>
        <v>510030.65633999999</v>
      </c>
      <c r="D481" s="1">
        <f>D482+D483+D484</f>
        <v>305067.04488999996</v>
      </c>
      <c r="E481" s="1">
        <f t="shared" ref="E481:H481" si="105">E482+E483+E484</f>
        <v>34777.671450000002</v>
      </c>
      <c r="F481" s="1">
        <f t="shared" si="105"/>
        <v>85092.97</v>
      </c>
      <c r="G481" s="1">
        <f t="shared" si="105"/>
        <v>85092.97</v>
      </c>
      <c r="H481" s="1">
        <f t="shared" si="105"/>
        <v>0</v>
      </c>
      <c r="I481" s="48"/>
      <c r="J481" s="48"/>
      <c r="K481" s="48"/>
      <c r="L481" s="48"/>
      <c r="M481" s="48"/>
      <c r="N481" s="48"/>
      <c r="O481" s="48"/>
      <c r="P481" s="38"/>
      <c r="Q481" s="48"/>
      <c r="R481" s="48"/>
      <c r="S481" s="48"/>
      <c r="T481" s="55"/>
    </row>
    <row r="482" spans="1:20" ht="15.95" customHeight="1" x14ac:dyDescent="0.2">
      <c r="A482" s="34"/>
      <c r="B482" s="25" t="s">
        <v>0</v>
      </c>
      <c r="C482" s="2">
        <f>D482+E482+F482+H482+G482</f>
        <v>319032.429</v>
      </c>
      <c r="D482" s="1">
        <f>0+286324.029</f>
        <v>286324.02899999998</v>
      </c>
      <c r="E482" s="1">
        <f>0+32708.4</f>
        <v>32708.400000000001</v>
      </c>
      <c r="F482" s="1"/>
      <c r="G482" s="1"/>
      <c r="H482" s="3"/>
      <c r="I482" s="48"/>
      <c r="J482" s="48"/>
      <c r="K482" s="48"/>
      <c r="L482" s="48"/>
      <c r="M482" s="48"/>
      <c r="N482" s="48"/>
      <c r="O482" s="48"/>
      <c r="P482" s="38"/>
      <c r="Q482" s="48"/>
      <c r="R482" s="48"/>
      <c r="S482" s="48"/>
      <c r="T482" s="55"/>
    </row>
    <row r="483" spans="1:20" ht="15.95" customHeight="1" x14ac:dyDescent="0.2">
      <c r="A483" s="34"/>
      <c r="B483" s="25" t="s">
        <v>1</v>
      </c>
      <c r="C483" s="2">
        <f>D483+E483+F483+H483+G483</f>
        <v>165528.13899000001</v>
      </c>
      <c r="D483" s="1">
        <f>0+3521.11111</f>
        <v>3521.1111099999998</v>
      </c>
      <c r="E483" s="1">
        <f>0+330.38788</f>
        <v>330.38788</v>
      </c>
      <c r="F483" s="1">
        <v>80838.320000000007</v>
      </c>
      <c r="G483" s="1">
        <v>80838.320000000007</v>
      </c>
      <c r="H483" s="3"/>
      <c r="I483" s="48"/>
      <c r="J483" s="48"/>
      <c r="K483" s="48"/>
      <c r="L483" s="48"/>
      <c r="M483" s="48"/>
      <c r="N483" s="48"/>
      <c r="O483" s="48"/>
      <c r="P483" s="38"/>
      <c r="Q483" s="48"/>
      <c r="R483" s="48"/>
      <c r="S483" s="48"/>
      <c r="T483" s="55"/>
    </row>
    <row r="484" spans="1:20" ht="15.95" customHeight="1" x14ac:dyDescent="0.2">
      <c r="A484" s="34"/>
      <c r="B484" s="25" t="s">
        <v>2</v>
      </c>
      <c r="C484" s="2">
        <f>D484+E484+F484+H484+G484</f>
        <v>25470.088350000005</v>
      </c>
      <c r="D484" s="1">
        <f>0+15221.90478</f>
        <v>15221.904780000001</v>
      </c>
      <c r="E484" s="1">
        <f>0+1738.88357</f>
        <v>1738.88357</v>
      </c>
      <c r="F484" s="1">
        <v>4254.6499999999996</v>
      </c>
      <c r="G484" s="1">
        <v>4254.6499999999996</v>
      </c>
      <c r="H484" s="3"/>
      <c r="I484" s="48"/>
      <c r="J484" s="48"/>
      <c r="K484" s="48"/>
      <c r="L484" s="48"/>
      <c r="M484" s="48"/>
      <c r="N484" s="48"/>
      <c r="O484" s="48"/>
      <c r="P484" s="38"/>
      <c r="Q484" s="48"/>
      <c r="R484" s="48"/>
      <c r="S484" s="48"/>
      <c r="T484" s="55"/>
    </row>
    <row r="485" spans="1:20" ht="15.95" customHeight="1" x14ac:dyDescent="0.2">
      <c r="A485" s="34"/>
      <c r="B485" s="25" t="s">
        <v>3</v>
      </c>
      <c r="C485" s="2">
        <f>D485+E485+F485+H485+G485</f>
        <v>0</v>
      </c>
      <c r="D485" s="1"/>
      <c r="E485" s="1"/>
      <c r="F485" s="1"/>
      <c r="G485" s="1"/>
      <c r="H485" s="3"/>
      <c r="I485" s="48"/>
      <c r="J485" s="48"/>
      <c r="K485" s="48"/>
      <c r="L485" s="48"/>
      <c r="M485" s="48"/>
      <c r="N485" s="48"/>
      <c r="O485" s="48"/>
      <c r="P485" s="38"/>
      <c r="Q485" s="48"/>
      <c r="R485" s="48"/>
      <c r="S485" s="48"/>
      <c r="T485" s="55"/>
    </row>
    <row r="486" spans="1:20" ht="15.95" customHeight="1" x14ac:dyDescent="0.2">
      <c r="A486" s="34" t="s">
        <v>116</v>
      </c>
      <c r="B486" s="78" t="s">
        <v>85</v>
      </c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9"/>
    </row>
    <row r="487" spans="1:20" ht="15.95" customHeight="1" x14ac:dyDescent="0.2">
      <c r="A487" s="34" t="s">
        <v>57</v>
      </c>
      <c r="B487" s="50" t="s">
        <v>268</v>
      </c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1"/>
    </row>
    <row r="488" spans="1:20" ht="45" customHeight="1" x14ac:dyDescent="0.2">
      <c r="A488" s="34"/>
      <c r="B488" s="80" t="s">
        <v>311</v>
      </c>
      <c r="C488" s="80" t="s">
        <v>307</v>
      </c>
      <c r="D488" s="80"/>
      <c r="E488" s="80"/>
      <c r="F488" s="80"/>
      <c r="G488" s="80"/>
      <c r="H488" s="80"/>
      <c r="I488" s="48" t="s">
        <v>28</v>
      </c>
      <c r="J488" s="48"/>
      <c r="K488" s="48" t="s">
        <v>378</v>
      </c>
      <c r="L488" s="48" t="s">
        <v>312</v>
      </c>
      <c r="M488" s="48" t="s">
        <v>313</v>
      </c>
      <c r="N488" s="48" t="s">
        <v>85</v>
      </c>
      <c r="O488" s="48" t="s">
        <v>313</v>
      </c>
      <c r="P488" s="38" t="s">
        <v>314</v>
      </c>
      <c r="Q488" s="48" t="s">
        <v>29</v>
      </c>
      <c r="R488" s="48" t="s">
        <v>33</v>
      </c>
      <c r="S488" s="48" t="s">
        <v>30</v>
      </c>
      <c r="T488" s="55" t="s">
        <v>315</v>
      </c>
    </row>
    <row r="489" spans="1:20" ht="15.95" customHeight="1" x14ac:dyDescent="0.2">
      <c r="A489" s="34"/>
      <c r="B489" s="25" t="s">
        <v>5</v>
      </c>
      <c r="C489" s="2">
        <f>SUM(D489:H489)</f>
        <v>122049.3584709</v>
      </c>
      <c r="D489" s="1">
        <f>D490+D491+D492</f>
        <v>0</v>
      </c>
      <c r="E489" s="1">
        <f>E490+E491+E492</f>
        <v>0</v>
      </c>
      <c r="F489" s="1">
        <f>F490+F491+F492</f>
        <v>122049.3584709</v>
      </c>
      <c r="G489" s="1">
        <f t="shared" ref="G489:H489" si="106">G490+G491+G492</f>
        <v>0</v>
      </c>
      <c r="H489" s="1">
        <f t="shared" si="106"/>
        <v>0</v>
      </c>
      <c r="I489" s="48"/>
      <c r="J489" s="48"/>
      <c r="K489" s="48"/>
      <c r="L489" s="48"/>
      <c r="M489" s="48"/>
      <c r="N489" s="48"/>
      <c r="O489" s="48"/>
      <c r="P489" s="38"/>
      <c r="Q489" s="48"/>
      <c r="R489" s="48"/>
      <c r="S489" s="48"/>
      <c r="T489" s="55"/>
    </row>
    <row r="490" spans="1:20" ht="15.95" customHeight="1" x14ac:dyDescent="0.2">
      <c r="A490" s="34"/>
      <c r="B490" s="25" t="s">
        <v>0</v>
      </c>
      <c r="C490" s="2">
        <f t="shared" ref="C490:C492" si="107">SUM(D490:H490)</f>
        <v>0</v>
      </c>
      <c r="D490" s="1"/>
      <c r="E490" s="1"/>
      <c r="F490" s="1"/>
      <c r="G490" s="1"/>
      <c r="H490" s="3"/>
      <c r="I490" s="48"/>
      <c r="J490" s="48"/>
      <c r="K490" s="48"/>
      <c r="L490" s="48"/>
      <c r="M490" s="48"/>
      <c r="N490" s="48"/>
      <c r="O490" s="48"/>
      <c r="P490" s="38"/>
      <c r="Q490" s="48"/>
      <c r="R490" s="48"/>
      <c r="S490" s="48"/>
      <c r="T490" s="55"/>
    </row>
    <row r="491" spans="1:20" ht="15.95" customHeight="1" x14ac:dyDescent="0.2">
      <c r="A491" s="34"/>
      <c r="B491" s="25" t="s">
        <v>1</v>
      </c>
      <c r="C491" s="2">
        <f t="shared" si="107"/>
        <v>122049.3584709</v>
      </c>
      <c r="D491" s="1"/>
      <c r="E491" s="1"/>
      <c r="F491" s="1">
        <v>122049.3584709</v>
      </c>
      <c r="G491" s="1"/>
      <c r="H491" s="3"/>
      <c r="I491" s="48"/>
      <c r="J491" s="48"/>
      <c r="K491" s="48"/>
      <c r="L491" s="48"/>
      <c r="M491" s="48"/>
      <c r="N491" s="48"/>
      <c r="O491" s="48"/>
      <c r="P491" s="38"/>
      <c r="Q491" s="48"/>
      <c r="R491" s="48"/>
      <c r="S491" s="48"/>
      <c r="T491" s="55"/>
    </row>
    <row r="492" spans="1:20" ht="15.95" customHeight="1" x14ac:dyDescent="0.2">
      <c r="A492" s="34"/>
      <c r="B492" s="25" t="s">
        <v>2</v>
      </c>
      <c r="C492" s="2">
        <f t="shared" si="107"/>
        <v>0</v>
      </c>
      <c r="D492" s="1"/>
      <c r="E492" s="1"/>
      <c r="F492" s="1"/>
      <c r="G492" s="1"/>
      <c r="H492" s="3"/>
      <c r="I492" s="48"/>
      <c r="J492" s="48"/>
      <c r="K492" s="48"/>
      <c r="L492" s="48"/>
      <c r="M492" s="48"/>
      <c r="N492" s="48"/>
      <c r="O492" s="48"/>
      <c r="P492" s="38"/>
      <c r="Q492" s="48"/>
      <c r="R492" s="48"/>
      <c r="S492" s="48"/>
      <c r="T492" s="55"/>
    </row>
    <row r="493" spans="1:20" ht="15.95" customHeight="1" x14ac:dyDescent="0.2">
      <c r="A493" s="34"/>
      <c r="B493" s="25" t="s">
        <v>3</v>
      </c>
      <c r="C493" s="2">
        <f>SUM(D493:H493)</f>
        <v>0</v>
      </c>
      <c r="D493" s="1"/>
      <c r="E493" s="1"/>
      <c r="F493" s="1"/>
      <c r="G493" s="1"/>
      <c r="H493" s="3"/>
      <c r="I493" s="48"/>
      <c r="J493" s="48"/>
      <c r="K493" s="48"/>
      <c r="L493" s="48"/>
      <c r="M493" s="48"/>
      <c r="N493" s="48"/>
      <c r="O493" s="48"/>
      <c r="P493" s="38"/>
      <c r="Q493" s="48"/>
      <c r="R493" s="48"/>
      <c r="S493" s="48"/>
      <c r="T493" s="55"/>
    </row>
    <row r="494" spans="1:20" ht="15.95" customHeight="1" x14ac:dyDescent="0.2">
      <c r="A494" s="34" t="s">
        <v>222</v>
      </c>
      <c r="B494" s="78" t="s">
        <v>85</v>
      </c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9"/>
    </row>
    <row r="495" spans="1:20" ht="15.95" customHeight="1" x14ac:dyDescent="0.2">
      <c r="A495" s="34" t="s">
        <v>57</v>
      </c>
      <c r="B495" s="50" t="s">
        <v>268</v>
      </c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1"/>
    </row>
    <row r="496" spans="1:20" ht="45" customHeight="1" x14ac:dyDescent="0.2">
      <c r="A496" s="34"/>
      <c r="B496" s="80" t="s">
        <v>305</v>
      </c>
      <c r="C496" s="80"/>
      <c r="D496" s="80"/>
      <c r="E496" s="80"/>
      <c r="F496" s="80"/>
      <c r="G496" s="80"/>
      <c r="H496" s="80"/>
      <c r="I496" s="48" t="s">
        <v>28</v>
      </c>
      <c r="J496" s="48"/>
      <c r="K496" s="48" t="s">
        <v>179</v>
      </c>
      <c r="L496" s="48" t="s">
        <v>223</v>
      </c>
      <c r="M496" s="48" t="s">
        <v>371</v>
      </c>
      <c r="N496" s="48" t="s">
        <v>85</v>
      </c>
      <c r="O496" s="48" t="s">
        <v>371</v>
      </c>
      <c r="P496" s="38" t="s">
        <v>379</v>
      </c>
      <c r="Q496" s="48" t="s">
        <v>29</v>
      </c>
      <c r="R496" s="48" t="s">
        <v>8</v>
      </c>
      <c r="S496" s="48" t="s">
        <v>30</v>
      </c>
      <c r="T496" s="55"/>
    </row>
    <row r="497" spans="1:20" ht="15.95" customHeight="1" x14ac:dyDescent="0.2">
      <c r="A497" s="34"/>
      <c r="B497" s="25" t="s">
        <v>5</v>
      </c>
      <c r="C497" s="2">
        <f>SUM(D497:H497)</f>
        <v>120000</v>
      </c>
      <c r="D497" s="1">
        <f t="shared" ref="D497:H497" si="108">SUM(D498:D501)</f>
        <v>0</v>
      </c>
      <c r="E497" s="1">
        <f t="shared" si="108"/>
        <v>0</v>
      </c>
      <c r="F497" s="1">
        <f t="shared" si="108"/>
        <v>120000</v>
      </c>
      <c r="G497" s="1">
        <f t="shared" si="108"/>
        <v>0</v>
      </c>
      <c r="H497" s="1">
        <f t="shared" si="108"/>
        <v>0</v>
      </c>
      <c r="I497" s="48"/>
      <c r="J497" s="48"/>
      <c r="K497" s="48"/>
      <c r="L497" s="48"/>
      <c r="M497" s="48"/>
      <c r="N497" s="48"/>
      <c r="O497" s="48"/>
      <c r="P497" s="38"/>
      <c r="Q497" s="48"/>
      <c r="R497" s="48"/>
      <c r="S497" s="48"/>
      <c r="T497" s="55"/>
    </row>
    <row r="498" spans="1:20" ht="15.95" customHeight="1" x14ac:dyDescent="0.2">
      <c r="A498" s="34"/>
      <c r="B498" s="25" t="s">
        <v>0</v>
      </c>
      <c r="C498" s="2">
        <f>SUM(D498:H498)</f>
        <v>0</v>
      </c>
      <c r="D498" s="1"/>
      <c r="E498" s="1"/>
      <c r="F498" s="1"/>
      <c r="G498" s="1"/>
      <c r="H498" s="3"/>
      <c r="I498" s="48"/>
      <c r="J498" s="48"/>
      <c r="K498" s="48"/>
      <c r="L498" s="48"/>
      <c r="M498" s="48"/>
      <c r="N498" s="48"/>
      <c r="O498" s="48"/>
      <c r="P498" s="38"/>
      <c r="Q498" s="48"/>
      <c r="R498" s="48"/>
      <c r="S498" s="48"/>
      <c r="T498" s="55"/>
    </row>
    <row r="499" spans="1:20" ht="15.95" customHeight="1" x14ac:dyDescent="0.2">
      <c r="A499" s="34"/>
      <c r="B499" s="25" t="s">
        <v>1</v>
      </c>
      <c r="C499" s="2">
        <f>SUM(D499:H499)</f>
        <v>120000</v>
      </c>
      <c r="D499" s="1"/>
      <c r="E499" s="1"/>
      <c r="F499" s="1">
        <v>120000</v>
      </c>
      <c r="G499" s="1"/>
      <c r="H499" s="3"/>
      <c r="I499" s="48"/>
      <c r="J499" s="48"/>
      <c r="K499" s="48"/>
      <c r="L499" s="48"/>
      <c r="M499" s="48"/>
      <c r="N499" s="48"/>
      <c r="O499" s="48"/>
      <c r="P499" s="38"/>
      <c r="Q499" s="48"/>
      <c r="R499" s="48"/>
      <c r="S499" s="48"/>
      <c r="T499" s="55"/>
    </row>
    <row r="500" spans="1:20" ht="15.95" customHeight="1" x14ac:dyDescent="0.2">
      <c r="A500" s="34"/>
      <c r="B500" s="25" t="s">
        <v>2</v>
      </c>
      <c r="C500" s="2">
        <f>SUM(D500:H500)</f>
        <v>0</v>
      </c>
      <c r="D500" s="1"/>
      <c r="E500" s="1"/>
      <c r="F500" s="1"/>
      <c r="G500" s="1"/>
      <c r="H500" s="3"/>
      <c r="I500" s="48"/>
      <c r="J500" s="48"/>
      <c r="K500" s="48"/>
      <c r="L500" s="48"/>
      <c r="M500" s="48"/>
      <c r="N500" s="48"/>
      <c r="O500" s="48"/>
      <c r="P500" s="38"/>
      <c r="Q500" s="48"/>
      <c r="R500" s="48"/>
      <c r="S500" s="48"/>
      <c r="T500" s="55"/>
    </row>
    <row r="501" spans="1:20" ht="15.95" customHeight="1" x14ac:dyDescent="0.2">
      <c r="A501" s="34"/>
      <c r="B501" s="25" t="s">
        <v>3</v>
      </c>
      <c r="C501" s="2">
        <f>SUM(D501:H501)</f>
        <v>0</v>
      </c>
      <c r="D501" s="1"/>
      <c r="E501" s="1"/>
      <c r="F501" s="1"/>
      <c r="G501" s="1"/>
      <c r="H501" s="3"/>
      <c r="I501" s="48"/>
      <c r="J501" s="48"/>
      <c r="K501" s="48"/>
      <c r="L501" s="48"/>
      <c r="M501" s="48"/>
      <c r="N501" s="48"/>
      <c r="O501" s="48"/>
      <c r="P501" s="38"/>
      <c r="Q501" s="48"/>
      <c r="R501" s="48"/>
      <c r="S501" s="48"/>
      <c r="T501" s="55"/>
    </row>
    <row r="502" spans="1:20" ht="15.95" customHeight="1" x14ac:dyDescent="0.2">
      <c r="A502" s="75" t="s">
        <v>791</v>
      </c>
      <c r="B502" s="46" t="s">
        <v>85</v>
      </c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9"/>
    </row>
    <row r="503" spans="1:20" ht="15.95" customHeight="1" x14ac:dyDescent="0.2">
      <c r="A503" s="76"/>
      <c r="B503" s="50" t="s">
        <v>268</v>
      </c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1"/>
    </row>
    <row r="504" spans="1:20" ht="39.950000000000003" customHeight="1" x14ac:dyDescent="0.2">
      <c r="A504" s="76"/>
      <c r="B504" s="52" t="s">
        <v>817</v>
      </c>
      <c r="C504" s="53"/>
      <c r="D504" s="53"/>
      <c r="E504" s="53"/>
      <c r="F504" s="53"/>
      <c r="G504" s="53"/>
      <c r="H504" s="54"/>
      <c r="I504" s="48" t="s">
        <v>22</v>
      </c>
      <c r="J504" s="48"/>
      <c r="K504" s="48" t="s">
        <v>179</v>
      </c>
      <c r="L504" s="39" t="s">
        <v>787</v>
      </c>
      <c r="M504" s="48" t="s">
        <v>788</v>
      </c>
      <c r="N504" s="48" t="s">
        <v>85</v>
      </c>
      <c r="O504" s="48" t="s">
        <v>788</v>
      </c>
      <c r="P504" s="38" t="s">
        <v>789</v>
      </c>
      <c r="Q504" s="48" t="s">
        <v>29</v>
      </c>
      <c r="R504" s="48" t="s">
        <v>8</v>
      </c>
      <c r="S504" s="48" t="s">
        <v>31</v>
      </c>
      <c r="T504" s="55" t="s">
        <v>790</v>
      </c>
    </row>
    <row r="505" spans="1:20" ht="15.95" customHeight="1" x14ac:dyDescent="0.2">
      <c r="A505" s="76"/>
      <c r="B505" s="25" t="s">
        <v>5</v>
      </c>
      <c r="C505" s="2">
        <f>SUM(C506:C511)</f>
        <v>213700</v>
      </c>
      <c r="D505" s="2">
        <f t="shared" ref="D505:H505" si="109">SUM(D506:D511)</f>
        <v>213700</v>
      </c>
      <c r="E505" s="2">
        <f t="shared" si="109"/>
        <v>0</v>
      </c>
      <c r="F505" s="2">
        <f t="shared" si="109"/>
        <v>0</v>
      </c>
      <c r="G505" s="2">
        <f t="shared" si="109"/>
        <v>0</v>
      </c>
      <c r="H505" s="2">
        <f t="shared" si="109"/>
        <v>0</v>
      </c>
      <c r="I505" s="48"/>
      <c r="J505" s="48"/>
      <c r="K505" s="48"/>
      <c r="L505" s="40"/>
      <c r="M505" s="48"/>
      <c r="N505" s="48"/>
      <c r="O505" s="48"/>
      <c r="P505" s="38"/>
      <c r="Q505" s="48"/>
      <c r="R505" s="48"/>
      <c r="S505" s="48"/>
      <c r="T505" s="55"/>
    </row>
    <row r="506" spans="1:20" ht="15.95" customHeight="1" x14ac:dyDescent="0.2">
      <c r="A506" s="76"/>
      <c r="B506" s="25" t="s">
        <v>0</v>
      </c>
      <c r="C506" s="2">
        <f>D506+E506+F506+G506+H506</f>
        <v>0</v>
      </c>
      <c r="D506" s="1"/>
      <c r="E506" s="1"/>
      <c r="F506" s="1"/>
      <c r="G506" s="1"/>
      <c r="H506" s="1"/>
      <c r="I506" s="48"/>
      <c r="J506" s="48"/>
      <c r="K506" s="48"/>
      <c r="L506" s="40"/>
      <c r="M506" s="48"/>
      <c r="N506" s="48"/>
      <c r="O506" s="48"/>
      <c r="P506" s="38"/>
      <c r="Q506" s="48"/>
      <c r="R506" s="48"/>
      <c r="S506" s="48"/>
      <c r="T506" s="55"/>
    </row>
    <row r="507" spans="1:20" ht="15.95" customHeight="1" x14ac:dyDescent="0.2">
      <c r="A507" s="76"/>
      <c r="B507" s="25" t="s">
        <v>1</v>
      </c>
      <c r="C507" s="2">
        <f t="shared" ref="C507:C511" si="110">D507+E507+F507+G507+H507</f>
        <v>0</v>
      </c>
      <c r="D507" s="1"/>
      <c r="E507" s="1"/>
      <c r="F507" s="1"/>
      <c r="G507" s="1"/>
      <c r="H507" s="1"/>
      <c r="I507" s="48"/>
      <c r="J507" s="48"/>
      <c r="K507" s="48"/>
      <c r="L507" s="40"/>
      <c r="M507" s="48"/>
      <c r="N507" s="48"/>
      <c r="O507" s="48"/>
      <c r="P507" s="38"/>
      <c r="Q507" s="48"/>
      <c r="R507" s="48"/>
      <c r="S507" s="48"/>
      <c r="T507" s="55"/>
    </row>
    <row r="508" spans="1:20" ht="15.95" customHeight="1" x14ac:dyDescent="0.2">
      <c r="A508" s="76"/>
      <c r="B508" s="25" t="s">
        <v>2</v>
      </c>
      <c r="C508" s="2">
        <f t="shared" si="110"/>
        <v>0</v>
      </c>
      <c r="D508" s="1"/>
      <c r="E508" s="1"/>
      <c r="F508" s="1"/>
      <c r="G508" s="1"/>
      <c r="H508" s="1"/>
      <c r="I508" s="48"/>
      <c r="J508" s="48"/>
      <c r="K508" s="48"/>
      <c r="L508" s="40"/>
      <c r="M508" s="48"/>
      <c r="N508" s="48"/>
      <c r="O508" s="48"/>
      <c r="P508" s="38"/>
      <c r="Q508" s="48"/>
      <c r="R508" s="48"/>
      <c r="S508" s="48"/>
      <c r="T508" s="55"/>
    </row>
    <row r="509" spans="1:20" ht="15.95" customHeight="1" x14ac:dyDescent="0.2">
      <c r="A509" s="76"/>
      <c r="B509" s="25" t="s">
        <v>3</v>
      </c>
      <c r="C509" s="2">
        <f t="shared" si="110"/>
        <v>0</v>
      </c>
      <c r="D509" s="1"/>
      <c r="E509" s="1"/>
      <c r="F509" s="1"/>
      <c r="G509" s="1"/>
      <c r="H509" s="1"/>
      <c r="I509" s="48"/>
      <c r="J509" s="48"/>
      <c r="K509" s="48"/>
      <c r="L509" s="40"/>
      <c r="M509" s="48"/>
      <c r="N509" s="48"/>
      <c r="O509" s="48"/>
      <c r="P509" s="38"/>
      <c r="Q509" s="48"/>
      <c r="R509" s="48"/>
      <c r="S509" s="48"/>
      <c r="T509" s="55"/>
    </row>
    <row r="510" spans="1:20" ht="31.5" customHeight="1" x14ac:dyDescent="0.2">
      <c r="A510" s="76"/>
      <c r="B510" s="31" t="s">
        <v>785</v>
      </c>
      <c r="C510" s="2">
        <f t="shared" si="110"/>
        <v>169543.5</v>
      </c>
      <c r="D510" s="1">
        <f>0+169543.5</f>
        <v>169543.5</v>
      </c>
      <c r="E510" s="1"/>
      <c r="F510" s="1"/>
      <c r="G510" s="1"/>
      <c r="H510" s="1"/>
      <c r="I510" s="48"/>
      <c r="J510" s="48"/>
      <c r="K510" s="48"/>
      <c r="L510" s="40"/>
      <c r="M510" s="48"/>
      <c r="N510" s="48"/>
      <c r="O510" s="48"/>
      <c r="P510" s="38"/>
      <c r="Q510" s="48"/>
      <c r="R510" s="48"/>
      <c r="S510" s="48"/>
      <c r="T510" s="55"/>
    </row>
    <row r="511" spans="1:20" ht="29.25" customHeight="1" x14ac:dyDescent="0.2">
      <c r="A511" s="77"/>
      <c r="B511" s="31" t="s">
        <v>786</v>
      </c>
      <c r="C511" s="2">
        <f t="shared" si="110"/>
        <v>44156.5</v>
      </c>
      <c r="D511" s="1">
        <f>0+44156.5</f>
        <v>44156.5</v>
      </c>
      <c r="E511" s="1"/>
      <c r="F511" s="1"/>
      <c r="G511" s="1"/>
      <c r="H511" s="1"/>
      <c r="I511" s="48"/>
      <c r="J511" s="48"/>
      <c r="K511" s="48"/>
      <c r="L511" s="41"/>
      <c r="M511" s="48"/>
      <c r="N511" s="48"/>
      <c r="O511" s="48"/>
      <c r="P511" s="38"/>
      <c r="Q511" s="48"/>
      <c r="R511" s="48"/>
      <c r="S511" s="48"/>
      <c r="T511" s="55"/>
    </row>
    <row r="512" spans="1:20" ht="15.95" customHeight="1" x14ac:dyDescent="0.2">
      <c r="A512" s="89" t="s">
        <v>64</v>
      </c>
      <c r="B512" s="50" t="s">
        <v>86</v>
      </c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1"/>
    </row>
    <row r="513" spans="1:20" ht="15.95" customHeight="1" x14ac:dyDescent="0.2">
      <c r="A513" s="89"/>
      <c r="B513" s="31" t="s">
        <v>5</v>
      </c>
      <c r="C513" s="3">
        <f>SUM(C514:C517)</f>
        <v>17233.330000000002</v>
      </c>
      <c r="D513" s="3">
        <f t="shared" ref="D513:E513" si="111">SUM(D514:D517)</f>
        <v>0</v>
      </c>
      <c r="E513" s="3">
        <f t="shared" si="111"/>
        <v>0</v>
      </c>
      <c r="F513" s="3">
        <f t="shared" ref="F513:H513" si="112">SUM(F514:F517)</f>
        <v>17233.330000000002</v>
      </c>
      <c r="G513" s="3">
        <f t="shared" si="112"/>
        <v>0</v>
      </c>
      <c r="H513" s="3">
        <f t="shared" si="112"/>
        <v>0</v>
      </c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8"/>
    </row>
    <row r="514" spans="1:20" ht="15.95" customHeight="1" x14ac:dyDescent="0.2">
      <c r="A514" s="89"/>
      <c r="B514" s="31" t="s">
        <v>0</v>
      </c>
      <c r="C514" s="3">
        <f>D514+E514+F514+H514+G514</f>
        <v>0</v>
      </c>
      <c r="D514" s="3">
        <f>D522</f>
        <v>0</v>
      </c>
      <c r="E514" s="3">
        <f t="shared" ref="E514:H514" si="113">E522</f>
        <v>0</v>
      </c>
      <c r="F514" s="3">
        <f t="shared" si="113"/>
        <v>0</v>
      </c>
      <c r="G514" s="3">
        <f t="shared" si="113"/>
        <v>0</v>
      </c>
      <c r="H514" s="3">
        <f t="shared" si="113"/>
        <v>0</v>
      </c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8"/>
    </row>
    <row r="515" spans="1:20" ht="15.95" customHeight="1" x14ac:dyDescent="0.2">
      <c r="A515" s="89"/>
      <c r="B515" s="31" t="s">
        <v>1</v>
      </c>
      <c r="C515" s="3">
        <f>D515+E515+F515+H515+G515</f>
        <v>17233.330000000002</v>
      </c>
      <c r="D515" s="3">
        <f t="shared" ref="D515:H517" si="114">D523</f>
        <v>0</v>
      </c>
      <c r="E515" s="3">
        <f t="shared" si="114"/>
        <v>0</v>
      </c>
      <c r="F515" s="3">
        <f t="shared" si="114"/>
        <v>17233.330000000002</v>
      </c>
      <c r="G515" s="3">
        <f t="shared" si="114"/>
        <v>0</v>
      </c>
      <c r="H515" s="3">
        <f t="shared" si="114"/>
        <v>0</v>
      </c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8"/>
    </row>
    <row r="516" spans="1:20" ht="15.95" customHeight="1" x14ac:dyDescent="0.2">
      <c r="A516" s="89"/>
      <c r="B516" s="31" t="s">
        <v>2</v>
      </c>
      <c r="C516" s="3">
        <f>D516+E516+F516+H516+G516</f>
        <v>0</v>
      </c>
      <c r="D516" s="3">
        <f t="shared" si="114"/>
        <v>0</v>
      </c>
      <c r="E516" s="3">
        <f t="shared" si="114"/>
        <v>0</v>
      </c>
      <c r="F516" s="3">
        <f t="shared" si="114"/>
        <v>0</v>
      </c>
      <c r="G516" s="3">
        <f t="shared" si="114"/>
        <v>0</v>
      </c>
      <c r="H516" s="3">
        <f t="shared" si="114"/>
        <v>0</v>
      </c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8"/>
    </row>
    <row r="517" spans="1:20" ht="15.95" customHeight="1" x14ac:dyDescent="0.2">
      <c r="A517" s="89"/>
      <c r="B517" s="31" t="s">
        <v>3</v>
      </c>
      <c r="C517" s="3">
        <f>D517+E517+F517+H517+G517</f>
        <v>0</v>
      </c>
      <c r="D517" s="3">
        <f t="shared" si="114"/>
        <v>0</v>
      </c>
      <c r="E517" s="3">
        <f t="shared" si="114"/>
        <v>0</v>
      </c>
      <c r="F517" s="3">
        <f t="shared" si="114"/>
        <v>0</v>
      </c>
      <c r="G517" s="3">
        <f t="shared" si="114"/>
        <v>0</v>
      </c>
      <c r="H517" s="3">
        <f t="shared" si="114"/>
        <v>0</v>
      </c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8"/>
    </row>
    <row r="518" spans="1:20" ht="15.95" customHeight="1" x14ac:dyDescent="0.2">
      <c r="A518" s="34" t="s">
        <v>117</v>
      </c>
      <c r="B518" s="78" t="s">
        <v>190</v>
      </c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9"/>
    </row>
    <row r="519" spans="1:20" ht="15.95" customHeight="1" x14ac:dyDescent="0.2">
      <c r="A519" s="34" t="s">
        <v>57</v>
      </c>
      <c r="B519" s="50" t="s">
        <v>270</v>
      </c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1"/>
    </row>
    <row r="520" spans="1:20" ht="45" customHeight="1" x14ac:dyDescent="0.2">
      <c r="A520" s="34"/>
      <c r="B520" s="80" t="s">
        <v>271</v>
      </c>
      <c r="C520" s="80"/>
      <c r="D520" s="80"/>
      <c r="E520" s="80"/>
      <c r="F520" s="80"/>
      <c r="G520" s="80"/>
      <c r="H520" s="80"/>
      <c r="I520" s="48"/>
      <c r="J520" s="48" t="s">
        <v>28</v>
      </c>
      <c r="K520" s="48" t="s">
        <v>35</v>
      </c>
      <c r="L520" s="48" t="s">
        <v>272</v>
      </c>
      <c r="M520" s="48" t="s">
        <v>221</v>
      </c>
      <c r="N520" s="48" t="s">
        <v>190</v>
      </c>
      <c r="O520" s="48" t="s">
        <v>221</v>
      </c>
      <c r="P520" s="38" t="s">
        <v>273</v>
      </c>
      <c r="Q520" s="48" t="s">
        <v>29</v>
      </c>
      <c r="R520" s="48" t="s">
        <v>8</v>
      </c>
      <c r="S520" s="48" t="s">
        <v>274</v>
      </c>
      <c r="T520" s="55"/>
    </row>
    <row r="521" spans="1:20" ht="15.95" customHeight="1" x14ac:dyDescent="0.2">
      <c r="A521" s="34"/>
      <c r="B521" s="25" t="s">
        <v>5</v>
      </c>
      <c r="C521" s="2">
        <f>D521+E521+F521+G521+H521</f>
        <v>17233.330000000002</v>
      </c>
      <c r="D521" s="1">
        <f>SUM(D522:D525)</f>
        <v>0</v>
      </c>
      <c r="E521" s="1">
        <f t="shared" ref="E521:H521" si="115">SUM(E522:E525)</f>
        <v>0</v>
      </c>
      <c r="F521" s="1">
        <f t="shared" si="115"/>
        <v>17233.330000000002</v>
      </c>
      <c r="G521" s="1">
        <f t="shared" si="115"/>
        <v>0</v>
      </c>
      <c r="H521" s="1">
        <f t="shared" si="115"/>
        <v>0</v>
      </c>
      <c r="I521" s="48"/>
      <c r="J521" s="48"/>
      <c r="K521" s="48"/>
      <c r="L521" s="48"/>
      <c r="M521" s="48"/>
      <c r="N521" s="48"/>
      <c r="O521" s="48"/>
      <c r="P521" s="38"/>
      <c r="Q521" s="48"/>
      <c r="R521" s="48"/>
      <c r="S521" s="48"/>
      <c r="T521" s="55"/>
    </row>
    <row r="522" spans="1:20" ht="15.95" customHeight="1" x14ac:dyDescent="0.2">
      <c r="A522" s="34"/>
      <c r="B522" s="25" t="s">
        <v>0</v>
      </c>
      <c r="C522" s="2">
        <f>D522+E522+F522+G522+H522</f>
        <v>0</v>
      </c>
      <c r="D522" s="1"/>
      <c r="E522" s="1"/>
      <c r="F522" s="1"/>
      <c r="G522" s="1"/>
      <c r="H522" s="1"/>
      <c r="I522" s="48"/>
      <c r="J522" s="48"/>
      <c r="K522" s="48"/>
      <c r="L522" s="48"/>
      <c r="M522" s="48"/>
      <c r="N522" s="48"/>
      <c r="O522" s="48"/>
      <c r="P522" s="38"/>
      <c r="Q522" s="48"/>
      <c r="R522" s="48"/>
      <c r="S522" s="48"/>
      <c r="T522" s="55"/>
    </row>
    <row r="523" spans="1:20" ht="15.95" customHeight="1" x14ac:dyDescent="0.2">
      <c r="A523" s="34"/>
      <c r="B523" s="25" t="s">
        <v>1</v>
      </c>
      <c r="C523" s="2">
        <f>D523+E523+F523+G523+H523</f>
        <v>17233.330000000002</v>
      </c>
      <c r="D523" s="1"/>
      <c r="E523" s="1"/>
      <c r="F523" s="1">
        <v>17233.330000000002</v>
      </c>
      <c r="G523" s="1"/>
      <c r="H523" s="1"/>
      <c r="I523" s="48"/>
      <c r="J523" s="48"/>
      <c r="K523" s="48"/>
      <c r="L523" s="48"/>
      <c r="M523" s="48"/>
      <c r="N523" s="48"/>
      <c r="O523" s="48"/>
      <c r="P523" s="38"/>
      <c r="Q523" s="48"/>
      <c r="R523" s="48"/>
      <c r="S523" s="48"/>
      <c r="T523" s="55"/>
    </row>
    <row r="524" spans="1:20" ht="15.95" customHeight="1" x14ac:dyDescent="0.2">
      <c r="A524" s="34"/>
      <c r="B524" s="25" t="s">
        <v>2</v>
      </c>
      <c r="C524" s="2">
        <f>D524+E524+F524+G524+H524</f>
        <v>0</v>
      </c>
      <c r="D524" s="1"/>
      <c r="E524" s="1"/>
      <c r="F524" s="1"/>
      <c r="G524" s="1"/>
      <c r="H524" s="1"/>
      <c r="I524" s="48"/>
      <c r="J524" s="48"/>
      <c r="K524" s="48"/>
      <c r="L524" s="48"/>
      <c r="M524" s="48"/>
      <c r="N524" s="48"/>
      <c r="O524" s="48"/>
      <c r="P524" s="38"/>
      <c r="Q524" s="48"/>
      <c r="R524" s="48"/>
      <c r="S524" s="48"/>
      <c r="T524" s="55"/>
    </row>
    <row r="525" spans="1:20" ht="15.95" customHeight="1" x14ac:dyDescent="0.2">
      <c r="A525" s="34"/>
      <c r="B525" s="25" t="s">
        <v>3</v>
      </c>
      <c r="C525" s="2">
        <f>D525+E525+F525+G525+H525</f>
        <v>0</v>
      </c>
      <c r="D525" s="1"/>
      <c r="E525" s="1"/>
      <c r="F525" s="1"/>
      <c r="G525" s="1"/>
      <c r="H525" s="1"/>
      <c r="I525" s="48"/>
      <c r="J525" s="48"/>
      <c r="K525" s="48"/>
      <c r="L525" s="48"/>
      <c r="M525" s="48"/>
      <c r="N525" s="48"/>
      <c r="O525" s="48"/>
      <c r="P525" s="38"/>
      <c r="Q525" s="48"/>
      <c r="R525" s="48"/>
      <c r="S525" s="48"/>
      <c r="T525" s="55"/>
    </row>
    <row r="526" spans="1:20" ht="15.75" customHeight="1" x14ac:dyDescent="0.2">
      <c r="A526" s="89" t="s">
        <v>65</v>
      </c>
      <c r="B526" s="50" t="s">
        <v>87</v>
      </c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1"/>
    </row>
    <row r="527" spans="1:20" ht="15.95" customHeight="1" x14ac:dyDescent="0.2">
      <c r="A527" s="89"/>
      <c r="B527" s="31" t="s">
        <v>5</v>
      </c>
      <c r="C527" s="3">
        <f>SUM(C528:C532)</f>
        <v>4075071.8338500001</v>
      </c>
      <c r="D527" s="3">
        <f t="shared" ref="D527:H527" si="116">SUM(D528:D532)</f>
        <v>1609975.06262</v>
      </c>
      <c r="E527" s="3">
        <f t="shared" si="116"/>
        <v>677906.36971</v>
      </c>
      <c r="F527" s="3">
        <f t="shared" ref="F527" si="117">SUM(F528:F532)</f>
        <v>1787190.4015200001</v>
      </c>
      <c r="G527" s="3">
        <f t="shared" si="116"/>
        <v>0</v>
      </c>
      <c r="H527" s="3">
        <f t="shared" si="116"/>
        <v>0</v>
      </c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8"/>
    </row>
    <row r="528" spans="1:20" ht="15.95" customHeight="1" x14ac:dyDescent="0.2">
      <c r="A528" s="89"/>
      <c r="B528" s="31" t="s">
        <v>0</v>
      </c>
      <c r="C528" s="3">
        <f>D528+E528+F528+H528+G528</f>
        <v>2648525.8000000003</v>
      </c>
      <c r="D528" s="3">
        <f>D545+D554+D563+D572+D581+D590+D599+D644+D652+D660+D537+D668+D608+D617+D626+D676+D684+D692+D700+D635+D708+D716+D724+D732+D740+D748+D756+D764</f>
        <v>376056.7</v>
      </c>
      <c r="E528" s="3">
        <f t="shared" ref="E528:H528" si="118">E545+E554+E563+E572+E581+E590+E599+E644+E652+E660+E537+E668+E608+E617+E626+E676+E684+E692+E700+E635+E708+E716+E724+E732+E740+E748+E756+E764</f>
        <v>498560.9</v>
      </c>
      <c r="F528" s="3">
        <f t="shared" si="118"/>
        <v>1773908.2000000002</v>
      </c>
      <c r="G528" s="3">
        <f t="shared" si="118"/>
        <v>0</v>
      </c>
      <c r="H528" s="3">
        <f t="shared" si="118"/>
        <v>0</v>
      </c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8"/>
    </row>
    <row r="529" spans="1:20" ht="15.95" customHeight="1" x14ac:dyDescent="0.2">
      <c r="A529" s="89"/>
      <c r="B529" s="31" t="s">
        <v>1</v>
      </c>
      <c r="C529" s="3">
        <f>D529+E529+F529+H529+G529</f>
        <v>411874.65671999997</v>
      </c>
      <c r="D529" s="3">
        <f t="shared" ref="D529:H531" si="119">D546+D555+D564+D573+D582+D591+D600+D645+D653+D661+D538+D669+D609+D618+D627+D677+D685+D693+D701+D636+D709+D717+D725+D733+D741+D749+D757+D765</f>
        <v>234119.86256000001</v>
      </c>
      <c r="E529" s="3">
        <f t="shared" si="119"/>
        <v>177754.79415999999</v>
      </c>
      <c r="F529" s="3">
        <f t="shared" si="119"/>
        <v>0</v>
      </c>
      <c r="G529" s="3">
        <f t="shared" si="119"/>
        <v>0</v>
      </c>
      <c r="H529" s="3">
        <f t="shared" si="119"/>
        <v>0</v>
      </c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8"/>
    </row>
    <row r="530" spans="1:20" ht="15.95" customHeight="1" x14ac:dyDescent="0.2">
      <c r="A530" s="89"/>
      <c r="B530" s="31" t="s">
        <v>2</v>
      </c>
      <c r="C530" s="3">
        <f>D530+E530+F530+H530+G530</f>
        <v>17123.136490000001</v>
      </c>
      <c r="D530" s="3">
        <f t="shared" si="119"/>
        <v>2250.2594200000003</v>
      </c>
      <c r="E530" s="3">
        <f t="shared" si="119"/>
        <v>1590.6755499999999</v>
      </c>
      <c r="F530" s="3">
        <f t="shared" si="119"/>
        <v>13282.201520000001</v>
      </c>
      <c r="G530" s="3">
        <f t="shared" si="119"/>
        <v>0</v>
      </c>
      <c r="H530" s="3">
        <f t="shared" si="119"/>
        <v>0</v>
      </c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8"/>
    </row>
    <row r="531" spans="1:20" ht="15.95" customHeight="1" x14ac:dyDescent="0.2">
      <c r="A531" s="89"/>
      <c r="B531" s="31" t="s">
        <v>3</v>
      </c>
      <c r="C531" s="3">
        <f>D531+E531+F531+H531+G531</f>
        <v>0</v>
      </c>
      <c r="D531" s="3">
        <f t="shared" si="119"/>
        <v>0</v>
      </c>
      <c r="E531" s="3">
        <f t="shared" si="119"/>
        <v>0</v>
      </c>
      <c r="F531" s="3">
        <f t="shared" si="119"/>
        <v>0</v>
      </c>
      <c r="G531" s="3">
        <f t="shared" si="119"/>
        <v>0</v>
      </c>
      <c r="H531" s="3">
        <f t="shared" si="119"/>
        <v>0</v>
      </c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8"/>
    </row>
    <row r="532" spans="1:20" ht="39.950000000000003" customHeight="1" x14ac:dyDescent="0.2">
      <c r="A532" s="89"/>
      <c r="B532" s="31" t="s">
        <v>143</v>
      </c>
      <c r="C532" s="3">
        <f>D532+E532+F532+H532+G532</f>
        <v>997548.24063999997</v>
      </c>
      <c r="D532" s="3">
        <f>D549+D558+D567+D576+D585+D594+D603+D612+D621+D630+D639</f>
        <v>997548.24063999997</v>
      </c>
      <c r="E532" s="3">
        <f t="shared" ref="E532:H532" si="120">E549+E558+E567+E576+E585+E594+E603+E612+E621+E630+E639</f>
        <v>0</v>
      </c>
      <c r="F532" s="3">
        <f t="shared" si="120"/>
        <v>0</v>
      </c>
      <c r="G532" s="3">
        <f t="shared" si="120"/>
        <v>0</v>
      </c>
      <c r="H532" s="3">
        <f t="shared" si="120"/>
        <v>0</v>
      </c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8"/>
    </row>
    <row r="533" spans="1:20" ht="15.95" customHeight="1" x14ac:dyDescent="0.2">
      <c r="A533" s="34" t="s">
        <v>366</v>
      </c>
      <c r="B533" s="78" t="s">
        <v>190</v>
      </c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9"/>
    </row>
    <row r="534" spans="1:20" ht="30" customHeight="1" x14ac:dyDescent="0.2">
      <c r="A534" s="34" t="s">
        <v>57</v>
      </c>
      <c r="B534" s="50" t="s">
        <v>88</v>
      </c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1"/>
    </row>
    <row r="535" spans="1:20" ht="45" customHeight="1" x14ac:dyDescent="0.2">
      <c r="A535" s="34"/>
      <c r="B535" s="78" t="s">
        <v>97</v>
      </c>
      <c r="C535" s="78"/>
      <c r="D535" s="78"/>
      <c r="E535" s="78"/>
      <c r="F535" s="78"/>
      <c r="G535" s="78"/>
      <c r="H535" s="78"/>
      <c r="I535" s="48" t="s">
        <v>28</v>
      </c>
      <c r="J535" s="48"/>
      <c r="K535" s="48" t="s">
        <v>35</v>
      </c>
      <c r="L535" s="48" t="s">
        <v>144</v>
      </c>
      <c r="M535" s="48" t="s">
        <v>221</v>
      </c>
      <c r="N535" s="48" t="s">
        <v>190</v>
      </c>
      <c r="O535" s="48" t="s">
        <v>221</v>
      </c>
      <c r="P535" s="38" t="s">
        <v>380</v>
      </c>
      <c r="Q535" s="48" t="s">
        <v>29</v>
      </c>
      <c r="R535" s="48" t="s">
        <v>34</v>
      </c>
      <c r="S535" s="48" t="s">
        <v>31</v>
      </c>
      <c r="T535" s="55" t="s">
        <v>269</v>
      </c>
    </row>
    <row r="536" spans="1:20" ht="15.95" customHeight="1" x14ac:dyDescent="0.2">
      <c r="A536" s="34"/>
      <c r="B536" s="25" t="s">
        <v>5</v>
      </c>
      <c r="C536" s="2">
        <f>D536+E536+F536+G536+H536</f>
        <v>1098081.49804</v>
      </c>
      <c r="D536" s="1">
        <f t="shared" ref="D536:H536" si="121">SUM(D537:D540)</f>
        <v>400739.69803999999</v>
      </c>
      <c r="E536" s="1">
        <f t="shared" si="121"/>
        <v>391047.4</v>
      </c>
      <c r="F536" s="1">
        <f t="shared" si="121"/>
        <v>306294.40000000002</v>
      </c>
      <c r="G536" s="1">
        <f t="shared" si="121"/>
        <v>0</v>
      </c>
      <c r="H536" s="1">
        <f t="shared" si="121"/>
        <v>0</v>
      </c>
      <c r="I536" s="48"/>
      <c r="J536" s="48"/>
      <c r="K536" s="48"/>
      <c r="L536" s="48"/>
      <c r="M536" s="48"/>
      <c r="N536" s="48"/>
      <c r="O536" s="48"/>
      <c r="P536" s="38"/>
      <c r="Q536" s="48"/>
      <c r="R536" s="48"/>
      <c r="S536" s="48"/>
      <c r="T536" s="55"/>
    </row>
    <row r="537" spans="1:20" ht="15.95" customHeight="1" x14ac:dyDescent="0.2">
      <c r="A537" s="34"/>
      <c r="B537" s="25" t="s">
        <v>0</v>
      </c>
      <c r="C537" s="2">
        <f>D537+E537+F537+G537+H537</f>
        <v>1054398.5</v>
      </c>
      <c r="D537" s="1">
        <f>0+376056.7</f>
        <v>376056.7</v>
      </c>
      <c r="E537" s="1">
        <f>0+372047.4</f>
        <v>372047.4</v>
      </c>
      <c r="F537" s="1">
        <f>0+306294.4</f>
        <v>306294.40000000002</v>
      </c>
      <c r="G537" s="1"/>
      <c r="H537" s="1"/>
      <c r="I537" s="48"/>
      <c r="J537" s="48"/>
      <c r="K537" s="48"/>
      <c r="L537" s="48"/>
      <c r="M537" s="48"/>
      <c r="N537" s="48"/>
      <c r="O537" s="48"/>
      <c r="P537" s="38"/>
      <c r="Q537" s="48"/>
      <c r="R537" s="48"/>
      <c r="S537" s="48"/>
      <c r="T537" s="55"/>
    </row>
    <row r="538" spans="1:20" ht="15.95" customHeight="1" x14ac:dyDescent="0.2">
      <c r="A538" s="34"/>
      <c r="B538" s="25" t="s">
        <v>1</v>
      </c>
      <c r="C538" s="2">
        <f>D538+E538+F538+G538+H538</f>
        <v>43682.998039999999</v>
      </c>
      <c r="D538" s="1">
        <f>50000-25317.00196</f>
        <v>24682.998039999999</v>
      </c>
      <c r="E538" s="1">
        <f>350000-252130-60000-18870</f>
        <v>19000</v>
      </c>
      <c r="F538" s="1"/>
      <c r="G538" s="1"/>
      <c r="H538" s="1"/>
      <c r="I538" s="48"/>
      <c r="J538" s="48"/>
      <c r="K538" s="48"/>
      <c r="L538" s="48"/>
      <c r="M538" s="48"/>
      <c r="N538" s="48"/>
      <c r="O538" s="48"/>
      <c r="P538" s="38"/>
      <c r="Q538" s="48"/>
      <c r="R538" s="48"/>
      <c r="S538" s="48"/>
      <c r="T538" s="55"/>
    </row>
    <row r="539" spans="1:20" ht="15.95" customHeight="1" x14ac:dyDescent="0.2">
      <c r="A539" s="34"/>
      <c r="B539" s="25" t="s">
        <v>2</v>
      </c>
      <c r="C539" s="2">
        <f>D539+E539+F539+G539+H539</f>
        <v>0</v>
      </c>
      <c r="D539" s="1"/>
      <c r="E539" s="1"/>
      <c r="F539" s="1"/>
      <c r="G539" s="1"/>
      <c r="H539" s="1"/>
      <c r="I539" s="48"/>
      <c r="J539" s="48"/>
      <c r="K539" s="48"/>
      <c r="L539" s="48"/>
      <c r="M539" s="48"/>
      <c r="N539" s="48"/>
      <c r="O539" s="48"/>
      <c r="P539" s="38"/>
      <c r="Q539" s="48"/>
      <c r="R539" s="48"/>
      <c r="S539" s="48"/>
      <c r="T539" s="55"/>
    </row>
    <row r="540" spans="1:20" ht="15.95" customHeight="1" x14ac:dyDescent="0.2">
      <c r="A540" s="34"/>
      <c r="B540" s="25" t="s">
        <v>3</v>
      </c>
      <c r="C540" s="2">
        <f>D540+E540+F540+G540+H540</f>
        <v>0</v>
      </c>
      <c r="D540" s="1"/>
      <c r="E540" s="1"/>
      <c r="F540" s="1"/>
      <c r="G540" s="1"/>
      <c r="H540" s="1"/>
      <c r="I540" s="48"/>
      <c r="J540" s="48"/>
      <c r="K540" s="48"/>
      <c r="L540" s="48"/>
      <c r="M540" s="48"/>
      <c r="N540" s="48"/>
      <c r="O540" s="48"/>
      <c r="P540" s="38"/>
      <c r="Q540" s="48"/>
      <c r="R540" s="48"/>
      <c r="S540" s="48"/>
      <c r="T540" s="55"/>
    </row>
    <row r="541" spans="1:20" ht="15.95" customHeight="1" x14ac:dyDescent="0.2">
      <c r="A541" s="34" t="s">
        <v>367</v>
      </c>
      <c r="B541" s="78" t="s">
        <v>190</v>
      </c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9"/>
    </row>
    <row r="542" spans="1:20" ht="15.95" customHeight="1" x14ac:dyDescent="0.2">
      <c r="A542" s="34"/>
      <c r="B542" s="50" t="s">
        <v>98</v>
      </c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1"/>
    </row>
    <row r="543" spans="1:20" ht="45" customHeight="1" x14ac:dyDescent="0.2">
      <c r="A543" s="34"/>
      <c r="B543" s="80" t="s">
        <v>99</v>
      </c>
      <c r="C543" s="80"/>
      <c r="D543" s="80"/>
      <c r="E543" s="80"/>
      <c r="F543" s="80"/>
      <c r="G543" s="80"/>
      <c r="H543" s="28"/>
      <c r="I543" s="48" t="s">
        <v>22</v>
      </c>
      <c r="J543" s="48"/>
      <c r="K543" s="48" t="s">
        <v>10</v>
      </c>
      <c r="L543" s="48"/>
      <c r="M543" s="48" t="s">
        <v>8</v>
      </c>
      <c r="N543" s="48" t="s">
        <v>197</v>
      </c>
      <c r="O543" s="48" t="s">
        <v>197</v>
      </c>
      <c r="P543" s="38"/>
      <c r="Q543" s="48" t="s">
        <v>7</v>
      </c>
      <c r="R543" s="48" t="s">
        <v>8</v>
      </c>
      <c r="S543" s="48" t="s">
        <v>31</v>
      </c>
      <c r="T543" s="55"/>
    </row>
    <row r="544" spans="1:20" ht="15.95" customHeight="1" x14ac:dyDescent="0.2">
      <c r="A544" s="34"/>
      <c r="B544" s="25" t="s">
        <v>5</v>
      </c>
      <c r="C544" s="2">
        <f>D544+E544+F544+G544+H544</f>
        <v>570913.17567999999</v>
      </c>
      <c r="D544" s="1">
        <f t="shared" ref="D544:G544" si="122">SUM(D545:D549)</f>
        <v>570913.17567999999</v>
      </c>
      <c r="E544" s="1">
        <f t="shared" si="122"/>
        <v>0</v>
      </c>
      <c r="F544" s="1">
        <f t="shared" si="122"/>
        <v>0</v>
      </c>
      <c r="G544" s="1">
        <f t="shared" si="122"/>
        <v>0</v>
      </c>
      <c r="H544" s="1">
        <f t="shared" ref="H544" si="123">SUM(H545:H549)</f>
        <v>0</v>
      </c>
      <c r="I544" s="48"/>
      <c r="J544" s="48"/>
      <c r="K544" s="48"/>
      <c r="L544" s="48"/>
      <c r="M544" s="48"/>
      <c r="N544" s="48"/>
      <c r="O544" s="48"/>
      <c r="P544" s="38"/>
      <c r="Q544" s="48"/>
      <c r="R544" s="48"/>
      <c r="S544" s="48"/>
      <c r="T544" s="55"/>
    </row>
    <row r="545" spans="1:20" ht="15.95" customHeight="1" x14ac:dyDescent="0.2">
      <c r="A545" s="34"/>
      <c r="B545" s="25" t="s">
        <v>0</v>
      </c>
      <c r="C545" s="2">
        <f>D545+E545+F545+H545+G545</f>
        <v>0</v>
      </c>
      <c r="D545" s="1"/>
      <c r="E545" s="1"/>
      <c r="F545" s="1"/>
      <c r="G545" s="1"/>
      <c r="H545" s="1"/>
      <c r="I545" s="48"/>
      <c r="J545" s="48"/>
      <c r="K545" s="48"/>
      <c r="L545" s="48"/>
      <c r="M545" s="48"/>
      <c r="N545" s="48"/>
      <c r="O545" s="48"/>
      <c r="P545" s="38"/>
      <c r="Q545" s="48"/>
      <c r="R545" s="48"/>
      <c r="S545" s="48"/>
      <c r="T545" s="55"/>
    </row>
    <row r="546" spans="1:20" ht="15.95" customHeight="1" x14ac:dyDescent="0.2">
      <c r="A546" s="34"/>
      <c r="B546" s="25" t="s">
        <v>1</v>
      </c>
      <c r="C546" s="2">
        <f>D546+E546+F546+H546+G546</f>
        <v>11932.051220000001</v>
      </c>
      <c r="D546" s="1">
        <f>5503.2257+6428.82552</f>
        <v>11932.051220000001</v>
      </c>
      <c r="E546" s="1"/>
      <c r="F546" s="1"/>
      <c r="G546" s="1"/>
      <c r="H546" s="1"/>
      <c r="I546" s="48"/>
      <c r="J546" s="48"/>
      <c r="K546" s="48"/>
      <c r="L546" s="48"/>
      <c r="M546" s="48"/>
      <c r="N546" s="48"/>
      <c r="O546" s="48"/>
      <c r="P546" s="38"/>
      <c r="Q546" s="48"/>
      <c r="R546" s="48"/>
      <c r="S546" s="48"/>
      <c r="T546" s="55"/>
    </row>
    <row r="547" spans="1:20" ht="15.95" customHeight="1" x14ac:dyDescent="0.2">
      <c r="A547" s="34"/>
      <c r="B547" s="25" t="s">
        <v>2</v>
      </c>
      <c r="C547" s="2">
        <f>D547+E547+F547+H547+G547</f>
        <v>509.65618000000001</v>
      </c>
      <c r="D547" s="1">
        <f>55.58814+454.06804</f>
        <v>509.65618000000001</v>
      </c>
      <c r="E547" s="1"/>
      <c r="F547" s="1"/>
      <c r="G547" s="1"/>
      <c r="H547" s="1"/>
      <c r="I547" s="48"/>
      <c r="J547" s="48"/>
      <c r="K547" s="48"/>
      <c r="L547" s="48"/>
      <c r="M547" s="48"/>
      <c r="N547" s="48"/>
      <c r="O547" s="48"/>
      <c r="P547" s="38"/>
      <c r="Q547" s="48"/>
      <c r="R547" s="48"/>
      <c r="S547" s="48"/>
      <c r="T547" s="55"/>
    </row>
    <row r="548" spans="1:20" ht="15.95" customHeight="1" x14ac:dyDescent="0.2">
      <c r="A548" s="34"/>
      <c r="B548" s="25" t="s">
        <v>3</v>
      </c>
      <c r="C548" s="2">
        <f>D548+E548+F548+H548+G548</f>
        <v>0</v>
      </c>
      <c r="D548" s="1"/>
      <c r="E548" s="1"/>
      <c r="F548" s="1"/>
      <c r="G548" s="1"/>
      <c r="H548" s="1"/>
      <c r="I548" s="48"/>
      <c r="J548" s="48"/>
      <c r="K548" s="48"/>
      <c r="L548" s="48"/>
      <c r="M548" s="48"/>
      <c r="N548" s="48"/>
      <c r="O548" s="48"/>
      <c r="P548" s="38"/>
      <c r="Q548" s="48"/>
      <c r="R548" s="48"/>
      <c r="S548" s="48"/>
      <c r="T548" s="55"/>
    </row>
    <row r="549" spans="1:20" ht="39.950000000000003" customHeight="1" x14ac:dyDescent="0.2">
      <c r="A549" s="34"/>
      <c r="B549" s="25" t="s">
        <v>143</v>
      </c>
      <c r="C549" s="2">
        <f>D549+E549+F549+H549+G549</f>
        <v>558471.46828000003</v>
      </c>
      <c r="D549" s="1">
        <f>510322.5704+48148.89788</f>
        <v>558471.46828000003</v>
      </c>
      <c r="E549" s="1"/>
      <c r="F549" s="1"/>
      <c r="G549" s="1"/>
      <c r="H549" s="1"/>
      <c r="I549" s="48"/>
      <c r="J549" s="48"/>
      <c r="K549" s="48"/>
      <c r="L549" s="48"/>
      <c r="M549" s="48"/>
      <c r="N549" s="48"/>
      <c r="O549" s="48"/>
      <c r="P549" s="38"/>
      <c r="Q549" s="48"/>
      <c r="R549" s="48"/>
      <c r="S549" s="48"/>
      <c r="T549" s="55"/>
    </row>
    <row r="550" spans="1:20" ht="15.95" customHeight="1" x14ac:dyDescent="0.2">
      <c r="A550" s="34" t="s">
        <v>155</v>
      </c>
      <c r="B550" s="78" t="s">
        <v>190</v>
      </c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9"/>
    </row>
    <row r="551" spans="1:20" ht="15.95" customHeight="1" x14ac:dyDescent="0.2">
      <c r="A551" s="34"/>
      <c r="B551" s="50" t="s">
        <v>98</v>
      </c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1"/>
    </row>
    <row r="552" spans="1:20" ht="45" customHeight="1" x14ac:dyDescent="0.2">
      <c r="A552" s="34"/>
      <c r="B552" s="80" t="s">
        <v>99</v>
      </c>
      <c r="C552" s="80"/>
      <c r="D552" s="80"/>
      <c r="E552" s="80"/>
      <c r="F552" s="80"/>
      <c r="G552" s="80"/>
      <c r="H552" s="80"/>
      <c r="I552" s="48" t="s">
        <v>22</v>
      </c>
      <c r="J552" s="48"/>
      <c r="K552" s="48" t="s">
        <v>40</v>
      </c>
      <c r="L552" s="48"/>
      <c r="M552" s="48" t="s">
        <v>51</v>
      </c>
      <c r="N552" s="48" t="s">
        <v>198</v>
      </c>
      <c r="O552" s="48" t="s">
        <v>198</v>
      </c>
      <c r="P552" s="38"/>
      <c r="Q552" s="48" t="s">
        <v>7</v>
      </c>
      <c r="R552" s="48" t="s">
        <v>531</v>
      </c>
      <c r="S552" s="48" t="s">
        <v>31</v>
      </c>
      <c r="T552" s="55"/>
    </row>
    <row r="553" spans="1:20" ht="15.95" customHeight="1" x14ac:dyDescent="0.2">
      <c r="A553" s="34"/>
      <c r="B553" s="25" t="s">
        <v>5</v>
      </c>
      <c r="C553" s="2">
        <f>D553+E553+F553+G553+H553</f>
        <v>1816.4999999999989</v>
      </c>
      <c r="D553" s="2">
        <f>SUM(D554:D558)</f>
        <v>1816.4999999999989</v>
      </c>
      <c r="E553" s="2">
        <f>SUM(E554:E558)</f>
        <v>0</v>
      </c>
      <c r="F553" s="2">
        <f t="shared" ref="F553:G553" si="124">SUM(F554:F558)</f>
        <v>0</v>
      </c>
      <c r="G553" s="2">
        <f t="shared" si="124"/>
        <v>0</v>
      </c>
      <c r="H553" s="1">
        <f>SUM(H554:H558)</f>
        <v>0</v>
      </c>
      <c r="I553" s="48"/>
      <c r="J553" s="48"/>
      <c r="K553" s="48"/>
      <c r="L553" s="48"/>
      <c r="M553" s="48"/>
      <c r="N553" s="48"/>
      <c r="O553" s="48"/>
      <c r="P553" s="38"/>
      <c r="Q553" s="48"/>
      <c r="R553" s="48"/>
      <c r="S553" s="48"/>
      <c r="T553" s="55"/>
    </row>
    <row r="554" spans="1:20" ht="15.95" customHeight="1" x14ac:dyDescent="0.2">
      <c r="A554" s="34"/>
      <c r="B554" s="25" t="s">
        <v>0</v>
      </c>
      <c r="C554" s="2">
        <f>D554+E554+F554+H554+G554</f>
        <v>0</v>
      </c>
      <c r="D554" s="1"/>
      <c r="E554" s="1"/>
      <c r="F554" s="1"/>
      <c r="G554" s="1"/>
      <c r="H554" s="1"/>
      <c r="I554" s="48"/>
      <c r="J554" s="48"/>
      <c r="K554" s="48"/>
      <c r="L554" s="48"/>
      <c r="M554" s="48"/>
      <c r="N554" s="48"/>
      <c r="O554" s="48"/>
      <c r="P554" s="38"/>
      <c r="Q554" s="48"/>
      <c r="R554" s="48"/>
      <c r="S554" s="48"/>
      <c r="T554" s="55"/>
    </row>
    <row r="555" spans="1:20" ht="15.95" customHeight="1" x14ac:dyDescent="0.2">
      <c r="A555" s="34"/>
      <c r="B555" s="25" t="s">
        <v>1</v>
      </c>
      <c r="C555" s="2">
        <f>D555+E555+F555+H555+G555</f>
        <v>16.348499999999831</v>
      </c>
      <c r="D555" s="1">
        <f>566.1511+1023.5883-1573.3909</f>
        <v>16.348499999999831</v>
      </c>
      <c r="E555" s="1"/>
      <c r="F555" s="1"/>
      <c r="G555" s="1"/>
      <c r="H555" s="1"/>
      <c r="I555" s="48"/>
      <c r="J555" s="48"/>
      <c r="K555" s="48"/>
      <c r="L555" s="48"/>
      <c r="M555" s="48"/>
      <c r="N555" s="48"/>
      <c r="O555" s="48"/>
      <c r="P555" s="38"/>
      <c r="Q555" s="48"/>
      <c r="R555" s="48"/>
      <c r="S555" s="48"/>
      <c r="T555" s="55"/>
    </row>
    <row r="556" spans="1:20" ht="15.95" customHeight="1" x14ac:dyDescent="0.2">
      <c r="A556" s="34"/>
      <c r="B556" s="25" t="s">
        <v>2</v>
      </c>
      <c r="C556" s="2">
        <f>D556+E556+F556+H556+G556</f>
        <v>1.8165</v>
      </c>
      <c r="D556" s="1">
        <f>5.7187-3.9022</f>
        <v>1.8165</v>
      </c>
      <c r="E556" s="1"/>
      <c r="F556" s="1"/>
      <c r="G556" s="1"/>
      <c r="H556" s="1"/>
      <c r="I556" s="48"/>
      <c r="J556" s="48"/>
      <c r="K556" s="48"/>
      <c r="L556" s="48"/>
      <c r="M556" s="48"/>
      <c r="N556" s="48"/>
      <c r="O556" s="48"/>
      <c r="P556" s="38"/>
      <c r="Q556" s="48"/>
      <c r="R556" s="48"/>
      <c r="S556" s="48"/>
      <c r="T556" s="55"/>
    </row>
    <row r="557" spans="1:20" ht="15.95" customHeight="1" x14ac:dyDescent="0.2">
      <c r="A557" s="34"/>
      <c r="B557" s="25" t="s">
        <v>3</v>
      </c>
      <c r="C557" s="2">
        <f>D557+E557+F557+H557+G557</f>
        <v>0</v>
      </c>
      <c r="D557" s="1"/>
      <c r="E557" s="1"/>
      <c r="F557" s="1"/>
      <c r="G557" s="1"/>
      <c r="H557" s="1"/>
      <c r="I557" s="48"/>
      <c r="J557" s="48"/>
      <c r="K557" s="48"/>
      <c r="L557" s="48"/>
      <c r="M557" s="48"/>
      <c r="N557" s="48"/>
      <c r="O557" s="48"/>
      <c r="P557" s="38"/>
      <c r="Q557" s="48"/>
      <c r="R557" s="48"/>
      <c r="S557" s="48"/>
      <c r="T557" s="55"/>
    </row>
    <row r="558" spans="1:20" ht="39.950000000000003" customHeight="1" x14ac:dyDescent="0.2">
      <c r="A558" s="34"/>
      <c r="B558" s="25" t="s">
        <v>143</v>
      </c>
      <c r="C558" s="2">
        <f>D558+E558+F558+H558+G558</f>
        <v>1798.3349999999991</v>
      </c>
      <c r="D558" s="1">
        <f>56615.1107-54816.7757</f>
        <v>1798.3349999999991</v>
      </c>
      <c r="E558" s="1"/>
      <c r="F558" s="1"/>
      <c r="G558" s="1"/>
      <c r="H558" s="1"/>
      <c r="I558" s="48"/>
      <c r="J558" s="48"/>
      <c r="K558" s="48"/>
      <c r="L558" s="48"/>
      <c r="M558" s="48"/>
      <c r="N558" s="48"/>
      <c r="O558" s="48"/>
      <c r="P558" s="38"/>
      <c r="Q558" s="48"/>
      <c r="R558" s="48"/>
      <c r="S558" s="48"/>
      <c r="T558" s="55"/>
    </row>
    <row r="559" spans="1:20" ht="15.95" customHeight="1" x14ac:dyDescent="0.2">
      <c r="A559" s="34" t="s">
        <v>156</v>
      </c>
      <c r="B559" s="78" t="s">
        <v>190</v>
      </c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9"/>
    </row>
    <row r="560" spans="1:20" ht="15.95" customHeight="1" x14ac:dyDescent="0.2">
      <c r="A560" s="34"/>
      <c r="B560" s="50" t="s">
        <v>98</v>
      </c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1"/>
    </row>
    <row r="561" spans="1:20" ht="45" customHeight="1" x14ac:dyDescent="0.2">
      <c r="A561" s="34"/>
      <c r="B561" s="80" t="s">
        <v>99</v>
      </c>
      <c r="C561" s="80"/>
      <c r="D561" s="80"/>
      <c r="E561" s="80"/>
      <c r="F561" s="80"/>
      <c r="G561" s="80"/>
      <c r="H561" s="80"/>
      <c r="I561" s="48" t="s">
        <v>22</v>
      </c>
      <c r="J561" s="48"/>
      <c r="K561" s="48" t="s">
        <v>40</v>
      </c>
      <c r="L561" s="48"/>
      <c r="M561" s="48" t="s">
        <v>199</v>
      </c>
      <c r="N561" s="48" t="s">
        <v>200</v>
      </c>
      <c r="O561" s="48" t="s">
        <v>200</v>
      </c>
      <c r="P561" s="38"/>
      <c r="Q561" s="48" t="s">
        <v>7</v>
      </c>
      <c r="R561" s="48" t="s">
        <v>532</v>
      </c>
      <c r="S561" s="48" t="s">
        <v>31</v>
      </c>
      <c r="T561" s="55"/>
    </row>
    <row r="562" spans="1:20" ht="15.95" customHeight="1" x14ac:dyDescent="0.2">
      <c r="A562" s="34"/>
      <c r="B562" s="25" t="s">
        <v>5</v>
      </c>
      <c r="C562" s="2">
        <f>D562+E562+F562+H562</f>
        <v>261831.29562000002</v>
      </c>
      <c r="D562" s="2">
        <f t="shared" ref="D562" si="125">SUM(D563:D567)</f>
        <v>261831.29562000002</v>
      </c>
      <c r="E562" s="2">
        <f>SUM(E563:E567)</f>
        <v>0</v>
      </c>
      <c r="F562" s="2">
        <f t="shared" ref="F562:G562" si="126">SUM(F563:F567)</f>
        <v>0</v>
      </c>
      <c r="G562" s="2">
        <f t="shared" si="126"/>
        <v>0</v>
      </c>
      <c r="H562" s="1">
        <f>SUM(H563:H567)</f>
        <v>0</v>
      </c>
      <c r="I562" s="48"/>
      <c r="J562" s="48"/>
      <c r="K562" s="48"/>
      <c r="L562" s="48"/>
      <c r="M562" s="48"/>
      <c r="N562" s="48"/>
      <c r="O562" s="48"/>
      <c r="P562" s="38"/>
      <c r="Q562" s="48"/>
      <c r="R562" s="48"/>
      <c r="S562" s="48"/>
      <c r="T562" s="55"/>
    </row>
    <row r="563" spans="1:20" ht="15.95" customHeight="1" x14ac:dyDescent="0.2">
      <c r="A563" s="34"/>
      <c r="B563" s="25" t="s">
        <v>0</v>
      </c>
      <c r="C563" s="2">
        <f>D563+E563+F563+H563+G563</f>
        <v>0</v>
      </c>
      <c r="D563" s="1"/>
      <c r="E563" s="1"/>
      <c r="F563" s="1"/>
      <c r="G563" s="1"/>
      <c r="H563" s="1"/>
      <c r="I563" s="48"/>
      <c r="J563" s="48"/>
      <c r="K563" s="48"/>
      <c r="L563" s="48"/>
      <c r="M563" s="48"/>
      <c r="N563" s="48"/>
      <c r="O563" s="48"/>
      <c r="P563" s="38"/>
      <c r="Q563" s="48"/>
      <c r="R563" s="48"/>
      <c r="S563" s="48"/>
      <c r="T563" s="55"/>
    </row>
    <row r="564" spans="1:20" ht="15.95" customHeight="1" x14ac:dyDescent="0.2">
      <c r="A564" s="34"/>
      <c r="B564" s="25" t="s">
        <v>1</v>
      </c>
      <c r="C564" s="2">
        <f>D564+E564+F564+H564+G564</f>
        <v>6755.8798999999999</v>
      </c>
      <c r="D564" s="1">
        <f>3194.44899+3561.43091</f>
        <v>6755.8798999999999</v>
      </c>
      <c r="E564" s="1"/>
      <c r="F564" s="1"/>
      <c r="G564" s="1"/>
      <c r="H564" s="1"/>
      <c r="I564" s="48"/>
      <c r="J564" s="48"/>
      <c r="K564" s="48"/>
      <c r="L564" s="48"/>
      <c r="M564" s="48"/>
      <c r="N564" s="48"/>
      <c r="O564" s="48"/>
      <c r="P564" s="38"/>
      <c r="Q564" s="48"/>
      <c r="R564" s="48"/>
      <c r="S564" s="48"/>
      <c r="T564" s="55"/>
    </row>
    <row r="565" spans="1:20" ht="15.95" customHeight="1" x14ac:dyDescent="0.2">
      <c r="A565" s="34"/>
      <c r="B565" s="25" t="s">
        <v>2</v>
      </c>
      <c r="C565" s="2">
        <f>D565+E565+F565+H565+G565</f>
        <v>267.22464000000002</v>
      </c>
      <c r="D565" s="1">
        <f>32.26716+234.95748</f>
        <v>267.22464000000002</v>
      </c>
      <c r="E565" s="1"/>
      <c r="F565" s="1"/>
      <c r="G565" s="1"/>
      <c r="H565" s="1"/>
      <c r="I565" s="48"/>
      <c r="J565" s="48"/>
      <c r="K565" s="48"/>
      <c r="L565" s="48"/>
      <c r="M565" s="48"/>
      <c r="N565" s="48"/>
      <c r="O565" s="48"/>
      <c r="P565" s="38"/>
      <c r="Q565" s="48"/>
      <c r="R565" s="48"/>
      <c r="S565" s="48"/>
      <c r="T565" s="55"/>
    </row>
    <row r="566" spans="1:20" ht="15.95" customHeight="1" x14ac:dyDescent="0.2">
      <c r="A566" s="34"/>
      <c r="B566" s="25" t="s">
        <v>3</v>
      </c>
      <c r="C566" s="2">
        <f>D566+E566+F566+H566+G566</f>
        <v>0</v>
      </c>
      <c r="D566" s="1"/>
      <c r="E566" s="1"/>
      <c r="F566" s="1"/>
      <c r="G566" s="1"/>
      <c r="H566" s="1"/>
      <c r="I566" s="48"/>
      <c r="J566" s="48"/>
      <c r="K566" s="48"/>
      <c r="L566" s="48"/>
      <c r="M566" s="48"/>
      <c r="N566" s="48"/>
      <c r="O566" s="48"/>
      <c r="P566" s="38"/>
      <c r="Q566" s="48"/>
      <c r="R566" s="48"/>
      <c r="S566" s="48"/>
      <c r="T566" s="55"/>
    </row>
    <row r="567" spans="1:20" ht="39.950000000000003" customHeight="1" x14ac:dyDescent="0.2">
      <c r="A567" s="34"/>
      <c r="B567" s="25" t="s">
        <v>143</v>
      </c>
      <c r="C567" s="2">
        <f>D567+E567+F567+H567+G567</f>
        <v>254808.19108000002</v>
      </c>
      <c r="D567" s="1">
        <f>314444.89935-59636.70827</f>
        <v>254808.19108000002</v>
      </c>
      <c r="E567" s="1"/>
      <c r="F567" s="1"/>
      <c r="G567" s="1"/>
      <c r="H567" s="1"/>
      <c r="I567" s="48"/>
      <c r="J567" s="48"/>
      <c r="K567" s="48"/>
      <c r="L567" s="48"/>
      <c r="M567" s="48"/>
      <c r="N567" s="48"/>
      <c r="O567" s="48"/>
      <c r="P567" s="38"/>
      <c r="Q567" s="48"/>
      <c r="R567" s="48"/>
      <c r="S567" s="48"/>
      <c r="T567" s="55"/>
    </row>
    <row r="568" spans="1:20" ht="15.95" customHeight="1" x14ac:dyDescent="0.2">
      <c r="A568" s="34" t="s">
        <v>330</v>
      </c>
      <c r="B568" s="78" t="s">
        <v>190</v>
      </c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9"/>
    </row>
    <row r="569" spans="1:20" ht="15.95" customHeight="1" x14ac:dyDescent="0.2">
      <c r="A569" s="34"/>
      <c r="B569" s="50" t="s">
        <v>98</v>
      </c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1"/>
    </row>
    <row r="570" spans="1:20" ht="45" customHeight="1" x14ac:dyDescent="0.2">
      <c r="A570" s="34"/>
      <c r="B570" s="80" t="s">
        <v>99</v>
      </c>
      <c r="C570" s="80"/>
      <c r="D570" s="80"/>
      <c r="E570" s="80"/>
      <c r="F570" s="80"/>
      <c r="G570" s="80"/>
      <c r="H570" s="80"/>
      <c r="I570" s="48" t="s">
        <v>22</v>
      </c>
      <c r="J570" s="48"/>
      <c r="K570" s="48" t="s">
        <v>40</v>
      </c>
      <c r="L570" s="48"/>
      <c r="M570" s="48" t="s">
        <v>50</v>
      </c>
      <c r="N570" s="48" t="s">
        <v>201</v>
      </c>
      <c r="O570" s="48" t="s">
        <v>201</v>
      </c>
      <c r="P570" s="38"/>
      <c r="Q570" s="48" t="s">
        <v>7</v>
      </c>
      <c r="R570" s="48" t="s">
        <v>536</v>
      </c>
      <c r="S570" s="48" t="s">
        <v>31</v>
      </c>
      <c r="T570" s="55"/>
    </row>
    <row r="571" spans="1:20" ht="15.95" customHeight="1" x14ac:dyDescent="0.2">
      <c r="A571" s="34"/>
      <c r="B571" s="25" t="s">
        <v>5</v>
      </c>
      <c r="C571" s="2">
        <f>D571+E571+F571+G571+H571</f>
        <v>30470.93707</v>
      </c>
      <c r="D571" s="2">
        <f>SUM(D572:D576)</f>
        <v>30470.93707</v>
      </c>
      <c r="E571" s="2">
        <f>SUM(E572:E576)</f>
        <v>0</v>
      </c>
      <c r="F571" s="2">
        <f t="shared" ref="F571:G571" si="127">SUM(F572:F576)</f>
        <v>0</v>
      </c>
      <c r="G571" s="2">
        <f t="shared" si="127"/>
        <v>0</v>
      </c>
      <c r="H571" s="1">
        <f>SUM(H572:H576)</f>
        <v>0</v>
      </c>
      <c r="I571" s="48"/>
      <c r="J571" s="48"/>
      <c r="K571" s="48"/>
      <c r="L571" s="48"/>
      <c r="M571" s="48"/>
      <c r="N571" s="48"/>
      <c r="O571" s="48"/>
      <c r="P571" s="38"/>
      <c r="Q571" s="48"/>
      <c r="R571" s="48"/>
      <c r="S571" s="48"/>
      <c r="T571" s="55"/>
    </row>
    <row r="572" spans="1:20" ht="15.95" customHeight="1" x14ac:dyDescent="0.2">
      <c r="A572" s="34"/>
      <c r="B572" s="25" t="s">
        <v>0</v>
      </c>
      <c r="C572" s="2">
        <f>D572+E572+F572+H572+G572</f>
        <v>0</v>
      </c>
      <c r="D572" s="1"/>
      <c r="E572" s="1"/>
      <c r="F572" s="1"/>
      <c r="G572" s="1"/>
      <c r="H572" s="1"/>
      <c r="I572" s="48"/>
      <c r="J572" s="48"/>
      <c r="K572" s="48"/>
      <c r="L572" s="48"/>
      <c r="M572" s="48"/>
      <c r="N572" s="48"/>
      <c r="O572" s="48"/>
      <c r="P572" s="38"/>
      <c r="Q572" s="48"/>
      <c r="R572" s="48"/>
      <c r="S572" s="48"/>
      <c r="T572" s="55"/>
    </row>
    <row r="573" spans="1:20" ht="15.95" customHeight="1" x14ac:dyDescent="0.2">
      <c r="A573" s="34"/>
      <c r="B573" s="25" t="s">
        <v>1</v>
      </c>
      <c r="C573" s="2">
        <f>D573+E573+F573+H573+G573</f>
        <v>301.66226999999998</v>
      </c>
      <c r="D573" s="1">
        <f>351.0997-49.43743</f>
        <v>301.66226999999998</v>
      </c>
      <c r="E573" s="1"/>
      <c r="F573" s="1"/>
      <c r="G573" s="1"/>
      <c r="H573" s="1"/>
      <c r="I573" s="48"/>
      <c r="J573" s="48"/>
      <c r="K573" s="48"/>
      <c r="L573" s="48"/>
      <c r="M573" s="48"/>
      <c r="N573" s="48"/>
      <c r="O573" s="48"/>
      <c r="P573" s="38"/>
      <c r="Q573" s="48"/>
      <c r="R573" s="48"/>
      <c r="S573" s="48"/>
      <c r="T573" s="55"/>
    </row>
    <row r="574" spans="1:20" ht="15.95" customHeight="1" x14ac:dyDescent="0.2">
      <c r="A574" s="34"/>
      <c r="B574" s="25" t="s">
        <v>2</v>
      </c>
      <c r="C574" s="2">
        <f>D574+E574+F574+H574+G574</f>
        <v>30.470939999999999</v>
      </c>
      <c r="D574" s="1">
        <f>3.54646+26.92448</f>
        <v>30.470939999999999</v>
      </c>
      <c r="E574" s="1"/>
      <c r="F574" s="1"/>
      <c r="G574" s="1"/>
      <c r="H574" s="1"/>
      <c r="I574" s="48"/>
      <c r="J574" s="48"/>
      <c r="K574" s="48"/>
      <c r="L574" s="48"/>
      <c r="M574" s="48"/>
      <c r="N574" s="48"/>
      <c r="O574" s="48"/>
      <c r="P574" s="38"/>
      <c r="Q574" s="48"/>
      <c r="R574" s="48"/>
      <c r="S574" s="48"/>
      <c r="T574" s="55"/>
    </row>
    <row r="575" spans="1:20" ht="15.95" customHeight="1" x14ac:dyDescent="0.2">
      <c r="A575" s="34"/>
      <c r="B575" s="25" t="s">
        <v>3</v>
      </c>
      <c r="C575" s="2">
        <f>D575+E575+F575+H575+G575</f>
        <v>0</v>
      </c>
      <c r="D575" s="1"/>
      <c r="E575" s="1"/>
      <c r="F575" s="1"/>
      <c r="G575" s="1"/>
      <c r="H575" s="1"/>
      <c r="I575" s="48"/>
      <c r="J575" s="48"/>
      <c r="K575" s="48"/>
      <c r="L575" s="48"/>
      <c r="M575" s="48"/>
      <c r="N575" s="48"/>
      <c r="O575" s="48"/>
      <c r="P575" s="38"/>
      <c r="Q575" s="48"/>
      <c r="R575" s="48"/>
      <c r="S575" s="48"/>
      <c r="T575" s="55"/>
    </row>
    <row r="576" spans="1:20" ht="39.950000000000003" customHeight="1" x14ac:dyDescent="0.2">
      <c r="A576" s="34"/>
      <c r="B576" s="25" t="s">
        <v>143</v>
      </c>
      <c r="C576" s="2">
        <f>D576+E576+F576+H576+G576</f>
        <v>30138.80386</v>
      </c>
      <c r="D576" s="1">
        <f>35109.97004-4971.16618</f>
        <v>30138.80386</v>
      </c>
      <c r="E576" s="1"/>
      <c r="F576" s="1"/>
      <c r="G576" s="1"/>
      <c r="H576" s="1"/>
      <c r="I576" s="48"/>
      <c r="J576" s="48"/>
      <c r="K576" s="48"/>
      <c r="L576" s="48"/>
      <c r="M576" s="48"/>
      <c r="N576" s="48"/>
      <c r="O576" s="48"/>
      <c r="P576" s="38"/>
      <c r="Q576" s="48"/>
      <c r="R576" s="48"/>
      <c r="S576" s="48"/>
      <c r="T576" s="55"/>
    </row>
    <row r="577" spans="1:20" ht="15.95" customHeight="1" x14ac:dyDescent="0.2">
      <c r="A577" s="34" t="s">
        <v>331</v>
      </c>
      <c r="B577" s="78" t="s">
        <v>190</v>
      </c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9"/>
    </row>
    <row r="578" spans="1:20" ht="15.95" customHeight="1" x14ac:dyDescent="0.2">
      <c r="A578" s="34"/>
      <c r="B578" s="50" t="s">
        <v>98</v>
      </c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1"/>
    </row>
    <row r="579" spans="1:20" ht="45" customHeight="1" x14ac:dyDescent="0.2">
      <c r="A579" s="34"/>
      <c r="B579" s="80" t="s">
        <v>99</v>
      </c>
      <c r="C579" s="80"/>
      <c r="D579" s="80"/>
      <c r="E579" s="80"/>
      <c r="F579" s="80"/>
      <c r="G579" s="80"/>
      <c r="H579" s="80"/>
      <c r="I579" s="48" t="s">
        <v>22</v>
      </c>
      <c r="J579" s="48"/>
      <c r="K579" s="48" t="s">
        <v>40</v>
      </c>
      <c r="L579" s="48"/>
      <c r="M579" s="48" t="s">
        <v>202</v>
      </c>
      <c r="N579" s="48" t="s">
        <v>203</v>
      </c>
      <c r="O579" s="48" t="s">
        <v>203</v>
      </c>
      <c r="P579" s="38"/>
      <c r="Q579" s="48" t="s">
        <v>7</v>
      </c>
      <c r="R579" s="48" t="s">
        <v>537</v>
      </c>
      <c r="S579" s="48" t="s">
        <v>31</v>
      </c>
      <c r="T579" s="55"/>
    </row>
    <row r="580" spans="1:20" ht="15.95" customHeight="1" x14ac:dyDescent="0.2">
      <c r="A580" s="34"/>
      <c r="B580" s="25" t="s">
        <v>5</v>
      </c>
      <c r="C580" s="2">
        <f>D580+E580+F580+G580+H580</f>
        <v>5000</v>
      </c>
      <c r="D580" s="2">
        <f>SUM(D581:D585)</f>
        <v>5000</v>
      </c>
      <c r="E580" s="2">
        <f>SUM(E581:E585)</f>
        <v>0</v>
      </c>
      <c r="F580" s="2">
        <f t="shared" ref="F580:G580" si="128">SUM(F581:F585)</f>
        <v>0</v>
      </c>
      <c r="G580" s="2">
        <f t="shared" si="128"/>
        <v>0</v>
      </c>
      <c r="H580" s="1">
        <f>SUM(H581:H585)</f>
        <v>0</v>
      </c>
      <c r="I580" s="48"/>
      <c r="J580" s="48"/>
      <c r="K580" s="48"/>
      <c r="L580" s="48"/>
      <c r="M580" s="48"/>
      <c r="N580" s="48"/>
      <c r="O580" s="48"/>
      <c r="P580" s="38"/>
      <c r="Q580" s="48"/>
      <c r="R580" s="48"/>
      <c r="S580" s="48"/>
      <c r="T580" s="55"/>
    </row>
    <row r="581" spans="1:20" ht="15.95" customHeight="1" x14ac:dyDescent="0.2">
      <c r="A581" s="34"/>
      <c r="B581" s="25" t="s">
        <v>0</v>
      </c>
      <c r="C581" s="2">
        <f>D581+E581+F581+H581+G581</f>
        <v>0</v>
      </c>
      <c r="D581" s="1"/>
      <c r="E581" s="1"/>
      <c r="F581" s="1"/>
      <c r="G581" s="1"/>
      <c r="H581" s="1"/>
      <c r="I581" s="48"/>
      <c r="J581" s="48"/>
      <c r="K581" s="48"/>
      <c r="L581" s="48"/>
      <c r="M581" s="48"/>
      <c r="N581" s="48"/>
      <c r="O581" s="48"/>
      <c r="P581" s="38"/>
      <c r="Q581" s="48"/>
      <c r="R581" s="48"/>
      <c r="S581" s="48"/>
      <c r="T581" s="55"/>
    </row>
    <row r="582" spans="1:20" ht="15.95" customHeight="1" x14ac:dyDescent="0.2">
      <c r="A582" s="34"/>
      <c r="B582" s="25" t="s">
        <v>1</v>
      </c>
      <c r="C582" s="2">
        <f>D582+E582+F582+H582+G582</f>
        <v>45</v>
      </c>
      <c r="D582" s="1">
        <f>417.0871-372.0871</f>
        <v>45</v>
      </c>
      <c r="E582" s="1"/>
      <c r="F582" s="1"/>
      <c r="G582" s="1"/>
      <c r="H582" s="1"/>
      <c r="I582" s="48"/>
      <c r="J582" s="48"/>
      <c r="K582" s="48"/>
      <c r="L582" s="48"/>
      <c r="M582" s="48"/>
      <c r="N582" s="48"/>
      <c r="O582" s="48"/>
      <c r="P582" s="38"/>
      <c r="Q582" s="48"/>
      <c r="R582" s="48"/>
      <c r="S582" s="48"/>
      <c r="T582" s="55"/>
    </row>
    <row r="583" spans="1:20" ht="15.95" customHeight="1" x14ac:dyDescent="0.2">
      <c r="A583" s="34"/>
      <c r="B583" s="25" t="s">
        <v>2</v>
      </c>
      <c r="C583" s="2">
        <f>D583+E583+F583+H583+G583</f>
        <v>5</v>
      </c>
      <c r="D583" s="1">
        <f>4.213+0.787</f>
        <v>5</v>
      </c>
      <c r="E583" s="1"/>
      <c r="F583" s="1"/>
      <c r="G583" s="1"/>
      <c r="H583" s="1"/>
      <c r="I583" s="48"/>
      <c r="J583" s="48"/>
      <c r="K583" s="48"/>
      <c r="L583" s="48"/>
      <c r="M583" s="48"/>
      <c r="N583" s="48"/>
      <c r="O583" s="48"/>
      <c r="P583" s="38"/>
      <c r="Q583" s="48"/>
      <c r="R583" s="48"/>
      <c r="S583" s="48"/>
      <c r="T583" s="55"/>
    </row>
    <row r="584" spans="1:20" ht="15.95" customHeight="1" x14ac:dyDescent="0.2">
      <c r="A584" s="34"/>
      <c r="B584" s="25" t="s">
        <v>3</v>
      </c>
      <c r="C584" s="2">
        <f>D584+E584+F584+H584+G584</f>
        <v>0</v>
      </c>
      <c r="D584" s="1"/>
      <c r="E584" s="1"/>
      <c r="F584" s="1"/>
      <c r="G584" s="1"/>
      <c r="H584" s="1"/>
      <c r="I584" s="48"/>
      <c r="J584" s="48"/>
      <c r="K584" s="48"/>
      <c r="L584" s="48"/>
      <c r="M584" s="48"/>
      <c r="N584" s="48"/>
      <c r="O584" s="48"/>
      <c r="P584" s="38"/>
      <c r="Q584" s="48"/>
      <c r="R584" s="48"/>
      <c r="S584" s="48"/>
      <c r="T584" s="55"/>
    </row>
    <row r="585" spans="1:20" ht="39.950000000000003" customHeight="1" x14ac:dyDescent="0.2">
      <c r="A585" s="34"/>
      <c r="B585" s="25" t="s">
        <v>143</v>
      </c>
      <c r="C585" s="2">
        <f>D585+E585+F585+H585+G585</f>
        <v>4950</v>
      </c>
      <c r="D585" s="1">
        <f>41708.7099-36758.7099</f>
        <v>4950</v>
      </c>
      <c r="E585" s="1"/>
      <c r="F585" s="1"/>
      <c r="G585" s="1"/>
      <c r="H585" s="1"/>
      <c r="I585" s="48"/>
      <c r="J585" s="48"/>
      <c r="K585" s="48"/>
      <c r="L585" s="48"/>
      <c r="M585" s="48"/>
      <c r="N585" s="48"/>
      <c r="O585" s="48"/>
      <c r="P585" s="38"/>
      <c r="Q585" s="48"/>
      <c r="R585" s="48"/>
      <c r="S585" s="48"/>
      <c r="T585" s="55"/>
    </row>
    <row r="586" spans="1:20" ht="15.95" customHeight="1" x14ac:dyDescent="0.2">
      <c r="A586" s="34" t="s">
        <v>157</v>
      </c>
      <c r="B586" s="78" t="s">
        <v>190</v>
      </c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9"/>
    </row>
    <row r="587" spans="1:20" ht="15.95" customHeight="1" x14ac:dyDescent="0.2">
      <c r="A587" s="34"/>
      <c r="B587" s="50" t="s">
        <v>98</v>
      </c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1"/>
    </row>
    <row r="588" spans="1:20" ht="39.950000000000003" customHeight="1" x14ac:dyDescent="0.2">
      <c r="A588" s="34"/>
      <c r="B588" s="80" t="s">
        <v>99</v>
      </c>
      <c r="C588" s="80"/>
      <c r="D588" s="80"/>
      <c r="E588" s="80"/>
      <c r="F588" s="80"/>
      <c r="G588" s="80"/>
      <c r="H588" s="80"/>
      <c r="I588" s="48" t="s">
        <v>22</v>
      </c>
      <c r="J588" s="48"/>
      <c r="K588" s="48" t="s">
        <v>40</v>
      </c>
      <c r="L588" s="48"/>
      <c r="M588" s="48" t="s">
        <v>204</v>
      </c>
      <c r="N588" s="48" t="s">
        <v>205</v>
      </c>
      <c r="O588" s="48" t="s">
        <v>205</v>
      </c>
      <c r="P588" s="38"/>
      <c r="Q588" s="48" t="s">
        <v>7</v>
      </c>
      <c r="R588" s="48" t="s">
        <v>530</v>
      </c>
      <c r="S588" s="48" t="s">
        <v>31</v>
      </c>
      <c r="T588" s="55"/>
    </row>
    <row r="589" spans="1:20" ht="15.95" customHeight="1" x14ac:dyDescent="0.2">
      <c r="A589" s="34"/>
      <c r="B589" s="25" t="s">
        <v>5</v>
      </c>
      <c r="C589" s="2">
        <f>D589+E589+F589+G589+H589</f>
        <v>995.88500999999928</v>
      </c>
      <c r="D589" s="2">
        <f>SUM(D590:D594)</f>
        <v>995.88500999999928</v>
      </c>
      <c r="E589" s="2">
        <f>SUM(E590:E594)</f>
        <v>0</v>
      </c>
      <c r="F589" s="2">
        <f t="shared" ref="F589:G589" si="129">SUM(F590:F594)</f>
        <v>0</v>
      </c>
      <c r="G589" s="2">
        <f t="shared" si="129"/>
        <v>0</v>
      </c>
      <c r="H589" s="1">
        <f>SUM(H590:H594)</f>
        <v>0</v>
      </c>
      <c r="I589" s="48"/>
      <c r="J589" s="48"/>
      <c r="K589" s="48"/>
      <c r="L589" s="48"/>
      <c r="M589" s="48"/>
      <c r="N589" s="48"/>
      <c r="O589" s="48"/>
      <c r="P589" s="38"/>
      <c r="Q589" s="48"/>
      <c r="R589" s="48"/>
      <c r="S589" s="48"/>
      <c r="T589" s="55"/>
    </row>
    <row r="590" spans="1:20" ht="15.95" customHeight="1" x14ac:dyDescent="0.2">
      <c r="A590" s="34"/>
      <c r="B590" s="25" t="s">
        <v>0</v>
      </c>
      <c r="C590" s="2">
        <f>D590+E590+F590+H590+G590</f>
        <v>0</v>
      </c>
      <c r="D590" s="1"/>
      <c r="E590" s="1"/>
      <c r="F590" s="1"/>
      <c r="G590" s="1"/>
      <c r="H590" s="1"/>
      <c r="I590" s="48"/>
      <c r="J590" s="48"/>
      <c r="K590" s="48"/>
      <c r="L590" s="48"/>
      <c r="M590" s="48"/>
      <c r="N590" s="48"/>
      <c r="O590" s="48"/>
      <c r="P590" s="38"/>
      <c r="Q590" s="48"/>
      <c r="R590" s="48"/>
      <c r="S590" s="48"/>
      <c r="T590" s="55"/>
    </row>
    <row r="591" spans="1:20" ht="15.95" customHeight="1" x14ac:dyDescent="0.2">
      <c r="A591" s="34"/>
      <c r="B591" s="25" t="s">
        <v>1</v>
      </c>
      <c r="C591" s="2">
        <f>D591+E591+F591+H591+G591</f>
        <v>8.9629699999999808</v>
      </c>
      <c r="D591" s="1">
        <f>493.12046-483.26119-0.8963</f>
        <v>8.9629699999999808</v>
      </c>
      <c r="E591" s="1"/>
      <c r="F591" s="1"/>
      <c r="G591" s="1"/>
      <c r="H591" s="1"/>
      <c r="I591" s="48"/>
      <c r="J591" s="48"/>
      <c r="K591" s="48"/>
      <c r="L591" s="48"/>
      <c r="M591" s="48"/>
      <c r="N591" s="48"/>
      <c r="O591" s="48"/>
      <c r="P591" s="38"/>
      <c r="Q591" s="48"/>
      <c r="R591" s="48"/>
      <c r="S591" s="48"/>
      <c r="T591" s="55"/>
    </row>
    <row r="592" spans="1:20" ht="15.95" customHeight="1" x14ac:dyDescent="0.2">
      <c r="A592" s="34"/>
      <c r="B592" s="25" t="s">
        <v>2</v>
      </c>
      <c r="C592" s="2">
        <f>D592+E592+F592+H592+G592</f>
        <v>0.99589000000000016</v>
      </c>
      <c r="D592" s="1">
        <f>4.98101-3.98512</f>
        <v>0.99589000000000016</v>
      </c>
      <c r="E592" s="1"/>
      <c r="F592" s="1"/>
      <c r="G592" s="1"/>
      <c r="H592" s="1"/>
      <c r="I592" s="48"/>
      <c r="J592" s="48"/>
      <c r="K592" s="48"/>
      <c r="L592" s="48"/>
      <c r="M592" s="48"/>
      <c r="N592" s="48"/>
      <c r="O592" s="48"/>
      <c r="P592" s="38"/>
      <c r="Q592" s="48"/>
      <c r="R592" s="48"/>
      <c r="S592" s="48"/>
      <c r="T592" s="55"/>
    </row>
    <row r="593" spans="1:20" ht="15.95" customHeight="1" x14ac:dyDescent="0.2">
      <c r="A593" s="34"/>
      <c r="B593" s="25" t="s">
        <v>3</v>
      </c>
      <c r="C593" s="2">
        <f>D593+E593+F593+H593+G593</f>
        <v>0</v>
      </c>
      <c r="D593" s="1"/>
      <c r="E593" s="1"/>
      <c r="F593" s="1"/>
      <c r="G593" s="1"/>
      <c r="H593" s="1"/>
      <c r="I593" s="48"/>
      <c r="J593" s="48"/>
      <c r="K593" s="48"/>
      <c r="L593" s="48"/>
      <c r="M593" s="48"/>
      <c r="N593" s="48"/>
      <c r="O593" s="48"/>
      <c r="P593" s="38"/>
      <c r="Q593" s="48"/>
      <c r="R593" s="48"/>
      <c r="S593" s="48"/>
      <c r="T593" s="55"/>
    </row>
    <row r="594" spans="1:20" ht="39.950000000000003" customHeight="1" x14ac:dyDescent="0.2">
      <c r="A594" s="34"/>
      <c r="B594" s="25" t="s">
        <v>143</v>
      </c>
      <c r="C594" s="2">
        <f>D594+E594+F594+H594+G594</f>
        <v>985.92614999999932</v>
      </c>
      <c r="D594" s="1">
        <f>49312.04577-48326.11962</f>
        <v>985.92614999999932</v>
      </c>
      <c r="E594" s="1"/>
      <c r="F594" s="1"/>
      <c r="G594" s="1"/>
      <c r="H594" s="1"/>
      <c r="I594" s="48"/>
      <c r="J594" s="48"/>
      <c r="K594" s="48"/>
      <c r="L594" s="48"/>
      <c r="M594" s="48"/>
      <c r="N594" s="48"/>
      <c r="O594" s="48"/>
      <c r="P594" s="38"/>
      <c r="Q594" s="48"/>
      <c r="R594" s="48"/>
      <c r="S594" s="48"/>
      <c r="T594" s="55"/>
    </row>
    <row r="595" spans="1:20" ht="15.95" customHeight="1" x14ac:dyDescent="0.2">
      <c r="A595" s="34" t="s">
        <v>332</v>
      </c>
      <c r="B595" s="78" t="s">
        <v>190</v>
      </c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9"/>
    </row>
    <row r="596" spans="1:20" ht="15.95" customHeight="1" x14ac:dyDescent="0.2">
      <c r="A596" s="34"/>
      <c r="B596" s="50" t="s">
        <v>98</v>
      </c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1"/>
    </row>
    <row r="597" spans="1:20" ht="39.950000000000003" customHeight="1" x14ac:dyDescent="0.2">
      <c r="A597" s="34"/>
      <c r="B597" s="80" t="s">
        <v>99</v>
      </c>
      <c r="C597" s="80"/>
      <c r="D597" s="80"/>
      <c r="E597" s="80"/>
      <c r="F597" s="80"/>
      <c r="G597" s="80"/>
      <c r="H597" s="80"/>
      <c r="I597" s="48" t="s">
        <v>22</v>
      </c>
      <c r="J597" s="48"/>
      <c r="K597" s="48" t="s">
        <v>40</v>
      </c>
      <c r="L597" s="48"/>
      <c r="M597" s="48" t="s">
        <v>529</v>
      </c>
      <c r="N597" s="48" t="s">
        <v>206</v>
      </c>
      <c r="O597" s="48" t="s">
        <v>206</v>
      </c>
      <c r="P597" s="38"/>
      <c r="Q597" s="48" t="s">
        <v>7</v>
      </c>
      <c r="R597" s="48" t="s">
        <v>529</v>
      </c>
      <c r="S597" s="48" t="s">
        <v>31</v>
      </c>
      <c r="T597" s="55"/>
    </row>
    <row r="598" spans="1:20" ht="15.95" customHeight="1" x14ac:dyDescent="0.2">
      <c r="A598" s="34"/>
      <c r="B598" s="25" t="s">
        <v>5</v>
      </c>
      <c r="C598" s="2">
        <f>D598+E598+F598+G598+H598</f>
        <v>3974.3999999999992</v>
      </c>
      <c r="D598" s="2">
        <f>SUM(D599:D603)</f>
        <v>3974.3999999999992</v>
      </c>
      <c r="E598" s="2">
        <f>SUM(E599:E603)</f>
        <v>0</v>
      </c>
      <c r="F598" s="2">
        <f t="shared" ref="F598:G598" si="130">SUM(F599:F603)</f>
        <v>0</v>
      </c>
      <c r="G598" s="2">
        <f t="shared" si="130"/>
        <v>0</v>
      </c>
      <c r="H598" s="1">
        <f>SUM(H599:H603)</f>
        <v>0</v>
      </c>
      <c r="I598" s="48"/>
      <c r="J598" s="48"/>
      <c r="K598" s="48"/>
      <c r="L598" s="48"/>
      <c r="M598" s="48"/>
      <c r="N598" s="48"/>
      <c r="O598" s="48"/>
      <c r="P598" s="38"/>
      <c r="Q598" s="48"/>
      <c r="R598" s="48"/>
      <c r="S598" s="48"/>
      <c r="T598" s="55"/>
    </row>
    <row r="599" spans="1:20" ht="15.95" customHeight="1" x14ac:dyDescent="0.2">
      <c r="A599" s="34"/>
      <c r="B599" s="25" t="s">
        <v>0</v>
      </c>
      <c r="C599" s="2">
        <f>D599+E599+F599+H599+G599</f>
        <v>0</v>
      </c>
      <c r="D599" s="1"/>
      <c r="E599" s="1"/>
      <c r="F599" s="1"/>
      <c r="G599" s="1"/>
      <c r="H599" s="1"/>
      <c r="I599" s="48"/>
      <c r="J599" s="48"/>
      <c r="K599" s="48"/>
      <c r="L599" s="48"/>
      <c r="M599" s="48"/>
      <c r="N599" s="48"/>
      <c r="O599" s="48"/>
      <c r="P599" s="38"/>
      <c r="Q599" s="48"/>
      <c r="R599" s="48"/>
      <c r="S599" s="48"/>
      <c r="T599" s="55"/>
    </row>
    <row r="600" spans="1:20" ht="15.95" customHeight="1" x14ac:dyDescent="0.2">
      <c r="A600" s="34"/>
      <c r="B600" s="25" t="s">
        <v>1</v>
      </c>
      <c r="C600" s="2">
        <f>D600+E600+F600+H600+G600</f>
        <v>35.769599999999997</v>
      </c>
      <c r="D600" s="1">
        <f>108.44265-72.67305</f>
        <v>35.769599999999997</v>
      </c>
      <c r="E600" s="1"/>
      <c r="F600" s="1"/>
      <c r="G600" s="1"/>
      <c r="H600" s="1"/>
      <c r="I600" s="48"/>
      <c r="J600" s="48"/>
      <c r="K600" s="48"/>
      <c r="L600" s="48"/>
      <c r="M600" s="48"/>
      <c r="N600" s="48"/>
      <c r="O600" s="48"/>
      <c r="P600" s="38"/>
      <c r="Q600" s="48"/>
      <c r="R600" s="48"/>
      <c r="S600" s="48"/>
      <c r="T600" s="55"/>
    </row>
    <row r="601" spans="1:20" ht="15.95" customHeight="1" x14ac:dyDescent="0.2">
      <c r="A601" s="34"/>
      <c r="B601" s="25" t="s">
        <v>2</v>
      </c>
      <c r="C601" s="2">
        <f>D601+E601+F601+H601+G601</f>
        <v>3.9744000000000002</v>
      </c>
      <c r="D601" s="1">
        <f>1.09538+2.87902</f>
        <v>3.9744000000000002</v>
      </c>
      <c r="E601" s="1"/>
      <c r="F601" s="1"/>
      <c r="G601" s="1"/>
      <c r="H601" s="1"/>
      <c r="I601" s="48"/>
      <c r="J601" s="48"/>
      <c r="K601" s="48"/>
      <c r="L601" s="48"/>
      <c r="M601" s="48"/>
      <c r="N601" s="48"/>
      <c r="O601" s="48"/>
      <c r="P601" s="38"/>
      <c r="Q601" s="48"/>
      <c r="R601" s="48"/>
      <c r="S601" s="48"/>
      <c r="T601" s="55"/>
    </row>
    <row r="602" spans="1:20" ht="15.95" customHeight="1" x14ac:dyDescent="0.2">
      <c r="A602" s="34"/>
      <c r="B602" s="25" t="s">
        <v>3</v>
      </c>
      <c r="C602" s="2">
        <f>D602+E602+F602+H602+G602</f>
        <v>0</v>
      </c>
      <c r="D602" s="1"/>
      <c r="E602" s="1"/>
      <c r="F602" s="1"/>
      <c r="G602" s="1"/>
      <c r="H602" s="1"/>
      <c r="I602" s="48"/>
      <c r="J602" s="48"/>
      <c r="K602" s="48"/>
      <c r="L602" s="48"/>
      <c r="M602" s="48"/>
      <c r="N602" s="48"/>
      <c r="O602" s="48"/>
      <c r="P602" s="38"/>
      <c r="Q602" s="48"/>
      <c r="R602" s="48"/>
      <c r="S602" s="48"/>
      <c r="T602" s="55"/>
    </row>
    <row r="603" spans="1:20" ht="39.950000000000003" customHeight="1" x14ac:dyDescent="0.2">
      <c r="A603" s="34"/>
      <c r="B603" s="25" t="s">
        <v>143</v>
      </c>
      <c r="C603" s="2">
        <f>D603+E603+F603+H603+G603</f>
        <v>3934.655999999999</v>
      </c>
      <c r="D603" s="1">
        <f>10844.26457-6909.60857</f>
        <v>3934.655999999999</v>
      </c>
      <c r="E603" s="1"/>
      <c r="F603" s="1"/>
      <c r="G603" s="1"/>
      <c r="H603" s="1"/>
      <c r="I603" s="48"/>
      <c r="J603" s="48"/>
      <c r="K603" s="48"/>
      <c r="L603" s="48"/>
      <c r="M603" s="48"/>
      <c r="N603" s="48"/>
      <c r="O603" s="48"/>
      <c r="P603" s="38"/>
      <c r="Q603" s="48"/>
      <c r="R603" s="48"/>
      <c r="S603" s="48"/>
      <c r="T603" s="55"/>
    </row>
    <row r="604" spans="1:20" ht="15.95" customHeight="1" x14ac:dyDescent="0.2">
      <c r="A604" s="34" t="s">
        <v>333</v>
      </c>
      <c r="B604" s="78" t="s">
        <v>190</v>
      </c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9"/>
    </row>
    <row r="605" spans="1:20" ht="15.95" customHeight="1" x14ac:dyDescent="0.2">
      <c r="A605" s="34"/>
      <c r="B605" s="50" t="s">
        <v>98</v>
      </c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1"/>
    </row>
    <row r="606" spans="1:20" ht="39.950000000000003" customHeight="1" x14ac:dyDescent="0.2">
      <c r="A606" s="34"/>
      <c r="B606" s="80" t="s">
        <v>99</v>
      </c>
      <c r="C606" s="80"/>
      <c r="D606" s="80"/>
      <c r="E606" s="80"/>
      <c r="F606" s="80"/>
      <c r="G606" s="80"/>
      <c r="H606" s="80"/>
      <c r="I606" s="48" t="s">
        <v>22</v>
      </c>
      <c r="J606" s="48"/>
      <c r="K606" s="48" t="s">
        <v>40</v>
      </c>
      <c r="L606" s="48"/>
      <c r="M606" s="48" t="s">
        <v>425</v>
      </c>
      <c r="N606" s="48" t="s">
        <v>426</v>
      </c>
      <c r="O606" s="48" t="s">
        <v>426</v>
      </c>
      <c r="P606" s="38"/>
      <c r="Q606" s="48" t="s">
        <v>7</v>
      </c>
      <c r="R606" s="48" t="s">
        <v>425</v>
      </c>
      <c r="S606" s="48" t="s">
        <v>31</v>
      </c>
      <c r="T606" s="55"/>
    </row>
    <row r="607" spans="1:20" ht="15.95" customHeight="1" x14ac:dyDescent="0.2">
      <c r="A607" s="34"/>
      <c r="B607" s="25" t="s">
        <v>5</v>
      </c>
      <c r="C607" s="2">
        <f>D607+E607+F607+G607+H607</f>
        <v>66140.132939999996</v>
      </c>
      <c r="D607" s="2">
        <f>SUM(D608:D612)</f>
        <v>66140.132939999996</v>
      </c>
      <c r="E607" s="2">
        <f>SUM(E608:E612)</f>
        <v>0</v>
      </c>
      <c r="F607" s="2">
        <f t="shared" ref="F607:G607" si="131">SUM(F608:F612)</f>
        <v>0</v>
      </c>
      <c r="G607" s="2">
        <f t="shared" si="131"/>
        <v>0</v>
      </c>
      <c r="H607" s="1">
        <f>SUM(H608:H612)</f>
        <v>0</v>
      </c>
      <c r="I607" s="48"/>
      <c r="J607" s="48"/>
      <c r="K607" s="48"/>
      <c r="L607" s="48"/>
      <c r="M607" s="48"/>
      <c r="N607" s="48"/>
      <c r="O607" s="48"/>
      <c r="P607" s="38"/>
      <c r="Q607" s="48"/>
      <c r="R607" s="48"/>
      <c r="S607" s="48"/>
      <c r="T607" s="55"/>
    </row>
    <row r="608" spans="1:20" ht="15.95" customHeight="1" x14ac:dyDescent="0.2">
      <c r="A608" s="34"/>
      <c r="B608" s="25" t="s">
        <v>0</v>
      </c>
      <c r="C608" s="2">
        <f>D608+E608+F608+H608+G608</f>
        <v>0</v>
      </c>
      <c r="D608" s="1"/>
      <c r="E608" s="1"/>
      <c r="F608" s="1"/>
      <c r="G608" s="1"/>
      <c r="H608" s="1"/>
      <c r="I608" s="48"/>
      <c r="J608" s="48"/>
      <c r="K608" s="48"/>
      <c r="L608" s="48"/>
      <c r="M608" s="48"/>
      <c r="N608" s="48"/>
      <c r="O608" s="48"/>
      <c r="P608" s="38"/>
      <c r="Q608" s="48"/>
      <c r="R608" s="48"/>
      <c r="S608" s="48"/>
      <c r="T608" s="55"/>
    </row>
    <row r="609" spans="1:20" ht="15.95" customHeight="1" x14ac:dyDescent="0.2">
      <c r="A609" s="34"/>
      <c r="B609" s="25" t="s">
        <v>1</v>
      </c>
      <c r="C609" s="2">
        <f>D609+E609+F609+H609+G609</f>
        <v>9267.0641399999986</v>
      </c>
      <c r="D609" s="1">
        <f>0+8911.3396+355.72454</f>
        <v>9267.0641399999986</v>
      </c>
      <c r="E609" s="1"/>
      <c r="F609" s="1"/>
      <c r="G609" s="1"/>
      <c r="H609" s="1"/>
      <c r="I609" s="48"/>
      <c r="J609" s="48"/>
      <c r="K609" s="48"/>
      <c r="L609" s="48"/>
      <c r="M609" s="48"/>
      <c r="N609" s="48"/>
      <c r="O609" s="48"/>
      <c r="P609" s="38"/>
      <c r="Q609" s="48"/>
      <c r="R609" s="48"/>
      <c r="S609" s="48"/>
      <c r="T609" s="55"/>
    </row>
    <row r="610" spans="1:20" ht="15.95" customHeight="1" x14ac:dyDescent="0.2">
      <c r="A610" s="34"/>
      <c r="B610" s="25" t="s">
        <v>2</v>
      </c>
      <c r="C610" s="2">
        <f>D610+E610+F610+H610+G610</f>
        <v>147.81772000000001</v>
      </c>
      <c r="D610" s="1">
        <f>0+147.81772</f>
        <v>147.81772000000001</v>
      </c>
      <c r="E610" s="1"/>
      <c r="F610" s="1"/>
      <c r="G610" s="1"/>
      <c r="H610" s="1"/>
      <c r="I610" s="48"/>
      <c r="J610" s="48"/>
      <c r="K610" s="48"/>
      <c r="L610" s="48"/>
      <c r="M610" s="48"/>
      <c r="N610" s="48"/>
      <c r="O610" s="48"/>
      <c r="P610" s="38"/>
      <c r="Q610" s="48"/>
      <c r="R610" s="48"/>
      <c r="S610" s="48"/>
      <c r="T610" s="55"/>
    </row>
    <row r="611" spans="1:20" ht="15.95" customHeight="1" x14ac:dyDescent="0.2">
      <c r="A611" s="34"/>
      <c r="B611" s="25" t="s">
        <v>3</v>
      </c>
      <c r="C611" s="2">
        <f>D611+E611+F611+H611+G611</f>
        <v>0</v>
      </c>
      <c r="D611" s="1"/>
      <c r="E611" s="1"/>
      <c r="F611" s="1"/>
      <c r="G611" s="1"/>
      <c r="H611" s="1"/>
      <c r="I611" s="48"/>
      <c r="J611" s="48"/>
      <c r="K611" s="48"/>
      <c r="L611" s="48"/>
      <c r="M611" s="48"/>
      <c r="N611" s="48"/>
      <c r="O611" s="48"/>
      <c r="P611" s="38"/>
      <c r="Q611" s="48"/>
      <c r="R611" s="48"/>
      <c r="S611" s="48"/>
      <c r="T611" s="55"/>
    </row>
    <row r="612" spans="1:20" ht="39.950000000000003" customHeight="1" x14ac:dyDescent="0.2">
      <c r="A612" s="34"/>
      <c r="B612" s="25" t="s">
        <v>143</v>
      </c>
      <c r="C612" s="2">
        <f>D612+E612+F612+H612+G612</f>
        <v>56725.251080000002</v>
      </c>
      <c r="D612" s="1">
        <f>10000+41924.68163+4800.56945</f>
        <v>56725.251080000002</v>
      </c>
      <c r="E612" s="1"/>
      <c r="F612" s="1"/>
      <c r="G612" s="1"/>
      <c r="H612" s="1"/>
      <c r="I612" s="48"/>
      <c r="J612" s="48"/>
      <c r="K612" s="48"/>
      <c r="L612" s="48"/>
      <c r="M612" s="48"/>
      <c r="N612" s="48"/>
      <c r="O612" s="48"/>
      <c r="P612" s="38"/>
      <c r="Q612" s="48"/>
      <c r="R612" s="48"/>
      <c r="S612" s="48"/>
      <c r="T612" s="55"/>
    </row>
    <row r="613" spans="1:20" ht="15.95" customHeight="1" x14ac:dyDescent="0.2">
      <c r="A613" s="34" t="s">
        <v>334</v>
      </c>
      <c r="B613" s="78" t="s">
        <v>190</v>
      </c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9"/>
    </row>
    <row r="614" spans="1:20" ht="15.95" customHeight="1" x14ac:dyDescent="0.2">
      <c r="A614" s="34"/>
      <c r="B614" s="50" t="s">
        <v>98</v>
      </c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1"/>
    </row>
    <row r="615" spans="1:20" ht="45" customHeight="1" x14ac:dyDescent="0.2">
      <c r="A615" s="34"/>
      <c r="B615" s="80" t="s">
        <v>99</v>
      </c>
      <c r="C615" s="80"/>
      <c r="D615" s="80"/>
      <c r="E615" s="80"/>
      <c r="F615" s="80"/>
      <c r="G615" s="80"/>
      <c r="H615" s="80"/>
      <c r="I615" s="48" t="s">
        <v>22</v>
      </c>
      <c r="J615" s="48"/>
      <c r="K615" s="48" t="s">
        <v>40</v>
      </c>
      <c r="L615" s="48"/>
      <c r="M615" s="48" t="s">
        <v>427</v>
      </c>
      <c r="N615" s="48" t="s">
        <v>428</v>
      </c>
      <c r="O615" s="48" t="s">
        <v>428</v>
      </c>
      <c r="P615" s="38"/>
      <c r="Q615" s="48" t="s">
        <v>7</v>
      </c>
      <c r="R615" s="48" t="s">
        <v>533</v>
      </c>
      <c r="S615" s="48" t="s">
        <v>31</v>
      </c>
      <c r="T615" s="55"/>
    </row>
    <row r="616" spans="1:20" ht="18" customHeight="1" x14ac:dyDescent="0.2">
      <c r="A616" s="34"/>
      <c r="B616" s="25" t="s">
        <v>5</v>
      </c>
      <c r="C616" s="2">
        <f>D616+E616+F616+G616+H616</f>
        <v>5899.4</v>
      </c>
      <c r="D616" s="2">
        <f>SUM(D617:D621)</f>
        <v>5899.4</v>
      </c>
      <c r="E616" s="2">
        <f>SUM(E617:E621)</f>
        <v>0</v>
      </c>
      <c r="F616" s="2">
        <f t="shared" ref="F616:G616" si="132">SUM(F617:F621)</f>
        <v>0</v>
      </c>
      <c r="G616" s="2">
        <f t="shared" si="132"/>
        <v>0</v>
      </c>
      <c r="H616" s="1">
        <f>SUM(H617:H621)</f>
        <v>0</v>
      </c>
      <c r="I616" s="48"/>
      <c r="J616" s="48"/>
      <c r="K616" s="48"/>
      <c r="L616" s="48"/>
      <c r="M616" s="48"/>
      <c r="N616" s="48"/>
      <c r="O616" s="48"/>
      <c r="P616" s="38"/>
      <c r="Q616" s="48"/>
      <c r="R616" s="48"/>
      <c r="S616" s="48"/>
      <c r="T616" s="55"/>
    </row>
    <row r="617" spans="1:20" ht="15.95" customHeight="1" x14ac:dyDescent="0.2">
      <c r="A617" s="34"/>
      <c r="B617" s="25" t="s">
        <v>0</v>
      </c>
      <c r="C617" s="2">
        <f>D617+E617+F617+H617+G617</f>
        <v>0</v>
      </c>
      <c r="D617" s="1"/>
      <c r="E617" s="1"/>
      <c r="F617" s="1"/>
      <c r="G617" s="1"/>
      <c r="H617" s="1"/>
      <c r="I617" s="48"/>
      <c r="J617" s="48"/>
      <c r="K617" s="48"/>
      <c r="L617" s="48"/>
      <c r="M617" s="48"/>
      <c r="N617" s="48"/>
      <c r="O617" s="48"/>
      <c r="P617" s="38"/>
      <c r="Q617" s="48"/>
      <c r="R617" s="48"/>
      <c r="S617" s="48"/>
      <c r="T617" s="55"/>
    </row>
    <row r="618" spans="1:20" ht="15.95" customHeight="1" x14ac:dyDescent="0.2">
      <c r="A618" s="34"/>
      <c r="B618" s="25" t="s">
        <v>1</v>
      </c>
      <c r="C618" s="2">
        <f>D618+E618+F618+H618+G618</f>
        <v>5893.5005999999994</v>
      </c>
      <c r="D618" s="1">
        <f>0+4395.81114+1497.68946</f>
        <v>5893.5005999999994</v>
      </c>
      <c r="E618" s="1"/>
      <c r="F618" s="1"/>
      <c r="G618" s="1"/>
      <c r="H618" s="1"/>
      <c r="I618" s="48"/>
      <c r="J618" s="48"/>
      <c r="K618" s="48"/>
      <c r="L618" s="48"/>
      <c r="M618" s="48"/>
      <c r="N618" s="48"/>
      <c r="O618" s="48"/>
      <c r="P618" s="38"/>
      <c r="Q618" s="48"/>
      <c r="R618" s="48"/>
      <c r="S618" s="48"/>
      <c r="T618" s="55"/>
    </row>
    <row r="619" spans="1:20" ht="15.95" customHeight="1" x14ac:dyDescent="0.2">
      <c r="A619" s="34"/>
      <c r="B619" s="25" t="s">
        <v>2</v>
      </c>
      <c r="C619" s="2">
        <f>D619+E619+F619+H619+G619</f>
        <v>5.8994</v>
      </c>
      <c r="D619" s="1">
        <f>0+5.8994</f>
        <v>5.8994</v>
      </c>
      <c r="E619" s="1"/>
      <c r="F619" s="1"/>
      <c r="G619" s="1"/>
      <c r="H619" s="1"/>
      <c r="I619" s="48"/>
      <c r="J619" s="48"/>
      <c r="K619" s="48"/>
      <c r="L619" s="48"/>
      <c r="M619" s="48"/>
      <c r="N619" s="48"/>
      <c r="O619" s="48"/>
      <c r="P619" s="38"/>
      <c r="Q619" s="48"/>
      <c r="R619" s="48"/>
      <c r="S619" s="48"/>
      <c r="T619" s="55"/>
    </row>
    <row r="620" spans="1:20" ht="15.95" customHeight="1" x14ac:dyDescent="0.2">
      <c r="A620" s="34"/>
      <c r="B620" s="25" t="s">
        <v>3</v>
      </c>
      <c r="C620" s="2">
        <f>D620+E620+F620+H620+G620</f>
        <v>0</v>
      </c>
      <c r="D620" s="1"/>
      <c r="E620" s="1"/>
      <c r="F620" s="1"/>
      <c r="G620" s="1"/>
      <c r="H620" s="1"/>
      <c r="I620" s="48"/>
      <c r="J620" s="48"/>
      <c r="K620" s="48"/>
      <c r="L620" s="48"/>
      <c r="M620" s="48"/>
      <c r="N620" s="48"/>
      <c r="O620" s="48"/>
      <c r="P620" s="38"/>
      <c r="Q620" s="48"/>
      <c r="R620" s="48"/>
      <c r="S620" s="48"/>
      <c r="T620" s="55"/>
    </row>
    <row r="621" spans="1:20" ht="39.950000000000003" customHeight="1" x14ac:dyDescent="0.2">
      <c r="A621" s="34"/>
      <c r="B621" s="25" t="s">
        <v>143</v>
      </c>
      <c r="C621" s="2">
        <f>D621+E621+F621+H621+G621</f>
        <v>0</v>
      </c>
      <c r="D621" s="1">
        <f>5000-5000</f>
        <v>0</v>
      </c>
      <c r="E621" s="1"/>
      <c r="F621" s="1"/>
      <c r="G621" s="1"/>
      <c r="H621" s="1"/>
      <c r="I621" s="48"/>
      <c r="J621" s="48"/>
      <c r="K621" s="48"/>
      <c r="L621" s="48"/>
      <c r="M621" s="48"/>
      <c r="N621" s="48"/>
      <c r="O621" s="48"/>
      <c r="P621" s="38"/>
      <c r="Q621" s="48"/>
      <c r="R621" s="48"/>
      <c r="S621" s="48"/>
      <c r="T621" s="55"/>
    </row>
    <row r="622" spans="1:20" ht="15.95" customHeight="1" x14ac:dyDescent="0.2">
      <c r="A622" s="34" t="s">
        <v>335</v>
      </c>
      <c r="B622" s="78" t="s">
        <v>190</v>
      </c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9"/>
    </row>
    <row r="623" spans="1:20" ht="15.95" customHeight="1" x14ac:dyDescent="0.2">
      <c r="A623" s="34"/>
      <c r="B623" s="50" t="s">
        <v>98</v>
      </c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1"/>
    </row>
    <row r="624" spans="1:20" ht="45" customHeight="1" x14ac:dyDescent="0.2">
      <c r="A624" s="34"/>
      <c r="B624" s="80" t="s">
        <v>99</v>
      </c>
      <c r="C624" s="80"/>
      <c r="D624" s="80"/>
      <c r="E624" s="80"/>
      <c r="F624" s="80"/>
      <c r="G624" s="80"/>
      <c r="H624" s="80"/>
      <c r="I624" s="48" t="s">
        <v>22</v>
      </c>
      <c r="J624" s="48"/>
      <c r="K624" s="48" t="s">
        <v>40</v>
      </c>
      <c r="L624" s="48"/>
      <c r="M624" s="48" t="s">
        <v>429</v>
      </c>
      <c r="N624" s="48" t="s">
        <v>430</v>
      </c>
      <c r="O624" s="48" t="s">
        <v>430</v>
      </c>
      <c r="P624" s="38"/>
      <c r="Q624" s="48" t="s">
        <v>7</v>
      </c>
      <c r="R624" s="48" t="s">
        <v>429</v>
      </c>
      <c r="S624" s="48" t="s">
        <v>31</v>
      </c>
      <c r="T624" s="55"/>
    </row>
    <row r="625" spans="1:20" ht="15.95" customHeight="1" x14ac:dyDescent="0.2">
      <c r="A625" s="34"/>
      <c r="B625" s="25" t="s">
        <v>5</v>
      </c>
      <c r="C625" s="2">
        <f>D625+E625+F625+G625+H625</f>
        <v>64303.497290000007</v>
      </c>
      <c r="D625" s="2">
        <f>SUM(D626:D630)</f>
        <v>64303.497290000007</v>
      </c>
      <c r="E625" s="2">
        <f>SUM(E626:E630)</f>
        <v>0</v>
      </c>
      <c r="F625" s="2">
        <f t="shared" ref="F625:G625" si="133">SUM(F626:F630)</f>
        <v>0</v>
      </c>
      <c r="G625" s="2">
        <f t="shared" si="133"/>
        <v>0</v>
      </c>
      <c r="H625" s="1">
        <f>SUM(H626:H630)</f>
        <v>0</v>
      </c>
      <c r="I625" s="48"/>
      <c r="J625" s="48"/>
      <c r="K625" s="48"/>
      <c r="L625" s="48"/>
      <c r="M625" s="48"/>
      <c r="N625" s="48"/>
      <c r="O625" s="48"/>
      <c r="P625" s="38"/>
      <c r="Q625" s="48"/>
      <c r="R625" s="48"/>
      <c r="S625" s="48"/>
      <c r="T625" s="55"/>
    </row>
    <row r="626" spans="1:20" ht="15.95" customHeight="1" x14ac:dyDescent="0.2">
      <c r="A626" s="34"/>
      <c r="B626" s="25" t="s">
        <v>0</v>
      </c>
      <c r="C626" s="2">
        <f>D626+E626+F626+H626+G626</f>
        <v>0</v>
      </c>
      <c r="D626" s="1"/>
      <c r="E626" s="1"/>
      <c r="F626" s="1"/>
      <c r="G626" s="1"/>
      <c r="H626" s="1"/>
      <c r="I626" s="48"/>
      <c r="J626" s="48"/>
      <c r="K626" s="48"/>
      <c r="L626" s="48"/>
      <c r="M626" s="48"/>
      <c r="N626" s="48"/>
      <c r="O626" s="48"/>
      <c r="P626" s="38"/>
      <c r="Q626" s="48"/>
      <c r="R626" s="48"/>
      <c r="S626" s="48"/>
      <c r="T626" s="55"/>
    </row>
    <row r="627" spans="1:20" ht="15.95" customHeight="1" x14ac:dyDescent="0.2">
      <c r="A627" s="34"/>
      <c r="B627" s="25" t="s">
        <v>1</v>
      </c>
      <c r="C627" s="2">
        <f>D627+E627+F627+H627+G627</f>
        <v>1299.8935100000017</v>
      </c>
      <c r="D627" s="1">
        <f>0+11020.06261-9720.1691</f>
        <v>1299.8935100000017</v>
      </c>
      <c r="E627" s="1"/>
      <c r="F627" s="1"/>
      <c r="G627" s="1"/>
      <c r="H627" s="1"/>
      <c r="I627" s="48"/>
      <c r="J627" s="48"/>
      <c r="K627" s="48"/>
      <c r="L627" s="48"/>
      <c r="M627" s="48"/>
      <c r="N627" s="48"/>
      <c r="O627" s="48"/>
      <c r="P627" s="38"/>
      <c r="Q627" s="48"/>
      <c r="R627" s="48"/>
      <c r="S627" s="48"/>
      <c r="T627" s="55"/>
    </row>
    <row r="628" spans="1:20" ht="15.95" customHeight="1" x14ac:dyDescent="0.2">
      <c r="A628" s="34"/>
      <c r="B628" s="25" t="s">
        <v>2</v>
      </c>
      <c r="C628" s="2">
        <f>D628+E628+F628+H628+G628</f>
        <v>30.92268</v>
      </c>
      <c r="D628" s="1">
        <f>0+30.92268</f>
        <v>30.92268</v>
      </c>
      <c r="E628" s="1"/>
      <c r="F628" s="1"/>
      <c r="G628" s="1"/>
      <c r="H628" s="1"/>
      <c r="I628" s="48"/>
      <c r="J628" s="48"/>
      <c r="K628" s="48"/>
      <c r="L628" s="48"/>
      <c r="M628" s="48"/>
      <c r="N628" s="48"/>
      <c r="O628" s="48"/>
      <c r="P628" s="38"/>
      <c r="Q628" s="48"/>
      <c r="R628" s="48"/>
      <c r="S628" s="48"/>
      <c r="T628" s="55"/>
    </row>
    <row r="629" spans="1:20" ht="15.95" customHeight="1" x14ac:dyDescent="0.2">
      <c r="A629" s="34"/>
      <c r="B629" s="25" t="s">
        <v>3</v>
      </c>
      <c r="C629" s="2">
        <f>D629+E629+F629+H629+G629</f>
        <v>0</v>
      </c>
      <c r="D629" s="1"/>
      <c r="E629" s="1"/>
      <c r="F629" s="1"/>
      <c r="G629" s="1"/>
      <c r="H629" s="1"/>
      <c r="I629" s="48"/>
      <c r="J629" s="48"/>
      <c r="K629" s="48"/>
      <c r="L629" s="48"/>
      <c r="M629" s="48"/>
      <c r="N629" s="48"/>
      <c r="O629" s="48"/>
      <c r="P629" s="38"/>
      <c r="Q629" s="48"/>
      <c r="R629" s="48"/>
      <c r="S629" s="48"/>
      <c r="T629" s="55"/>
    </row>
    <row r="630" spans="1:20" ht="39.950000000000003" customHeight="1" x14ac:dyDescent="0.2">
      <c r="A630" s="34"/>
      <c r="B630" s="25" t="s">
        <v>143</v>
      </c>
      <c r="C630" s="2">
        <f>D630+E630+F630+H630+G630</f>
        <v>62972.681100000002</v>
      </c>
      <c r="D630" s="1">
        <f>30000+32972.6811</f>
        <v>62972.681100000002</v>
      </c>
      <c r="E630" s="1"/>
      <c r="F630" s="1"/>
      <c r="G630" s="1"/>
      <c r="H630" s="1"/>
      <c r="I630" s="48"/>
      <c r="J630" s="48"/>
      <c r="K630" s="48"/>
      <c r="L630" s="48"/>
      <c r="M630" s="48"/>
      <c r="N630" s="48"/>
      <c r="O630" s="48"/>
      <c r="P630" s="38"/>
      <c r="Q630" s="48"/>
      <c r="R630" s="48"/>
      <c r="S630" s="48"/>
      <c r="T630" s="55"/>
    </row>
    <row r="631" spans="1:20" ht="15.95" customHeight="1" x14ac:dyDescent="0.2">
      <c r="A631" s="34" t="s">
        <v>336</v>
      </c>
      <c r="B631" s="78" t="s">
        <v>190</v>
      </c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9"/>
    </row>
    <row r="632" spans="1:20" ht="15.95" customHeight="1" x14ac:dyDescent="0.2">
      <c r="A632" s="34"/>
      <c r="B632" s="50" t="s">
        <v>98</v>
      </c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1"/>
    </row>
    <row r="633" spans="1:20" ht="45" customHeight="1" x14ac:dyDescent="0.2">
      <c r="A633" s="34"/>
      <c r="B633" s="80" t="s">
        <v>99</v>
      </c>
      <c r="C633" s="80"/>
      <c r="D633" s="80"/>
      <c r="E633" s="80"/>
      <c r="F633" s="80"/>
      <c r="G633" s="80"/>
      <c r="H633" s="80"/>
      <c r="I633" s="48" t="s">
        <v>22</v>
      </c>
      <c r="J633" s="48"/>
      <c r="K633" s="48" t="s">
        <v>40</v>
      </c>
      <c r="L633" s="48"/>
      <c r="M633" s="39" t="s">
        <v>510</v>
      </c>
      <c r="N633" s="39" t="s">
        <v>190</v>
      </c>
      <c r="O633" s="39" t="s">
        <v>620</v>
      </c>
      <c r="P633" s="38"/>
      <c r="Q633" s="48" t="s">
        <v>7</v>
      </c>
      <c r="R633" s="39" t="s">
        <v>510</v>
      </c>
      <c r="S633" s="48" t="s">
        <v>31</v>
      </c>
      <c r="T633" s="55"/>
    </row>
    <row r="634" spans="1:20" ht="15.95" customHeight="1" x14ac:dyDescent="0.2">
      <c r="A634" s="34"/>
      <c r="B634" s="25" t="s">
        <v>5</v>
      </c>
      <c r="C634" s="2">
        <f>D634+E634+F634+G634+H634</f>
        <v>31365.605880000003</v>
      </c>
      <c r="D634" s="2">
        <f>SUM(D635:D639)</f>
        <v>31365.605880000003</v>
      </c>
      <c r="E634" s="2">
        <f>SUM(E635:E639)</f>
        <v>0</v>
      </c>
      <c r="F634" s="2">
        <f t="shared" ref="F634:G634" si="134">SUM(F635:F639)</f>
        <v>0</v>
      </c>
      <c r="G634" s="2">
        <f t="shared" si="134"/>
        <v>0</v>
      </c>
      <c r="H634" s="1">
        <f>SUM(H635:H639)</f>
        <v>0</v>
      </c>
      <c r="I634" s="48"/>
      <c r="J634" s="48"/>
      <c r="K634" s="48"/>
      <c r="L634" s="48"/>
      <c r="M634" s="40"/>
      <c r="N634" s="40"/>
      <c r="O634" s="40"/>
      <c r="P634" s="38"/>
      <c r="Q634" s="48"/>
      <c r="R634" s="40"/>
      <c r="S634" s="48"/>
      <c r="T634" s="55"/>
    </row>
    <row r="635" spans="1:20" ht="15.95" customHeight="1" x14ac:dyDescent="0.2">
      <c r="A635" s="34"/>
      <c r="B635" s="25" t="s">
        <v>0</v>
      </c>
      <c r="C635" s="2">
        <f>D635+E635+F635+H635+G635</f>
        <v>0</v>
      </c>
      <c r="D635" s="1"/>
      <c r="E635" s="1"/>
      <c r="F635" s="1"/>
      <c r="G635" s="1"/>
      <c r="H635" s="1"/>
      <c r="I635" s="48"/>
      <c r="J635" s="48"/>
      <c r="K635" s="48"/>
      <c r="L635" s="48"/>
      <c r="M635" s="40"/>
      <c r="N635" s="40"/>
      <c r="O635" s="40"/>
      <c r="P635" s="38"/>
      <c r="Q635" s="48"/>
      <c r="R635" s="40"/>
      <c r="S635" s="48"/>
      <c r="T635" s="55"/>
    </row>
    <row r="636" spans="1:20" ht="15.95" customHeight="1" x14ac:dyDescent="0.2">
      <c r="A636" s="34"/>
      <c r="B636" s="25" t="s">
        <v>1</v>
      </c>
      <c r="C636" s="2">
        <f>D636+E636+F636+H636+G636</f>
        <v>8524.2467799999995</v>
      </c>
      <c r="D636" s="1">
        <f>0+8524.24678</f>
        <v>8524.2467799999995</v>
      </c>
      <c r="E636" s="1"/>
      <c r="F636" s="1"/>
      <c r="G636" s="1"/>
      <c r="H636" s="1"/>
      <c r="I636" s="48"/>
      <c r="J636" s="48"/>
      <c r="K636" s="48"/>
      <c r="L636" s="48"/>
      <c r="M636" s="40"/>
      <c r="N636" s="40"/>
      <c r="O636" s="40"/>
      <c r="P636" s="38"/>
      <c r="Q636" s="48"/>
      <c r="R636" s="40"/>
      <c r="S636" s="48"/>
      <c r="T636" s="55"/>
    </row>
    <row r="637" spans="1:20" ht="15.95" customHeight="1" x14ac:dyDescent="0.2">
      <c r="A637" s="34"/>
      <c r="B637" s="25" t="s">
        <v>2</v>
      </c>
      <c r="C637" s="2">
        <f>D637+E637+F637+H637+G637</f>
        <v>78.431010000000001</v>
      </c>
      <c r="D637" s="1">
        <f>0+86.1035-7.67249</f>
        <v>78.431010000000001</v>
      </c>
      <c r="E637" s="1"/>
      <c r="F637" s="1"/>
      <c r="G637" s="1"/>
      <c r="H637" s="1"/>
      <c r="I637" s="48"/>
      <c r="J637" s="48"/>
      <c r="K637" s="48"/>
      <c r="L637" s="48"/>
      <c r="M637" s="40"/>
      <c r="N637" s="40"/>
      <c r="O637" s="40"/>
      <c r="P637" s="38"/>
      <c r="Q637" s="48"/>
      <c r="R637" s="40"/>
      <c r="S637" s="48"/>
      <c r="T637" s="55"/>
    </row>
    <row r="638" spans="1:20" ht="15.95" customHeight="1" x14ac:dyDescent="0.2">
      <c r="A638" s="34"/>
      <c r="B638" s="25" t="s">
        <v>3</v>
      </c>
      <c r="C638" s="2">
        <f>D638+E638+F638+H638+G638</f>
        <v>0</v>
      </c>
      <c r="D638" s="1"/>
      <c r="E638" s="1"/>
      <c r="F638" s="1"/>
      <c r="G638" s="1"/>
      <c r="H638" s="1"/>
      <c r="I638" s="48"/>
      <c r="J638" s="48"/>
      <c r="K638" s="48"/>
      <c r="L638" s="48"/>
      <c r="M638" s="40"/>
      <c r="N638" s="40"/>
      <c r="O638" s="40"/>
      <c r="P638" s="38"/>
      <c r="Q638" s="48"/>
      <c r="R638" s="40"/>
      <c r="S638" s="48"/>
      <c r="T638" s="55"/>
    </row>
    <row r="639" spans="1:20" ht="39.950000000000003" customHeight="1" x14ac:dyDescent="0.2">
      <c r="A639" s="34"/>
      <c r="B639" s="25" t="s">
        <v>143</v>
      </c>
      <c r="C639" s="2">
        <f>D639+E639+F639+H639+G639</f>
        <v>22762.928090000001</v>
      </c>
      <c r="D639" s="1">
        <f>0+22762.92809</f>
        <v>22762.928090000001</v>
      </c>
      <c r="E639" s="1"/>
      <c r="F639" s="1"/>
      <c r="G639" s="1"/>
      <c r="H639" s="1"/>
      <c r="I639" s="48"/>
      <c r="J639" s="48"/>
      <c r="K639" s="48"/>
      <c r="L639" s="48"/>
      <c r="M639" s="41"/>
      <c r="N639" s="41"/>
      <c r="O639" s="41"/>
      <c r="P639" s="38"/>
      <c r="Q639" s="48"/>
      <c r="R639" s="41"/>
      <c r="S639" s="48"/>
      <c r="T639" s="55"/>
    </row>
    <row r="640" spans="1:20" ht="15.95" customHeight="1" x14ac:dyDescent="0.2">
      <c r="A640" s="34" t="s">
        <v>337</v>
      </c>
      <c r="B640" s="45" t="s">
        <v>190</v>
      </c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9"/>
    </row>
    <row r="641" spans="1:20" ht="15.95" customHeight="1" x14ac:dyDescent="0.2">
      <c r="A641" s="34"/>
      <c r="B641" s="50" t="s">
        <v>345</v>
      </c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1"/>
    </row>
    <row r="642" spans="1:20" ht="45" customHeight="1" x14ac:dyDescent="0.2">
      <c r="A642" s="34"/>
      <c r="B642" s="80" t="s">
        <v>465</v>
      </c>
      <c r="C642" s="80"/>
      <c r="D642" s="80"/>
      <c r="E642" s="80"/>
      <c r="F642" s="80"/>
      <c r="G642" s="80"/>
      <c r="H642" s="80"/>
      <c r="I642" s="48" t="s">
        <v>28</v>
      </c>
      <c r="J642" s="48" t="s">
        <v>22</v>
      </c>
      <c r="K642" s="48" t="s">
        <v>35</v>
      </c>
      <c r="L642" s="48" t="s">
        <v>145</v>
      </c>
      <c r="M642" s="48" t="s">
        <v>221</v>
      </c>
      <c r="N642" s="48" t="s">
        <v>190</v>
      </c>
      <c r="O642" s="48" t="s">
        <v>221</v>
      </c>
      <c r="P642" s="38" t="s">
        <v>381</v>
      </c>
      <c r="Q642" s="48" t="s">
        <v>29</v>
      </c>
      <c r="R642" s="48" t="s">
        <v>8</v>
      </c>
      <c r="S642" s="48" t="s">
        <v>30</v>
      </c>
      <c r="T642" s="55"/>
    </row>
    <row r="643" spans="1:20" ht="15.95" customHeight="1" x14ac:dyDescent="0.2">
      <c r="A643" s="34"/>
      <c r="B643" s="25" t="s">
        <v>5</v>
      </c>
      <c r="C643" s="2">
        <f>D643+E643+F643+G643+H643</f>
        <v>39421.14849</v>
      </c>
      <c r="D643" s="2">
        <f>SUM(D644:D647)</f>
        <v>0</v>
      </c>
      <c r="E643" s="2">
        <f>SUM(E644:E647)</f>
        <v>18663.548490000001</v>
      </c>
      <c r="F643" s="2">
        <f t="shared" ref="F643:G643" si="135">SUM(F644:F647)</f>
        <v>20757.599999999999</v>
      </c>
      <c r="G643" s="2">
        <f t="shared" si="135"/>
        <v>0</v>
      </c>
      <c r="H643" s="1">
        <f>SUM(H644:H647)</f>
        <v>0</v>
      </c>
      <c r="I643" s="48"/>
      <c r="J643" s="48"/>
      <c r="K643" s="48"/>
      <c r="L643" s="48"/>
      <c r="M643" s="48"/>
      <c r="N643" s="48"/>
      <c r="O643" s="48"/>
      <c r="P643" s="38"/>
      <c r="Q643" s="48"/>
      <c r="R643" s="48"/>
      <c r="S643" s="48"/>
      <c r="T643" s="55"/>
    </row>
    <row r="644" spans="1:20" ht="15.95" customHeight="1" x14ac:dyDescent="0.2">
      <c r="A644" s="34"/>
      <c r="B644" s="25" t="s">
        <v>0</v>
      </c>
      <c r="C644" s="2">
        <f>D644+E644+F644+H644+G644</f>
        <v>39234.512999999999</v>
      </c>
      <c r="D644" s="1"/>
      <c r="E644" s="1">
        <f>0+18476.913</f>
        <v>18476.913</v>
      </c>
      <c r="F644" s="1">
        <f>0+20757.6</f>
        <v>20757.599999999999</v>
      </c>
      <c r="G644" s="1"/>
      <c r="H644" s="1"/>
      <c r="I644" s="48"/>
      <c r="J644" s="48"/>
      <c r="K644" s="48"/>
      <c r="L644" s="48"/>
      <c r="M644" s="48"/>
      <c r="N644" s="48"/>
      <c r="O644" s="48"/>
      <c r="P644" s="38"/>
      <c r="Q644" s="48"/>
      <c r="R644" s="48"/>
      <c r="S644" s="48"/>
      <c r="T644" s="55"/>
    </row>
    <row r="645" spans="1:20" ht="15.95" customHeight="1" x14ac:dyDescent="0.2">
      <c r="A645" s="34"/>
      <c r="B645" s="25" t="s">
        <v>1</v>
      </c>
      <c r="C645" s="2">
        <f>D645+E645+F645+H645+G645</f>
        <v>186.63549</v>
      </c>
      <c r="D645" s="1"/>
      <c r="E645" s="1">
        <v>186.63549</v>
      </c>
      <c r="F645" s="1"/>
      <c r="G645" s="1"/>
      <c r="H645" s="1"/>
      <c r="I645" s="48"/>
      <c r="J645" s="48"/>
      <c r="K645" s="48"/>
      <c r="L645" s="48"/>
      <c r="M645" s="48"/>
      <c r="N645" s="48"/>
      <c r="O645" s="48"/>
      <c r="P645" s="38"/>
      <c r="Q645" s="48"/>
      <c r="R645" s="48"/>
      <c r="S645" s="48"/>
      <c r="T645" s="55"/>
    </row>
    <row r="646" spans="1:20" ht="15.95" customHeight="1" x14ac:dyDescent="0.2">
      <c r="A646" s="34"/>
      <c r="B646" s="25" t="s">
        <v>2</v>
      </c>
      <c r="C646" s="2">
        <f>D646+E646+F646+H646+G646</f>
        <v>0</v>
      </c>
      <c r="D646" s="1"/>
      <c r="E646" s="1"/>
      <c r="F646" s="1"/>
      <c r="G646" s="1"/>
      <c r="H646" s="1"/>
      <c r="I646" s="48"/>
      <c r="J646" s="48"/>
      <c r="K646" s="48"/>
      <c r="L646" s="48"/>
      <c r="M646" s="48"/>
      <c r="N646" s="48"/>
      <c r="O646" s="48"/>
      <c r="P646" s="38"/>
      <c r="Q646" s="48"/>
      <c r="R646" s="48"/>
      <c r="S646" s="48"/>
      <c r="T646" s="55"/>
    </row>
    <row r="647" spans="1:20" ht="15.95" customHeight="1" x14ac:dyDescent="0.2">
      <c r="A647" s="34"/>
      <c r="B647" s="25" t="s">
        <v>3</v>
      </c>
      <c r="C647" s="2">
        <f>D647+E647+F647+H647+G647</f>
        <v>0</v>
      </c>
      <c r="D647" s="1"/>
      <c r="E647" s="1"/>
      <c r="F647" s="1"/>
      <c r="G647" s="1"/>
      <c r="H647" s="1"/>
      <c r="I647" s="48"/>
      <c r="J647" s="48"/>
      <c r="K647" s="48"/>
      <c r="L647" s="48"/>
      <c r="M647" s="48"/>
      <c r="N647" s="48"/>
      <c r="O647" s="48"/>
      <c r="P647" s="38"/>
      <c r="Q647" s="48"/>
      <c r="R647" s="48"/>
      <c r="S647" s="48"/>
      <c r="T647" s="55"/>
    </row>
    <row r="648" spans="1:20" ht="15.95" customHeight="1" x14ac:dyDescent="0.2">
      <c r="A648" s="34" t="s">
        <v>338</v>
      </c>
      <c r="B648" s="78" t="s">
        <v>190</v>
      </c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9"/>
    </row>
    <row r="649" spans="1:20" ht="15.95" customHeight="1" x14ac:dyDescent="0.2">
      <c r="A649" s="34"/>
      <c r="B649" s="50" t="s">
        <v>345</v>
      </c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1"/>
    </row>
    <row r="650" spans="1:20" ht="45" customHeight="1" x14ac:dyDescent="0.2">
      <c r="A650" s="34"/>
      <c r="B650" s="80" t="s">
        <v>193</v>
      </c>
      <c r="C650" s="80"/>
      <c r="D650" s="80"/>
      <c r="E650" s="80"/>
      <c r="F650" s="80"/>
      <c r="G650" s="80"/>
      <c r="H650" s="80"/>
      <c r="I650" s="48" t="s">
        <v>28</v>
      </c>
      <c r="J650" s="48" t="s">
        <v>22</v>
      </c>
      <c r="K650" s="48" t="s">
        <v>35</v>
      </c>
      <c r="L650" s="48" t="s">
        <v>194</v>
      </c>
      <c r="M650" s="48" t="s">
        <v>221</v>
      </c>
      <c r="N650" s="48" t="s">
        <v>190</v>
      </c>
      <c r="O650" s="48" t="s">
        <v>221</v>
      </c>
      <c r="P650" s="38" t="s">
        <v>382</v>
      </c>
      <c r="Q650" s="48" t="s">
        <v>29</v>
      </c>
      <c r="R650" s="48" t="s">
        <v>8</v>
      </c>
      <c r="S650" s="48" t="s">
        <v>30</v>
      </c>
      <c r="T650" s="55"/>
    </row>
    <row r="651" spans="1:20" ht="15.95" customHeight="1" x14ac:dyDescent="0.2">
      <c r="A651" s="34"/>
      <c r="B651" s="25" t="s">
        <v>5</v>
      </c>
      <c r="C651" s="2">
        <f>D651+E651+F651+G651+H651</f>
        <v>19977.100209999997</v>
      </c>
      <c r="D651" s="2">
        <f>SUM(D652:D655)</f>
        <v>0</v>
      </c>
      <c r="E651" s="2">
        <f>SUM(E652:E655)</f>
        <v>8986.7202099999995</v>
      </c>
      <c r="F651" s="2">
        <f t="shared" ref="F651:G651" si="136">SUM(F652:F655)</f>
        <v>10990.38</v>
      </c>
      <c r="G651" s="2">
        <f t="shared" si="136"/>
        <v>0</v>
      </c>
      <c r="H651" s="1">
        <f>SUM(H652:H655)</f>
        <v>0</v>
      </c>
      <c r="I651" s="48"/>
      <c r="J651" s="48"/>
      <c r="K651" s="48"/>
      <c r="L651" s="48"/>
      <c r="M651" s="48"/>
      <c r="N651" s="48"/>
      <c r="O651" s="48"/>
      <c r="P651" s="38"/>
      <c r="Q651" s="48"/>
      <c r="R651" s="48"/>
      <c r="S651" s="48"/>
      <c r="T651" s="55"/>
    </row>
    <row r="652" spans="1:20" ht="15.95" customHeight="1" x14ac:dyDescent="0.2">
      <c r="A652" s="34"/>
      <c r="B652" s="25" t="s">
        <v>0</v>
      </c>
      <c r="C652" s="2">
        <f>D652+E652+F652+H652+G652</f>
        <v>19887.233</v>
      </c>
      <c r="D652" s="1"/>
      <c r="E652" s="1">
        <f>0+8896.853</f>
        <v>8896.8529999999992</v>
      </c>
      <c r="F652" s="1">
        <f>0+10990.38</f>
        <v>10990.38</v>
      </c>
      <c r="G652" s="1"/>
      <c r="H652" s="1"/>
      <c r="I652" s="48"/>
      <c r="J652" s="48"/>
      <c r="K652" s="48"/>
      <c r="L652" s="48"/>
      <c r="M652" s="48"/>
      <c r="N652" s="48"/>
      <c r="O652" s="48"/>
      <c r="P652" s="38"/>
      <c r="Q652" s="48"/>
      <c r="R652" s="48"/>
      <c r="S652" s="48"/>
      <c r="T652" s="55"/>
    </row>
    <row r="653" spans="1:20" ht="15.95" customHeight="1" x14ac:dyDescent="0.2">
      <c r="A653" s="34"/>
      <c r="B653" s="25" t="s">
        <v>1</v>
      </c>
      <c r="C653" s="2">
        <f>D653+E653+F653+H653+G653</f>
        <v>89.86721</v>
      </c>
      <c r="D653" s="1"/>
      <c r="E653" s="1">
        <v>89.86721</v>
      </c>
      <c r="F653" s="1"/>
      <c r="G653" s="1"/>
      <c r="H653" s="1"/>
      <c r="I653" s="48"/>
      <c r="J653" s="48"/>
      <c r="K653" s="48"/>
      <c r="L653" s="48"/>
      <c r="M653" s="48"/>
      <c r="N653" s="48"/>
      <c r="O653" s="48"/>
      <c r="P653" s="38"/>
      <c r="Q653" s="48"/>
      <c r="R653" s="48"/>
      <c r="S653" s="48"/>
      <c r="T653" s="55"/>
    </row>
    <row r="654" spans="1:20" ht="15.95" customHeight="1" x14ac:dyDescent="0.2">
      <c r="A654" s="34"/>
      <c r="B654" s="25" t="s">
        <v>2</v>
      </c>
      <c r="C654" s="2">
        <f>D654+E654+F654+H654+G654</f>
        <v>0</v>
      </c>
      <c r="D654" s="1"/>
      <c r="E654" s="2"/>
      <c r="F654" s="1"/>
      <c r="G654" s="1"/>
      <c r="H654" s="1"/>
      <c r="I654" s="48"/>
      <c r="J654" s="48"/>
      <c r="K654" s="48"/>
      <c r="L654" s="48"/>
      <c r="M654" s="48"/>
      <c r="N654" s="48"/>
      <c r="O654" s="48"/>
      <c r="P654" s="38"/>
      <c r="Q654" s="48"/>
      <c r="R654" s="48"/>
      <c r="S654" s="48"/>
      <c r="T654" s="55"/>
    </row>
    <row r="655" spans="1:20" ht="15.95" customHeight="1" x14ac:dyDescent="0.2">
      <c r="A655" s="34"/>
      <c r="B655" s="25" t="s">
        <v>3</v>
      </c>
      <c r="C655" s="2">
        <f>D655+E655+F655+H655+G655</f>
        <v>0</v>
      </c>
      <c r="D655" s="1"/>
      <c r="E655" s="2"/>
      <c r="F655" s="1"/>
      <c r="G655" s="1"/>
      <c r="H655" s="1"/>
      <c r="I655" s="48"/>
      <c r="J655" s="48"/>
      <c r="K655" s="48"/>
      <c r="L655" s="48"/>
      <c r="M655" s="48"/>
      <c r="N655" s="48"/>
      <c r="O655" s="48"/>
      <c r="P655" s="38"/>
      <c r="Q655" s="48"/>
      <c r="R655" s="48"/>
      <c r="S655" s="48"/>
      <c r="T655" s="55"/>
    </row>
    <row r="656" spans="1:20" ht="15.95" customHeight="1" x14ac:dyDescent="0.2">
      <c r="A656" s="34" t="s">
        <v>339</v>
      </c>
      <c r="B656" s="78" t="s">
        <v>190</v>
      </c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9"/>
    </row>
    <row r="657" spans="1:20" ht="15.95" customHeight="1" x14ac:dyDescent="0.2">
      <c r="A657" s="34"/>
      <c r="B657" s="50" t="s">
        <v>345</v>
      </c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1"/>
    </row>
    <row r="658" spans="1:20" ht="45" customHeight="1" x14ac:dyDescent="0.2">
      <c r="A658" s="34"/>
      <c r="B658" s="80" t="s">
        <v>196</v>
      </c>
      <c r="C658" s="80"/>
      <c r="D658" s="80"/>
      <c r="E658" s="80"/>
      <c r="F658" s="80"/>
      <c r="G658" s="80"/>
      <c r="H658" s="80"/>
      <c r="I658" s="48" t="s">
        <v>28</v>
      </c>
      <c r="J658" s="48" t="s">
        <v>22</v>
      </c>
      <c r="K658" s="48" t="s">
        <v>35</v>
      </c>
      <c r="L658" s="48" t="s">
        <v>195</v>
      </c>
      <c r="M658" s="48" t="s">
        <v>221</v>
      </c>
      <c r="N658" s="48" t="s">
        <v>190</v>
      </c>
      <c r="O658" s="48" t="s">
        <v>221</v>
      </c>
      <c r="P658" s="38" t="s">
        <v>383</v>
      </c>
      <c r="Q658" s="48" t="s">
        <v>29</v>
      </c>
      <c r="R658" s="48" t="s">
        <v>8</v>
      </c>
      <c r="S658" s="48" t="s">
        <v>30</v>
      </c>
      <c r="T658" s="55"/>
    </row>
    <row r="659" spans="1:20" ht="15.95" customHeight="1" x14ac:dyDescent="0.2">
      <c r="A659" s="34"/>
      <c r="B659" s="25" t="s">
        <v>5</v>
      </c>
      <c r="C659" s="2">
        <f>D659+E659+F659+G659+H659</f>
        <v>221069.01546</v>
      </c>
      <c r="D659" s="2">
        <f>SUM(D660:D663)</f>
        <v>0</v>
      </c>
      <c r="E659" s="2">
        <f>SUM(E660:E663)</f>
        <v>100141.14546</v>
      </c>
      <c r="F659" s="2">
        <f t="shared" ref="F659" si="137">SUM(F660:F663)</f>
        <v>120927.87</v>
      </c>
      <c r="G659" s="2"/>
      <c r="H659" s="1">
        <f>SUM(H660:H663)</f>
        <v>0</v>
      </c>
      <c r="I659" s="48"/>
      <c r="J659" s="48"/>
      <c r="K659" s="48"/>
      <c r="L659" s="48"/>
      <c r="M659" s="48"/>
      <c r="N659" s="48"/>
      <c r="O659" s="48"/>
      <c r="P659" s="38"/>
      <c r="Q659" s="48"/>
      <c r="R659" s="48"/>
      <c r="S659" s="48"/>
      <c r="T659" s="55"/>
    </row>
    <row r="660" spans="1:20" ht="15.95" customHeight="1" x14ac:dyDescent="0.2">
      <c r="A660" s="34"/>
      <c r="B660" s="25" t="s">
        <v>0</v>
      </c>
      <c r="C660" s="2">
        <f>D660+E660+F660+H660+G660</f>
        <v>220067.60399999999</v>
      </c>
      <c r="D660" s="1"/>
      <c r="E660" s="1">
        <f>0+99139.734</f>
        <v>99139.733999999997</v>
      </c>
      <c r="F660" s="1">
        <f>0+120927.87</f>
        <v>120927.87</v>
      </c>
      <c r="G660" s="1"/>
      <c r="H660" s="1"/>
      <c r="I660" s="48"/>
      <c r="J660" s="48"/>
      <c r="K660" s="48"/>
      <c r="L660" s="48"/>
      <c r="M660" s="48"/>
      <c r="N660" s="48"/>
      <c r="O660" s="48"/>
      <c r="P660" s="38"/>
      <c r="Q660" s="48"/>
      <c r="R660" s="48"/>
      <c r="S660" s="48"/>
      <c r="T660" s="55"/>
    </row>
    <row r="661" spans="1:20" ht="15.95" customHeight="1" x14ac:dyDescent="0.2">
      <c r="A661" s="34"/>
      <c r="B661" s="25" t="s">
        <v>1</v>
      </c>
      <c r="C661" s="2">
        <f>D661+E661+F661+H661+G661</f>
        <v>1001.41146</v>
      </c>
      <c r="D661" s="1"/>
      <c r="E661" s="1">
        <v>1001.41146</v>
      </c>
      <c r="F661" s="1"/>
      <c r="G661" s="1"/>
      <c r="H661" s="1"/>
      <c r="I661" s="48"/>
      <c r="J661" s="48"/>
      <c r="K661" s="48"/>
      <c r="L661" s="48"/>
      <c r="M661" s="48"/>
      <c r="N661" s="48"/>
      <c r="O661" s="48"/>
      <c r="P661" s="38"/>
      <c r="Q661" s="48"/>
      <c r="R661" s="48"/>
      <c r="S661" s="48"/>
      <c r="T661" s="55"/>
    </row>
    <row r="662" spans="1:20" ht="15.95" customHeight="1" x14ac:dyDescent="0.2">
      <c r="A662" s="34"/>
      <c r="B662" s="25" t="s">
        <v>2</v>
      </c>
      <c r="C662" s="2">
        <f>D662+E662+F662+H662+G662</f>
        <v>0</v>
      </c>
      <c r="D662" s="1"/>
      <c r="E662" s="1"/>
      <c r="F662" s="1"/>
      <c r="G662" s="1"/>
      <c r="H662" s="1"/>
      <c r="I662" s="48"/>
      <c r="J662" s="48"/>
      <c r="K662" s="48"/>
      <c r="L662" s="48"/>
      <c r="M662" s="48"/>
      <c r="N662" s="48"/>
      <c r="O662" s="48"/>
      <c r="P662" s="38"/>
      <c r="Q662" s="48"/>
      <c r="R662" s="48"/>
      <c r="S662" s="48"/>
      <c r="T662" s="55"/>
    </row>
    <row r="663" spans="1:20" ht="15.95" customHeight="1" x14ac:dyDescent="0.2">
      <c r="A663" s="34"/>
      <c r="B663" s="25" t="s">
        <v>3</v>
      </c>
      <c r="C663" s="2">
        <f>D663+E663+F663+H663+G663</f>
        <v>0</v>
      </c>
      <c r="D663" s="1"/>
      <c r="E663" s="1"/>
      <c r="F663" s="1"/>
      <c r="G663" s="1"/>
      <c r="H663" s="1"/>
      <c r="I663" s="48"/>
      <c r="J663" s="48"/>
      <c r="K663" s="48"/>
      <c r="L663" s="48"/>
      <c r="M663" s="48"/>
      <c r="N663" s="48"/>
      <c r="O663" s="48"/>
      <c r="P663" s="38"/>
      <c r="Q663" s="48"/>
      <c r="R663" s="48"/>
      <c r="S663" s="48"/>
      <c r="T663" s="55"/>
    </row>
    <row r="664" spans="1:20" ht="15.95" customHeight="1" x14ac:dyDescent="0.2">
      <c r="A664" s="34" t="s">
        <v>424</v>
      </c>
      <c r="B664" s="78" t="s">
        <v>44</v>
      </c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9"/>
    </row>
    <row r="665" spans="1:20" ht="15.95" customHeight="1" x14ac:dyDescent="0.2">
      <c r="A665" s="34"/>
      <c r="B665" s="50" t="s">
        <v>89</v>
      </c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1"/>
    </row>
    <row r="666" spans="1:20" ht="45" customHeight="1" x14ac:dyDescent="0.2">
      <c r="A666" s="34"/>
      <c r="B666" s="80" t="s">
        <v>169</v>
      </c>
      <c r="C666" s="80"/>
      <c r="D666" s="80"/>
      <c r="E666" s="80"/>
      <c r="F666" s="80"/>
      <c r="G666" s="80"/>
      <c r="H666" s="80"/>
      <c r="I666" s="48" t="s">
        <v>22</v>
      </c>
      <c r="J666" s="48"/>
      <c r="K666" s="48" t="s">
        <v>54</v>
      </c>
      <c r="L666" s="48"/>
      <c r="M666" s="48" t="s">
        <v>44</v>
      </c>
      <c r="N666" s="48" t="s">
        <v>44</v>
      </c>
      <c r="O666" s="48" t="s">
        <v>44</v>
      </c>
      <c r="P666" s="38" t="s">
        <v>384</v>
      </c>
      <c r="Q666" s="48" t="s">
        <v>29</v>
      </c>
      <c r="R666" s="48" t="s">
        <v>55</v>
      </c>
      <c r="S666" s="48" t="s">
        <v>76</v>
      </c>
      <c r="T666" s="55"/>
    </row>
    <row r="667" spans="1:20" ht="15.95" customHeight="1" x14ac:dyDescent="0.2">
      <c r="A667" s="34"/>
      <c r="B667" s="25" t="s">
        <v>5</v>
      </c>
      <c r="C667" s="2">
        <f>D667+E667+F667+H667+G667</f>
        <v>19439.327000000001</v>
      </c>
      <c r="D667" s="1">
        <f t="shared" ref="D667:F667" si="138">SUM(D668:D671)</f>
        <v>19439.327000000001</v>
      </c>
      <c r="E667" s="1">
        <f t="shared" si="138"/>
        <v>0</v>
      </c>
      <c r="F667" s="1">
        <f t="shared" si="138"/>
        <v>0</v>
      </c>
      <c r="G667" s="1">
        <f t="shared" ref="G667" si="139">SUM(G668:G671)</f>
        <v>0</v>
      </c>
      <c r="H667" s="1">
        <f t="shared" ref="H667" si="140">SUM(H668:H671)</f>
        <v>0</v>
      </c>
      <c r="I667" s="48"/>
      <c r="J667" s="48"/>
      <c r="K667" s="48"/>
      <c r="L667" s="48"/>
      <c r="M667" s="48"/>
      <c r="N667" s="48"/>
      <c r="O667" s="48"/>
      <c r="P667" s="38"/>
      <c r="Q667" s="48"/>
      <c r="R667" s="48"/>
      <c r="S667" s="48"/>
      <c r="T667" s="55"/>
    </row>
    <row r="668" spans="1:20" ht="15.95" customHeight="1" x14ac:dyDescent="0.2">
      <c r="A668" s="34"/>
      <c r="B668" s="25" t="s">
        <v>0</v>
      </c>
      <c r="C668" s="2">
        <f t="shared" ref="C668:C671" si="141">D668+E668+F668+H668+G668</f>
        <v>0</v>
      </c>
      <c r="D668" s="1"/>
      <c r="E668" s="1"/>
      <c r="F668" s="1"/>
      <c r="G668" s="1"/>
      <c r="H668" s="1"/>
      <c r="I668" s="48"/>
      <c r="J668" s="48"/>
      <c r="K668" s="48"/>
      <c r="L668" s="48"/>
      <c r="M668" s="48"/>
      <c r="N668" s="48"/>
      <c r="O668" s="48"/>
      <c r="P668" s="38"/>
      <c r="Q668" s="48"/>
      <c r="R668" s="48"/>
      <c r="S668" s="48"/>
      <c r="T668" s="55"/>
    </row>
    <row r="669" spans="1:20" ht="15.95" customHeight="1" x14ac:dyDescent="0.2">
      <c r="A669" s="34"/>
      <c r="B669" s="25" t="s">
        <v>1</v>
      </c>
      <c r="C669" s="2">
        <f t="shared" si="141"/>
        <v>19439.327000000001</v>
      </c>
      <c r="D669" s="1">
        <f>20000-560.673</f>
        <v>19439.327000000001</v>
      </c>
      <c r="E669" s="1"/>
      <c r="F669" s="1"/>
      <c r="G669" s="1"/>
      <c r="H669" s="1"/>
      <c r="I669" s="48"/>
      <c r="J669" s="48"/>
      <c r="K669" s="48"/>
      <c r="L669" s="48"/>
      <c r="M669" s="48"/>
      <c r="N669" s="48"/>
      <c r="O669" s="48"/>
      <c r="P669" s="38"/>
      <c r="Q669" s="48"/>
      <c r="R669" s="48"/>
      <c r="S669" s="48"/>
      <c r="T669" s="55"/>
    </row>
    <row r="670" spans="1:20" ht="15.95" customHeight="1" x14ac:dyDescent="0.2">
      <c r="A670" s="34"/>
      <c r="B670" s="25" t="s">
        <v>2</v>
      </c>
      <c r="C670" s="2">
        <f t="shared" si="141"/>
        <v>0</v>
      </c>
      <c r="D670" s="1"/>
      <c r="E670" s="1"/>
      <c r="F670" s="1"/>
      <c r="G670" s="1"/>
      <c r="H670" s="1"/>
      <c r="I670" s="48"/>
      <c r="J670" s="48"/>
      <c r="K670" s="48"/>
      <c r="L670" s="48"/>
      <c r="M670" s="48"/>
      <c r="N670" s="48"/>
      <c r="O670" s="48"/>
      <c r="P670" s="38"/>
      <c r="Q670" s="48"/>
      <c r="R670" s="48"/>
      <c r="S670" s="48"/>
      <c r="T670" s="55"/>
    </row>
    <row r="671" spans="1:20" ht="15.95" customHeight="1" x14ac:dyDescent="0.2">
      <c r="A671" s="34"/>
      <c r="B671" s="25" t="s">
        <v>3</v>
      </c>
      <c r="C671" s="2">
        <f t="shared" si="141"/>
        <v>0</v>
      </c>
      <c r="D671" s="1"/>
      <c r="E671" s="1"/>
      <c r="F671" s="1"/>
      <c r="G671" s="1"/>
      <c r="H671" s="1"/>
      <c r="I671" s="48"/>
      <c r="J671" s="48"/>
      <c r="K671" s="48"/>
      <c r="L671" s="48"/>
      <c r="M671" s="48"/>
      <c r="N671" s="48"/>
      <c r="O671" s="48"/>
      <c r="P671" s="38"/>
      <c r="Q671" s="48"/>
      <c r="R671" s="48"/>
      <c r="S671" s="48"/>
      <c r="T671" s="55"/>
    </row>
    <row r="672" spans="1:20" ht="15.95" customHeight="1" x14ac:dyDescent="0.2">
      <c r="A672" s="34" t="s">
        <v>431</v>
      </c>
      <c r="B672" s="46" t="s">
        <v>190</v>
      </c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9"/>
    </row>
    <row r="673" spans="1:20" ht="15.95" customHeight="1" x14ac:dyDescent="0.2">
      <c r="A673" s="34"/>
      <c r="B673" s="50" t="s">
        <v>473</v>
      </c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1"/>
    </row>
    <row r="674" spans="1:20" ht="45" customHeight="1" x14ac:dyDescent="0.2">
      <c r="A674" s="34"/>
      <c r="B674" s="52" t="s">
        <v>474</v>
      </c>
      <c r="C674" s="53"/>
      <c r="D674" s="53"/>
      <c r="E674" s="53"/>
      <c r="F674" s="53"/>
      <c r="G674" s="53"/>
      <c r="H674" s="54"/>
      <c r="I674" s="39" t="s">
        <v>22</v>
      </c>
      <c r="J674" s="39"/>
      <c r="K674" s="39" t="s">
        <v>35</v>
      </c>
      <c r="L674" s="39" t="s">
        <v>475</v>
      </c>
      <c r="M674" s="39" t="s">
        <v>221</v>
      </c>
      <c r="N674" s="39" t="s">
        <v>190</v>
      </c>
      <c r="O674" s="39" t="s">
        <v>221</v>
      </c>
      <c r="P674" s="84" t="s">
        <v>476</v>
      </c>
      <c r="Q674" s="39" t="s">
        <v>29</v>
      </c>
      <c r="R674" s="39" t="s">
        <v>8</v>
      </c>
      <c r="S674" s="39" t="s">
        <v>31</v>
      </c>
      <c r="T674" s="110" t="s">
        <v>477</v>
      </c>
    </row>
    <row r="675" spans="1:20" ht="15.95" customHeight="1" x14ac:dyDescent="0.2">
      <c r="A675" s="34"/>
      <c r="B675" s="25" t="s">
        <v>5</v>
      </c>
      <c r="C675" s="2">
        <f>D675+E675+F675+G675+H675</f>
        <v>13480.20275</v>
      </c>
      <c r="D675" s="1">
        <f t="shared" ref="D675:F675" si="142">SUM(D676:D679)</f>
        <v>13480.20275</v>
      </c>
      <c r="E675" s="1">
        <f t="shared" si="142"/>
        <v>0</v>
      </c>
      <c r="F675" s="1">
        <f t="shared" si="142"/>
        <v>0</v>
      </c>
      <c r="G675" s="1">
        <f t="shared" ref="G675:H675" si="143">SUM(G676:G679)</f>
        <v>0</v>
      </c>
      <c r="H675" s="1">
        <f t="shared" si="143"/>
        <v>0</v>
      </c>
      <c r="I675" s="40"/>
      <c r="J675" s="40"/>
      <c r="K675" s="40"/>
      <c r="L675" s="40"/>
      <c r="M675" s="40"/>
      <c r="N675" s="40"/>
      <c r="O675" s="40"/>
      <c r="P675" s="85"/>
      <c r="Q675" s="40"/>
      <c r="R675" s="40"/>
      <c r="S675" s="40"/>
      <c r="T675" s="111"/>
    </row>
    <row r="676" spans="1:20" ht="15.95" customHeight="1" x14ac:dyDescent="0.2">
      <c r="A676" s="34"/>
      <c r="B676" s="25" t="s">
        <v>0</v>
      </c>
      <c r="C676" s="2">
        <f>D676+E676+F676+G676+H676</f>
        <v>0</v>
      </c>
      <c r="D676" s="1"/>
      <c r="E676" s="1"/>
      <c r="F676" s="1"/>
      <c r="G676" s="1"/>
      <c r="H676" s="1"/>
      <c r="I676" s="40"/>
      <c r="J676" s="40"/>
      <c r="K676" s="40"/>
      <c r="L676" s="40"/>
      <c r="M676" s="40"/>
      <c r="N676" s="40"/>
      <c r="O676" s="40"/>
      <c r="P676" s="85"/>
      <c r="Q676" s="40"/>
      <c r="R676" s="40"/>
      <c r="S676" s="40"/>
      <c r="T676" s="111"/>
    </row>
    <row r="677" spans="1:20" ht="15.95" customHeight="1" x14ac:dyDescent="0.2">
      <c r="A677" s="34"/>
      <c r="B677" s="25" t="s">
        <v>1</v>
      </c>
      <c r="C677" s="2">
        <f>D677+E677+F677+G677+H677</f>
        <v>13480.20275</v>
      </c>
      <c r="D677" s="1">
        <f>0+11492+12158.039-10169.83625</f>
        <v>13480.20275</v>
      </c>
      <c r="E677" s="1"/>
      <c r="F677" s="1"/>
      <c r="G677" s="1"/>
      <c r="H677" s="1"/>
      <c r="I677" s="40"/>
      <c r="J677" s="40"/>
      <c r="K677" s="40"/>
      <c r="L677" s="40"/>
      <c r="M677" s="40"/>
      <c r="N677" s="40"/>
      <c r="O677" s="40"/>
      <c r="P677" s="85"/>
      <c r="Q677" s="40"/>
      <c r="R677" s="40"/>
      <c r="S677" s="40"/>
      <c r="T677" s="111"/>
    </row>
    <row r="678" spans="1:20" ht="15.95" customHeight="1" x14ac:dyDescent="0.2">
      <c r="A678" s="34"/>
      <c r="B678" s="25" t="s">
        <v>2</v>
      </c>
      <c r="C678" s="2">
        <f>SUM(D678:H678)</f>
        <v>0</v>
      </c>
      <c r="D678" s="7"/>
      <c r="E678" s="1"/>
      <c r="F678" s="1"/>
      <c r="G678" s="1"/>
      <c r="H678" s="1"/>
      <c r="I678" s="40"/>
      <c r="J678" s="40"/>
      <c r="K678" s="40"/>
      <c r="L678" s="40"/>
      <c r="M678" s="40"/>
      <c r="N678" s="40"/>
      <c r="O678" s="40"/>
      <c r="P678" s="85"/>
      <c r="Q678" s="40"/>
      <c r="R678" s="40"/>
      <c r="S678" s="40"/>
      <c r="T678" s="111"/>
    </row>
    <row r="679" spans="1:20" ht="15.95" customHeight="1" x14ac:dyDescent="0.2">
      <c r="A679" s="34"/>
      <c r="B679" s="25" t="s">
        <v>3</v>
      </c>
      <c r="C679" s="2">
        <f>SUM(D679:H679)</f>
        <v>0</v>
      </c>
      <c r="D679" s="1"/>
      <c r="E679" s="1"/>
      <c r="F679" s="1"/>
      <c r="G679" s="1"/>
      <c r="H679" s="1"/>
      <c r="I679" s="41"/>
      <c r="J679" s="41"/>
      <c r="K679" s="41"/>
      <c r="L679" s="41"/>
      <c r="M679" s="41"/>
      <c r="N679" s="41"/>
      <c r="O679" s="41"/>
      <c r="P679" s="86"/>
      <c r="Q679" s="41"/>
      <c r="R679" s="41"/>
      <c r="S679" s="41"/>
      <c r="T679" s="112"/>
    </row>
    <row r="680" spans="1:20" ht="15.95" customHeight="1" x14ac:dyDescent="0.2">
      <c r="A680" s="34" t="s">
        <v>432</v>
      </c>
      <c r="B680" s="46" t="s">
        <v>190</v>
      </c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9"/>
    </row>
    <row r="681" spans="1:20" ht="15.95" customHeight="1" x14ac:dyDescent="0.2">
      <c r="A681" s="34"/>
      <c r="B681" s="50" t="s">
        <v>505</v>
      </c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1"/>
    </row>
    <row r="682" spans="1:20" ht="45" customHeight="1" x14ac:dyDescent="0.2">
      <c r="A682" s="34"/>
      <c r="B682" s="52" t="s">
        <v>515</v>
      </c>
      <c r="C682" s="53"/>
      <c r="D682" s="53"/>
      <c r="E682" s="53"/>
      <c r="F682" s="53"/>
      <c r="G682" s="53"/>
      <c r="H682" s="54"/>
      <c r="I682" s="48" t="s">
        <v>28</v>
      </c>
      <c r="J682" s="48" t="s">
        <v>22</v>
      </c>
      <c r="K682" s="48" t="s">
        <v>40</v>
      </c>
      <c r="L682" s="48" t="s">
        <v>516</v>
      </c>
      <c r="M682" s="48" t="s">
        <v>426</v>
      </c>
      <c r="N682" s="48" t="s">
        <v>190</v>
      </c>
      <c r="O682" s="48" t="s">
        <v>426</v>
      </c>
      <c r="P682" s="38" t="s">
        <v>517</v>
      </c>
      <c r="Q682" s="48" t="s">
        <v>7</v>
      </c>
      <c r="R682" s="48" t="s">
        <v>48</v>
      </c>
      <c r="S682" s="48" t="s">
        <v>30</v>
      </c>
      <c r="T682" s="55"/>
    </row>
    <row r="683" spans="1:20" ht="15.95" customHeight="1" x14ac:dyDescent="0.2">
      <c r="A683" s="34"/>
      <c r="B683" s="25" t="s">
        <v>5</v>
      </c>
      <c r="C683" s="2">
        <f>D683+E683+F683+G683+H683</f>
        <v>579600</v>
      </c>
      <c r="D683" s="1">
        <f t="shared" ref="D683:F683" si="144">SUM(D684:D687)</f>
        <v>0</v>
      </c>
      <c r="E683" s="1">
        <f t="shared" si="144"/>
        <v>0</v>
      </c>
      <c r="F683" s="1">
        <f t="shared" si="144"/>
        <v>579600</v>
      </c>
      <c r="G683" s="1">
        <f t="shared" ref="G683:H683" si="145">SUM(G684:G687)</f>
        <v>0</v>
      </c>
      <c r="H683" s="1">
        <f t="shared" si="145"/>
        <v>0</v>
      </c>
      <c r="I683" s="48"/>
      <c r="J683" s="48"/>
      <c r="K683" s="48"/>
      <c r="L683" s="48"/>
      <c r="M683" s="48"/>
      <c r="N683" s="48"/>
      <c r="O683" s="48"/>
      <c r="P683" s="38"/>
      <c r="Q683" s="48"/>
      <c r="R683" s="48"/>
      <c r="S683" s="48"/>
      <c r="T683" s="55"/>
    </row>
    <row r="684" spans="1:20" ht="15.95" customHeight="1" x14ac:dyDescent="0.2">
      <c r="A684" s="34"/>
      <c r="B684" s="25" t="s">
        <v>0</v>
      </c>
      <c r="C684" s="2">
        <f>D684+E684+F684+G684+H684</f>
        <v>573804</v>
      </c>
      <c r="D684" s="1"/>
      <c r="E684" s="1"/>
      <c r="F684" s="1">
        <f>0+573804</f>
        <v>573804</v>
      </c>
      <c r="G684" s="1"/>
      <c r="H684" s="1"/>
      <c r="I684" s="48"/>
      <c r="J684" s="48"/>
      <c r="K684" s="48"/>
      <c r="L684" s="48"/>
      <c r="M684" s="48"/>
      <c r="N684" s="48"/>
      <c r="O684" s="48"/>
      <c r="P684" s="38"/>
      <c r="Q684" s="48"/>
      <c r="R684" s="48"/>
      <c r="S684" s="48"/>
      <c r="T684" s="55"/>
    </row>
    <row r="685" spans="1:20" ht="15.95" customHeight="1" x14ac:dyDescent="0.2">
      <c r="A685" s="34"/>
      <c r="B685" s="25" t="s">
        <v>1</v>
      </c>
      <c r="C685" s="2">
        <f>D685+E685+F685+G685+H685</f>
        <v>0</v>
      </c>
      <c r="D685" s="1"/>
      <c r="E685" s="1"/>
      <c r="F685" s="1"/>
      <c r="G685" s="1"/>
      <c r="H685" s="1"/>
      <c r="I685" s="48"/>
      <c r="J685" s="48"/>
      <c r="K685" s="48"/>
      <c r="L685" s="48"/>
      <c r="M685" s="48"/>
      <c r="N685" s="48"/>
      <c r="O685" s="48"/>
      <c r="P685" s="38"/>
      <c r="Q685" s="48"/>
      <c r="R685" s="48"/>
      <c r="S685" s="48"/>
      <c r="T685" s="55"/>
    </row>
    <row r="686" spans="1:20" ht="15.95" customHeight="1" x14ac:dyDescent="0.2">
      <c r="A686" s="34"/>
      <c r="B686" s="25" t="s">
        <v>2</v>
      </c>
      <c r="C686" s="2">
        <f>SUM(D686:H686)</f>
        <v>5796</v>
      </c>
      <c r="D686" s="7"/>
      <c r="E686" s="1"/>
      <c r="F686" s="1">
        <f>0+5796</f>
        <v>5796</v>
      </c>
      <c r="G686" s="1"/>
      <c r="H686" s="1"/>
      <c r="I686" s="48"/>
      <c r="J686" s="48"/>
      <c r="K686" s="48"/>
      <c r="L686" s="48"/>
      <c r="M686" s="48"/>
      <c r="N686" s="48"/>
      <c r="O686" s="48"/>
      <c r="P686" s="38"/>
      <c r="Q686" s="48"/>
      <c r="R686" s="48"/>
      <c r="S686" s="48"/>
      <c r="T686" s="55"/>
    </row>
    <row r="687" spans="1:20" ht="15.95" customHeight="1" x14ac:dyDescent="0.2">
      <c r="A687" s="34"/>
      <c r="B687" s="25" t="s">
        <v>3</v>
      </c>
      <c r="C687" s="2">
        <f>SUM(D687:H687)</f>
        <v>0</v>
      </c>
      <c r="D687" s="1"/>
      <c r="E687" s="1"/>
      <c r="F687" s="1"/>
      <c r="G687" s="1"/>
      <c r="H687" s="1"/>
      <c r="I687" s="48"/>
      <c r="J687" s="48"/>
      <c r="K687" s="48"/>
      <c r="L687" s="48"/>
      <c r="M687" s="48"/>
      <c r="N687" s="48"/>
      <c r="O687" s="48"/>
      <c r="P687" s="38"/>
      <c r="Q687" s="48"/>
      <c r="R687" s="48"/>
      <c r="S687" s="48"/>
      <c r="T687" s="55"/>
    </row>
    <row r="688" spans="1:20" ht="15.95" customHeight="1" x14ac:dyDescent="0.2">
      <c r="A688" s="34" t="s">
        <v>478</v>
      </c>
      <c r="B688" s="46" t="s">
        <v>190</v>
      </c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9"/>
    </row>
    <row r="689" spans="1:20" ht="15.95" customHeight="1" x14ac:dyDescent="0.2">
      <c r="A689" s="34"/>
      <c r="B689" s="50" t="s">
        <v>505</v>
      </c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1"/>
    </row>
    <row r="690" spans="1:20" ht="45" customHeight="1" x14ac:dyDescent="0.2">
      <c r="A690" s="34"/>
      <c r="B690" s="52" t="s">
        <v>509</v>
      </c>
      <c r="C690" s="53"/>
      <c r="D690" s="53"/>
      <c r="E690" s="53"/>
      <c r="F690" s="53"/>
      <c r="G690" s="53"/>
      <c r="H690" s="54"/>
      <c r="I690" s="48" t="s">
        <v>28</v>
      </c>
      <c r="J690" s="48" t="s">
        <v>22</v>
      </c>
      <c r="K690" s="48" t="s">
        <v>40</v>
      </c>
      <c r="L690" s="48" t="s">
        <v>518</v>
      </c>
      <c r="M690" s="48" t="s">
        <v>426</v>
      </c>
      <c r="N690" s="48" t="s">
        <v>190</v>
      </c>
      <c r="O690" s="48" t="s">
        <v>426</v>
      </c>
      <c r="P690" s="38" t="s">
        <v>519</v>
      </c>
      <c r="Q690" s="48" t="s">
        <v>7</v>
      </c>
      <c r="R690" s="48" t="s">
        <v>48</v>
      </c>
      <c r="S690" s="48" t="s">
        <v>30</v>
      </c>
      <c r="T690" s="55"/>
    </row>
    <row r="691" spans="1:20" ht="15.95" customHeight="1" x14ac:dyDescent="0.2">
      <c r="A691" s="34"/>
      <c r="B691" s="25" t="s">
        <v>5</v>
      </c>
      <c r="C691" s="2">
        <f>D691+E691+F691+G691+H691</f>
        <v>330120</v>
      </c>
      <c r="D691" s="1">
        <f t="shared" ref="D691:F691" si="146">SUM(D692:D695)</f>
        <v>0</v>
      </c>
      <c r="E691" s="1">
        <f t="shared" si="146"/>
        <v>0</v>
      </c>
      <c r="F691" s="1">
        <f t="shared" si="146"/>
        <v>330120</v>
      </c>
      <c r="G691" s="1">
        <f t="shared" ref="G691:H691" si="147">SUM(G692:G695)</f>
        <v>0</v>
      </c>
      <c r="H691" s="1">
        <f t="shared" si="147"/>
        <v>0</v>
      </c>
      <c r="I691" s="48"/>
      <c r="J691" s="48"/>
      <c r="K691" s="48"/>
      <c r="L691" s="48"/>
      <c r="M691" s="48"/>
      <c r="N691" s="48"/>
      <c r="O691" s="48"/>
      <c r="P691" s="38"/>
      <c r="Q691" s="48"/>
      <c r="R691" s="48"/>
      <c r="S691" s="48"/>
      <c r="T691" s="55"/>
    </row>
    <row r="692" spans="1:20" ht="15.95" customHeight="1" x14ac:dyDescent="0.2">
      <c r="A692" s="34"/>
      <c r="B692" s="25" t="s">
        <v>0</v>
      </c>
      <c r="C692" s="2">
        <f>D692+E692+F692+G692+H692</f>
        <v>326818.8</v>
      </c>
      <c r="D692" s="1"/>
      <c r="E692" s="1"/>
      <c r="F692" s="1">
        <f>0+326818.8</f>
        <v>326818.8</v>
      </c>
      <c r="G692" s="1"/>
      <c r="H692" s="1"/>
      <c r="I692" s="48"/>
      <c r="J692" s="48"/>
      <c r="K692" s="48"/>
      <c r="L692" s="48"/>
      <c r="M692" s="48"/>
      <c r="N692" s="48"/>
      <c r="O692" s="48"/>
      <c r="P692" s="38"/>
      <c r="Q692" s="48"/>
      <c r="R692" s="48"/>
      <c r="S692" s="48"/>
      <c r="T692" s="55"/>
    </row>
    <row r="693" spans="1:20" ht="15.95" customHeight="1" x14ac:dyDescent="0.2">
      <c r="A693" s="34"/>
      <c r="B693" s="25" t="s">
        <v>1</v>
      </c>
      <c r="C693" s="2">
        <f>D693+E693+F693+G693+H693</f>
        <v>0</v>
      </c>
      <c r="D693" s="1"/>
      <c r="E693" s="1"/>
      <c r="F693" s="1"/>
      <c r="G693" s="1"/>
      <c r="H693" s="1"/>
      <c r="I693" s="48"/>
      <c r="J693" s="48"/>
      <c r="K693" s="48"/>
      <c r="L693" s="48"/>
      <c r="M693" s="48"/>
      <c r="N693" s="48"/>
      <c r="O693" s="48"/>
      <c r="P693" s="38"/>
      <c r="Q693" s="48"/>
      <c r="R693" s="48"/>
      <c r="S693" s="48"/>
      <c r="T693" s="55"/>
    </row>
    <row r="694" spans="1:20" ht="15.95" customHeight="1" x14ac:dyDescent="0.2">
      <c r="A694" s="34"/>
      <c r="B694" s="25" t="s">
        <v>2</v>
      </c>
      <c r="C694" s="2">
        <f>SUM(D694:H694)</f>
        <v>3301.2</v>
      </c>
      <c r="D694" s="7"/>
      <c r="E694" s="1"/>
      <c r="F694" s="1">
        <f>0+3301.2</f>
        <v>3301.2</v>
      </c>
      <c r="G694" s="1"/>
      <c r="H694" s="1"/>
      <c r="I694" s="48"/>
      <c r="J694" s="48"/>
      <c r="K694" s="48"/>
      <c r="L694" s="48"/>
      <c r="M694" s="48"/>
      <c r="N694" s="48"/>
      <c r="O694" s="48"/>
      <c r="P694" s="38"/>
      <c r="Q694" s="48"/>
      <c r="R694" s="48"/>
      <c r="S694" s="48"/>
      <c r="T694" s="55"/>
    </row>
    <row r="695" spans="1:20" ht="15.95" customHeight="1" x14ac:dyDescent="0.2">
      <c r="A695" s="34"/>
      <c r="B695" s="25" t="s">
        <v>3</v>
      </c>
      <c r="C695" s="2">
        <f>SUM(D695:H695)</f>
        <v>0</v>
      </c>
      <c r="D695" s="1"/>
      <c r="E695" s="1"/>
      <c r="F695" s="1"/>
      <c r="G695" s="1"/>
      <c r="H695" s="1"/>
      <c r="I695" s="48"/>
      <c r="J695" s="48"/>
      <c r="K695" s="48"/>
      <c r="L695" s="48"/>
      <c r="M695" s="48"/>
      <c r="N695" s="48"/>
      <c r="O695" s="48"/>
      <c r="P695" s="38"/>
      <c r="Q695" s="48"/>
      <c r="R695" s="48"/>
      <c r="S695" s="48"/>
      <c r="T695" s="55"/>
    </row>
    <row r="696" spans="1:20" ht="15.95" customHeight="1" x14ac:dyDescent="0.2">
      <c r="A696" s="34" t="s">
        <v>504</v>
      </c>
      <c r="B696" s="46" t="s">
        <v>190</v>
      </c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9"/>
    </row>
    <row r="697" spans="1:20" ht="15.95" customHeight="1" x14ac:dyDescent="0.2">
      <c r="A697" s="34"/>
      <c r="B697" s="50" t="s">
        <v>505</v>
      </c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1"/>
    </row>
    <row r="698" spans="1:20" ht="45" customHeight="1" x14ac:dyDescent="0.2">
      <c r="A698" s="34"/>
      <c r="B698" s="52" t="s">
        <v>506</v>
      </c>
      <c r="C698" s="53"/>
      <c r="D698" s="53"/>
      <c r="E698" s="53"/>
      <c r="F698" s="53"/>
      <c r="G698" s="53"/>
      <c r="H698" s="54"/>
      <c r="I698" s="48" t="s">
        <v>28</v>
      </c>
      <c r="J698" s="48" t="s">
        <v>22</v>
      </c>
      <c r="K698" s="48" t="s">
        <v>40</v>
      </c>
      <c r="L698" s="48" t="s">
        <v>520</v>
      </c>
      <c r="M698" s="48" t="s">
        <v>426</v>
      </c>
      <c r="N698" s="48" t="s">
        <v>190</v>
      </c>
      <c r="O698" s="48" t="s">
        <v>426</v>
      </c>
      <c r="P698" s="38" t="s">
        <v>521</v>
      </c>
      <c r="Q698" s="48" t="s">
        <v>7</v>
      </c>
      <c r="R698" s="48" t="s">
        <v>48</v>
      </c>
      <c r="S698" s="48" t="s">
        <v>30</v>
      </c>
      <c r="T698" s="55"/>
    </row>
    <row r="699" spans="1:20" ht="15.95" customHeight="1" x14ac:dyDescent="0.2">
      <c r="A699" s="34"/>
      <c r="B699" s="25" t="s">
        <v>5</v>
      </c>
      <c r="C699" s="2">
        <f>D699+E699+F699+G699+H699</f>
        <v>418500.15152000001</v>
      </c>
      <c r="D699" s="1">
        <f t="shared" ref="D699:F699" si="148">SUM(D700:D703)</f>
        <v>0</v>
      </c>
      <c r="E699" s="1">
        <f t="shared" si="148"/>
        <v>0</v>
      </c>
      <c r="F699" s="1">
        <f t="shared" si="148"/>
        <v>418500.15152000001</v>
      </c>
      <c r="G699" s="1">
        <f t="shared" ref="G699:H699" si="149">SUM(G700:G703)</f>
        <v>0</v>
      </c>
      <c r="H699" s="1">
        <f t="shared" si="149"/>
        <v>0</v>
      </c>
      <c r="I699" s="48"/>
      <c r="J699" s="48"/>
      <c r="K699" s="48"/>
      <c r="L699" s="48"/>
      <c r="M699" s="48"/>
      <c r="N699" s="48"/>
      <c r="O699" s="48"/>
      <c r="P699" s="38"/>
      <c r="Q699" s="48"/>
      <c r="R699" s="48"/>
      <c r="S699" s="48"/>
      <c r="T699" s="55"/>
    </row>
    <row r="700" spans="1:20" ht="15.95" customHeight="1" x14ac:dyDescent="0.2">
      <c r="A700" s="34"/>
      <c r="B700" s="25" t="s">
        <v>0</v>
      </c>
      <c r="C700" s="2">
        <f>D700+E700+F700+G700+H700</f>
        <v>414315.15</v>
      </c>
      <c r="D700" s="1"/>
      <c r="E700" s="1"/>
      <c r="F700" s="1">
        <f>0+414315.15</f>
        <v>414315.15</v>
      </c>
      <c r="G700" s="1"/>
      <c r="H700" s="1"/>
      <c r="I700" s="48"/>
      <c r="J700" s="48"/>
      <c r="K700" s="48"/>
      <c r="L700" s="48"/>
      <c r="M700" s="48"/>
      <c r="N700" s="48"/>
      <c r="O700" s="48"/>
      <c r="P700" s="38"/>
      <c r="Q700" s="48"/>
      <c r="R700" s="48"/>
      <c r="S700" s="48"/>
      <c r="T700" s="55"/>
    </row>
    <row r="701" spans="1:20" ht="15.95" customHeight="1" x14ac:dyDescent="0.2">
      <c r="A701" s="34"/>
      <c r="B701" s="25" t="s">
        <v>1</v>
      </c>
      <c r="C701" s="2">
        <f>D701+E701+F701+G701+H701</f>
        <v>0</v>
      </c>
      <c r="D701" s="1"/>
      <c r="E701" s="1"/>
      <c r="F701" s="1"/>
      <c r="G701" s="1"/>
      <c r="H701" s="1"/>
      <c r="I701" s="48"/>
      <c r="J701" s="48"/>
      <c r="K701" s="48"/>
      <c r="L701" s="48"/>
      <c r="M701" s="48"/>
      <c r="N701" s="48"/>
      <c r="O701" s="48"/>
      <c r="P701" s="38"/>
      <c r="Q701" s="48"/>
      <c r="R701" s="48"/>
      <c r="S701" s="48"/>
      <c r="T701" s="55"/>
    </row>
    <row r="702" spans="1:20" ht="15.95" customHeight="1" x14ac:dyDescent="0.2">
      <c r="A702" s="34"/>
      <c r="B702" s="25" t="s">
        <v>2</v>
      </c>
      <c r="C702" s="2">
        <f>SUM(D702:H702)</f>
        <v>4185.0015199999998</v>
      </c>
      <c r="D702" s="7"/>
      <c r="E702" s="1"/>
      <c r="F702" s="1">
        <f>0+4185.00152</f>
        <v>4185.0015199999998</v>
      </c>
      <c r="G702" s="1"/>
      <c r="H702" s="1"/>
      <c r="I702" s="48"/>
      <c r="J702" s="48"/>
      <c r="K702" s="48"/>
      <c r="L702" s="48"/>
      <c r="M702" s="48"/>
      <c r="N702" s="48"/>
      <c r="O702" s="48"/>
      <c r="P702" s="38"/>
      <c r="Q702" s="48"/>
      <c r="R702" s="48"/>
      <c r="S702" s="48"/>
      <c r="T702" s="55"/>
    </row>
    <row r="703" spans="1:20" ht="15.95" customHeight="1" x14ac:dyDescent="0.2">
      <c r="A703" s="34"/>
      <c r="B703" s="25" t="s">
        <v>3</v>
      </c>
      <c r="C703" s="2">
        <f>SUM(D703:H703)</f>
        <v>0</v>
      </c>
      <c r="D703" s="1"/>
      <c r="E703" s="1"/>
      <c r="F703" s="1"/>
      <c r="G703" s="1"/>
      <c r="H703" s="1"/>
      <c r="I703" s="48"/>
      <c r="J703" s="48"/>
      <c r="K703" s="48"/>
      <c r="L703" s="48"/>
      <c r="M703" s="48"/>
      <c r="N703" s="48"/>
      <c r="O703" s="48"/>
      <c r="P703" s="38"/>
      <c r="Q703" s="48"/>
      <c r="R703" s="48"/>
      <c r="S703" s="48"/>
      <c r="T703" s="55"/>
    </row>
    <row r="704" spans="1:20" ht="15.95" customHeight="1" x14ac:dyDescent="0.2">
      <c r="A704" s="34" t="s">
        <v>507</v>
      </c>
      <c r="B704" s="46" t="s">
        <v>190</v>
      </c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9"/>
    </row>
    <row r="705" spans="1:20" ht="15.95" customHeight="1" x14ac:dyDescent="0.2">
      <c r="A705" s="34"/>
      <c r="B705" s="50" t="s">
        <v>345</v>
      </c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1"/>
    </row>
    <row r="706" spans="1:20" ht="45" customHeight="1" x14ac:dyDescent="0.2">
      <c r="A706" s="34"/>
      <c r="B706" s="52" t="s">
        <v>621</v>
      </c>
      <c r="C706" s="53"/>
      <c r="D706" s="53"/>
      <c r="E706" s="53"/>
      <c r="F706" s="53"/>
      <c r="G706" s="53"/>
      <c r="H706" s="54"/>
      <c r="I706" s="39" t="s">
        <v>23</v>
      </c>
      <c r="J706" s="39" t="s">
        <v>19</v>
      </c>
      <c r="K706" s="39" t="s">
        <v>35</v>
      </c>
      <c r="L706" s="39" t="s">
        <v>622</v>
      </c>
      <c r="M706" s="39" t="s">
        <v>221</v>
      </c>
      <c r="N706" s="39" t="s">
        <v>190</v>
      </c>
      <c r="O706" s="39" t="s">
        <v>221</v>
      </c>
      <c r="P706" s="84" t="s">
        <v>623</v>
      </c>
      <c r="Q706" s="39" t="s">
        <v>29</v>
      </c>
      <c r="R706" s="39" t="s">
        <v>8</v>
      </c>
      <c r="S706" s="48" t="s">
        <v>24</v>
      </c>
      <c r="T706" s="110"/>
    </row>
    <row r="707" spans="1:20" ht="15.95" customHeight="1" x14ac:dyDescent="0.2">
      <c r="A707" s="34"/>
      <c r="B707" s="25" t="s">
        <v>5</v>
      </c>
      <c r="C707" s="2">
        <f>D707+E707+F707+G707+H707</f>
        <v>10100</v>
      </c>
      <c r="D707" s="1">
        <f t="shared" ref="D707:F707" si="150">SUM(D708:D711)</f>
        <v>10100</v>
      </c>
      <c r="E707" s="1">
        <f t="shared" si="150"/>
        <v>0</v>
      </c>
      <c r="F707" s="1">
        <f t="shared" si="150"/>
        <v>0</v>
      </c>
      <c r="G707" s="1">
        <f t="shared" ref="G707:H707" si="151">SUM(G708:G711)</f>
        <v>0</v>
      </c>
      <c r="H707" s="1">
        <f t="shared" si="151"/>
        <v>0</v>
      </c>
      <c r="I707" s="40"/>
      <c r="J707" s="40"/>
      <c r="K707" s="40"/>
      <c r="L707" s="40"/>
      <c r="M707" s="40"/>
      <c r="N707" s="40"/>
      <c r="O707" s="40"/>
      <c r="P707" s="85"/>
      <c r="Q707" s="40"/>
      <c r="R707" s="40"/>
      <c r="S707" s="48"/>
      <c r="T707" s="111"/>
    </row>
    <row r="708" spans="1:20" ht="15.95" customHeight="1" x14ac:dyDescent="0.2">
      <c r="A708" s="34"/>
      <c r="B708" s="25" t="s">
        <v>0</v>
      </c>
      <c r="C708" s="2">
        <f>D708+E708+F708+G708+H708</f>
        <v>0</v>
      </c>
      <c r="D708" s="1"/>
      <c r="E708" s="1"/>
      <c r="F708" s="1"/>
      <c r="G708" s="1"/>
      <c r="H708" s="1"/>
      <c r="I708" s="40"/>
      <c r="J708" s="40"/>
      <c r="K708" s="40"/>
      <c r="L708" s="40"/>
      <c r="M708" s="40"/>
      <c r="N708" s="40"/>
      <c r="O708" s="40"/>
      <c r="P708" s="85"/>
      <c r="Q708" s="40"/>
      <c r="R708" s="40"/>
      <c r="S708" s="48"/>
      <c r="T708" s="111"/>
    </row>
    <row r="709" spans="1:20" ht="15.95" customHeight="1" x14ac:dyDescent="0.2">
      <c r="A709" s="34"/>
      <c r="B709" s="25" t="s">
        <v>1</v>
      </c>
      <c r="C709" s="2">
        <f>D709+E709+F709+G709+H709</f>
        <v>10100</v>
      </c>
      <c r="D709" s="1">
        <f>0+100+10000</f>
        <v>10100</v>
      </c>
      <c r="E709" s="1"/>
      <c r="F709" s="1"/>
      <c r="G709" s="1"/>
      <c r="H709" s="1"/>
      <c r="I709" s="40"/>
      <c r="J709" s="40"/>
      <c r="K709" s="40"/>
      <c r="L709" s="40"/>
      <c r="M709" s="40"/>
      <c r="N709" s="40"/>
      <c r="O709" s="40"/>
      <c r="P709" s="85"/>
      <c r="Q709" s="40"/>
      <c r="R709" s="40"/>
      <c r="S709" s="48"/>
      <c r="T709" s="111"/>
    </row>
    <row r="710" spans="1:20" ht="15.95" customHeight="1" x14ac:dyDescent="0.2">
      <c r="A710" s="34"/>
      <c r="B710" s="25" t="s">
        <v>2</v>
      </c>
      <c r="C710" s="2">
        <f>SUM(D710:H710)</f>
        <v>0</v>
      </c>
      <c r="D710" s="7"/>
      <c r="E710" s="1"/>
      <c r="F710" s="1"/>
      <c r="G710" s="1"/>
      <c r="H710" s="1"/>
      <c r="I710" s="40"/>
      <c r="J710" s="40"/>
      <c r="K710" s="40"/>
      <c r="L710" s="40"/>
      <c r="M710" s="40"/>
      <c r="N710" s="40"/>
      <c r="O710" s="40"/>
      <c r="P710" s="85"/>
      <c r="Q710" s="40"/>
      <c r="R710" s="40"/>
      <c r="S710" s="48"/>
      <c r="T710" s="111"/>
    </row>
    <row r="711" spans="1:20" ht="15.95" customHeight="1" x14ac:dyDescent="0.2">
      <c r="A711" s="34"/>
      <c r="B711" s="25" t="s">
        <v>3</v>
      </c>
      <c r="C711" s="2">
        <f>SUM(D711:H711)</f>
        <v>0</v>
      </c>
      <c r="D711" s="1"/>
      <c r="E711" s="1"/>
      <c r="F711" s="1"/>
      <c r="G711" s="1"/>
      <c r="H711" s="1"/>
      <c r="I711" s="41"/>
      <c r="J711" s="41"/>
      <c r="K711" s="41"/>
      <c r="L711" s="41"/>
      <c r="M711" s="41"/>
      <c r="N711" s="41"/>
      <c r="O711" s="41"/>
      <c r="P711" s="86"/>
      <c r="Q711" s="41"/>
      <c r="R711" s="41"/>
      <c r="S711" s="48"/>
      <c r="T711" s="112"/>
    </row>
    <row r="712" spans="1:20" ht="15.95" customHeight="1" x14ac:dyDescent="0.2">
      <c r="A712" s="34" t="s">
        <v>508</v>
      </c>
      <c r="B712" s="46" t="s">
        <v>190</v>
      </c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9"/>
    </row>
    <row r="713" spans="1:20" ht="15.95" customHeight="1" x14ac:dyDescent="0.2">
      <c r="A713" s="34"/>
      <c r="B713" s="50" t="s">
        <v>345</v>
      </c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1"/>
    </row>
    <row r="714" spans="1:20" ht="45" customHeight="1" x14ac:dyDescent="0.2">
      <c r="A714" s="34"/>
      <c r="B714" s="52" t="s">
        <v>627</v>
      </c>
      <c r="C714" s="53"/>
      <c r="D714" s="53"/>
      <c r="E714" s="53"/>
      <c r="F714" s="53"/>
      <c r="G714" s="53"/>
      <c r="H714" s="54"/>
      <c r="I714" s="48" t="s">
        <v>28</v>
      </c>
      <c r="J714" s="48" t="s">
        <v>639</v>
      </c>
      <c r="K714" s="48" t="s">
        <v>35</v>
      </c>
      <c r="L714" s="48"/>
      <c r="M714" s="39" t="s">
        <v>221</v>
      </c>
      <c r="N714" s="48" t="s">
        <v>190</v>
      </c>
      <c r="O714" s="39" t="s">
        <v>221</v>
      </c>
      <c r="P714" s="38"/>
      <c r="Q714" s="48" t="s">
        <v>29</v>
      </c>
      <c r="R714" s="48" t="s">
        <v>33</v>
      </c>
      <c r="S714" s="48" t="s">
        <v>24</v>
      </c>
      <c r="T714" s="55"/>
    </row>
    <row r="715" spans="1:20" ht="15.95" customHeight="1" x14ac:dyDescent="0.2">
      <c r="A715" s="34"/>
      <c r="B715" s="25" t="s">
        <v>5</v>
      </c>
      <c r="C715" s="2">
        <f>D715+E715+F715+G715+H715</f>
        <v>6300</v>
      </c>
      <c r="D715" s="1">
        <f t="shared" ref="D715:F715" si="152">SUM(D716:D719)</f>
        <v>6300</v>
      </c>
      <c r="E715" s="1">
        <f t="shared" si="152"/>
        <v>0</v>
      </c>
      <c r="F715" s="1">
        <f t="shared" si="152"/>
        <v>0</v>
      </c>
      <c r="G715" s="1">
        <f t="shared" ref="G715:H715" si="153">SUM(G716:G719)</f>
        <v>0</v>
      </c>
      <c r="H715" s="1">
        <f t="shared" si="153"/>
        <v>0</v>
      </c>
      <c r="I715" s="48"/>
      <c r="J715" s="48"/>
      <c r="K715" s="48"/>
      <c r="L715" s="48"/>
      <c r="M715" s="40"/>
      <c r="N715" s="48"/>
      <c r="O715" s="40"/>
      <c r="P715" s="38"/>
      <c r="Q715" s="48"/>
      <c r="R715" s="48"/>
      <c r="S715" s="48"/>
      <c r="T715" s="55"/>
    </row>
    <row r="716" spans="1:20" ht="15.95" customHeight="1" x14ac:dyDescent="0.2">
      <c r="A716" s="34"/>
      <c r="B716" s="25" t="s">
        <v>0</v>
      </c>
      <c r="C716" s="2">
        <f>D716+E716+F716+G716+H716</f>
        <v>0</v>
      </c>
      <c r="D716" s="1"/>
      <c r="E716" s="1"/>
      <c r="F716" s="1"/>
      <c r="G716" s="1"/>
      <c r="H716" s="1"/>
      <c r="I716" s="48"/>
      <c r="J716" s="48"/>
      <c r="K716" s="48"/>
      <c r="L716" s="48"/>
      <c r="M716" s="40"/>
      <c r="N716" s="48"/>
      <c r="O716" s="40"/>
      <c r="P716" s="38"/>
      <c r="Q716" s="48"/>
      <c r="R716" s="48"/>
      <c r="S716" s="48"/>
      <c r="T716" s="55"/>
    </row>
    <row r="717" spans="1:20" ht="15.95" customHeight="1" x14ac:dyDescent="0.2">
      <c r="A717" s="34"/>
      <c r="B717" s="25" t="s">
        <v>1</v>
      </c>
      <c r="C717" s="2">
        <f>D717+E717+F717+G717+H717</f>
        <v>6300</v>
      </c>
      <c r="D717" s="1">
        <f>0+6700-400</f>
        <v>6300</v>
      </c>
      <c r="E717" s="1"/>
      <c r="F717" s="1"/>
      <c r="G717" s="1"/>
      <c r="H717" s="1"/>
      <c r="I717" s="48"/>
      <c r="J717" s="48"/>
      <c r="K717" s="48"/>
      <c r="L717" s="48"/>
      <c r="M717" s="40"/>
      <c r="N717" s="48"/>
      <c r="O717" s="40"/>
      <c r="P717" s="38"/>
      <c r="Q717" s="48"/>
      <c r="R717" s="48"/>
      <c r="S717" s="48"/>
      <c r="T717" s="55"/>
    </row>
    <row r="718" spans="1:20" ht="15.95" customHeight="1" x14ac:dyDescent="0.2">
      <c r="A718" s="34"/>
      <c r="B718" s="25" t="s">
        <v>2</v>
      </c>
      <c r="C718" s="2">
        <f>SUM(D718:H718)</f>
        <v>0</v>
      </c>
      <c r="D718" s="7"/>
      <c r="E718" s="1"/>
      <c r="F718" s="1"/>
      <c r="G718" s="1"/>
      <c r="H718" s="1"/>
      <c r="I718" s="48"/>
      <c r="J718" s="48"/>
      <c r="K718" s="48"/>
      <c r="L718" s="48"/>
      <c r="M718" s="40"/>
      <c r="N718" s="48"/>
      <c r="O718" s="40"/>
      <c r="P718" s="38"/>
      <c r="Q718" s="48"/>
      <c r="R718" s="48"/>
      <c r="S718" s="48"/>
      <c r="T718" s="55"/>
    </row>
    <row r="719" spans="1:20" ht="15.95" customHeight="1" x14ac:dyDescent="0.2">
      <c r="A719" s="34"/>
      <c r="B719" s="25" t="s">
        <v>3</v>
      </c>
      <c r="C719" s="2">
        <f>SUM(D719:H719)</f>
        <v>0</v>
      </c>
      <c r="D719" s="1"/>
      <c r="E719" s="1"/>
      <c r="F719" s="1"/>
      <c r="G719" s="1"/>
      <c r="H719" s="1"/>
      <c r="I719" s="48"/>
      <c r="J719" s="48"/>
      <c r="K719" s="48"/>
      <c r="L719" s="48"/>
      <c r="M719" s="41"/>
      <c r="N719" s="48"/>
      <c r="O719" s="41"/>
      <c r="P719" s="38"/>
      <c r="Q719" s="48"/>
      <c r="R719" s="48"/>
      <c r="S719" s="48"/>
      <c r="T719" s="55"/>
    </row>
    <row r="720" spans="1:20" ht="15.95" customHeight="1" x14ac:dyDescent="0.2">
      <c r="A720" s="34" t="s">
        <v>619</v>
      </c>
      <c r="B720" s="46" t="s">
        <v>190</v>
      </c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9"/>
    </row>
    <row r="721" spans="1:20" ht="15.95" customHeight="1" x14ac:dyDescent="0.2">
      <c r="A721" s="34"/>
      <c r="B721" s="50" t="s">
        <v>345</v>
      </c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1"/>
    </row>
    <row r="722" spans="1:20" ht="45" customHeight="1" x14ac:dyDescent="0.2">
      <c r="A722" s="34"/>
      <c r="B722" s="52" t="s">
        <v>633</v>
      </c>
      <c r="C722" s="53"/>
      <c r="D722" s="53"/>
      <c r="E722" s="53"/>
      <c r="F722" s="53"/>
      <c r="G722" s="53"/>
      <c r="H722" s="54"/>
      <c r="I722" s="48" t="s">
        <v>23</v>
      </c>
      <c r="J722" s="48"/>
      <c r="K722" s="48" t="s">
        <v>40</v>
      </c>
      <c r="L722" s="48" t="s">
        <v>640</v>
      </c>
      <c r="M722" s="48" t="s">
        <v>641</v>
      </c>
      <c r="N722" s="48" t="s">
        <v>190</v>
      </c>
      <c r="O722" s="48" t="s">
        <v>641</v>
      </c>
      <c r="P722" s="38"/>
      <c r="Q722" s="48" t="s">
        <v>7</v>
      </c>
      <c r="R722" s="48" t="s">
        <v>642</v>
      </c>
      <c r="S722" s="48" t="s">
        <v>31</v>
      </c>
      <c r="T722" s="55" t="s">
        <v>643</v>
      </c>
    </row>
    <row r="723" spans="1:20" ht="15.95" customHeight="1" x14ac:dyDescent="0.2">
      <c r="A723" s="34"/>
      <c r="B723" s="25" t="s">
        <v>5</v>
      </c>
      <c r="C723" s="2">
        <f>D723+E723+F723+G723+H723</f>
        <v>238478.31312999997</v>
      </c>
      <c r="D723" s="1">
        <f t="shared" ref="D723:F723" si="154">SUM(D724:D727)</f>
        <v>79410.75757999999</v>
      </c>
      <c r="E723" s="1">
        <f t="shared" si="154"/>
        <v>159067.55554999999</v>
      </c>
      <c r="F723" s="1">
        <f t="shared" si="154"/>
        <v>0</v>
      </c>
      <c r="G723" s="1">
        <f t="shared" ref="G723:H723" si="155">SUM(G724:G727)</f>
        <v>0</v>
      </c>
      <c r="H723" s="1">
        <f t="shared" si="155"/>
        <v>0</v>
      </c>
      <c r="I723" s="48"/>
      <c r="J723" s="48"/>
      <c r="K723" s="48"/>
      <c r="L723" s="48"/>
      <c r="M723" s="48"/>
      <c r="N723" s="48"/>
      <c r="O723" s="48"/>
      <c r="P723" s="38"/>
      <c r="Q723" s="48"/>
      <c r="R723" s="48"/>
      <c r="S723" s="48"/>
      <c r="T723" s="55"/>
    </row>
    <row r="724" spans="1:20" ht="15.95" customHeight="1" x14ac:dyDescent="0.2">
      <c r="A724" s="34"/>
      <c r="B724" s="25" t="s">
        <v>0</v>
      </c>
      <c r="C724" s="2">
        <f>D724+E724+F724+G724+H724</f>
        <v>0</v>
      </c>
      <c r="D724" s="1"/>
      <c r="E724" s="1"/>
      <c r="F724" s="1"/>
      <c r="G724" s="1"/>
      <c r="H724" s="1"/>
      <c r="I724" s="48"/>
      <c r="J724" s="48"/>
      <c r="K724" s="48"/>
      <c r="L724" s="48"/>
      <c r="M724" s="48"/>
      <c r="N724" s="48"/>
      <c r="O724" s="48"/>
      <c r="P724" s="38"/>
      <c r="Q724" s="48"/>
      <c r="R724" s="48"/>
      <c r="S724" s="48"/>
      <c r="T724" s="55"/>
    </row>
    <row r="725" spans="1:20" ht="15.95" customHeight="1" x14ac:dyDescent="0.2">
      <c r="A725" s="34"/>
      <c r="B725" s="25" t="s">
        <v>1</v>
      </c>
      <c r="C725" s="2">
        <f>D725+E725+F725+G725+H725</f>
        <v>236093.53</v>
      </c>
      <c r="D725" s="1">
        <f>0+78616.65</f>
        <v>78616.649999999994</v>
      </c>
      <c r="E725" s="1">
        <f>0+128606.88+28870</f>
        <v>157476.88</v>
      </c>
      <c r="F725" s="1"/>
      <c r="G725" s="1"/>
      <c r="H725" s="1"/>
      <c r="I725" s="48"/>
      <c r="J725" s="48"/>
      <c r="K725" s="48"/>
      <c r="L725" s="48"/>
      <c r="M725" s="48"/>
      <c r="N725" s="48"/>
      <c r="O725" s="48"/>
      <c r="P725" s="38"/>
      <c r="Q725" s="48"/>
      <c r="R725" s="48"/>
      <c r="S725" s="48"/>
      <c r="T725" s="55"/>
    </row>
    <row r="726" spans="1:20" ht="15.95" customHeight="1" x14ac:dyDescent="0.2">
      <c r="A726" s="34"/>
      <c r="B726" s="25" t="s">
        <v>2</v>
      </c>
      <c r="C726" s="2">
        <f>SUM(D726:H726)</f>
        <v>2384.7831299999998</v>
      </c>
      <c r="D726" s="7">
        <v>794.10757999999998</v>
      </c>
      <c r="E726" s="1">
        <f>1299.05939+291.61616</f>
        <v>1590.6755499999999</v>
      </c>
      <c r="F726" s="1"/>
      <c r="G726" s="1"/>
      <c r="H726" s="1"/>
      <c r="I726" s="48"/>
      <c r="J726" s="48"/>
      <c r="K726" s="48"/>
      <c r="L726" s="48"/>
      <c r="M726" s="48"/>
      <c r="N726" s="48"/>
      <c r="O726" s="48"/>
      <c r="P726" s="38"/>
      <c r="Q726" s="48"/>
      <c r="R726" s="48"/>
      <c r="S726" s="48"/>
      <c r="T726" s="55"/>
    </row>
    <row r="727" spans="1:20" ht="15.95" customHeight="1" x14ac:dyDescent="0.2">
      <c r="A727" s="34"/>
      <c r="B727" s="25" t="s">
        <v>3</v>
      </c>
      <c r="C727" s="2">
        <f>SUM(D727:H727)</f>
        <v>0</v>
      </c>
      <c r="D727" s="1"/>
      <c r="E727" s="1"/>
      <c r="F727" s="1"/>
      <c r="G727" s="1"/>
      <c r="H727" s="1"/>
      <c r="I727" s="48"/>
      <c r="J727" s="48"/>
      <c r="K727" s="48"/>
      <c r="L727" s="48"/>
      <c r="M727" s="48"/>
      <c r="N727" s="48"/>
      <c r="O727" s="48"/>
      <c r="P727" s="38"/>
      <c r="Q727" s="48"/>
      <c r="R727" s="48"/>
      <c r="S727" s="48"/>
      <c r="T727" s="55"/>
    </row>
    <row r="728" spans="1:20" ht="15.95" customHeight="1" x14ac:dyDescent="0.2">
      <c r="A728" s="34" t="s">
        <v>624</v>
      </c>
      <c r="B728" s="46" t="s">
        <v>190</v>
      </c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9"/>
    </row>
    <row r="729" spans="1:20" ht="15.95" customHeight="1" x14ac:dyDescent="0.2">
      <c r="A729" s="34"/>
      <c r="B729" s="50" t="s">
        <v>345</v>
      </c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1"/>
    </row>
    <row r="730" spans="1:20" ht="45" customHeight="1" x14ac:dyDescent="0.2">
      <c r="A730" s="34"/>
      <c r="B730" s="52" t="s">
        <v>635</v>
      </c>
      <c r="C730" s="53"/>
      <c r="D730" s="53"/>
      <c r="E730" s="53"/>
      <c r="F730" s="53"/>
      <c r="G730" s="53"/>
      <c r="H730" s="54"/>
      <c r="I730" s="39" t="s">
        <v>23</v>
      </c>
      <c r="J730" s="39" t="s">
        <v>43</v>
      </c>
      <c r="K730" s="39" t="s">
        <v>40</v>
      </c>
      <c r="L730" s="39" t="s">
        <v>644</v>
      </c>
      <c r="M730" s="39" t="s">
        <v>645</v>
      </c>
      <c r="N730" s="39" t="s">
        <v>190</v>
      </c>
      <c r="O730" s="39" t="s">
        <v>645</v>
      </c>
      <c r="P730" s="84" t="s">
        <v>646</v>
      </c>
      <c r="Q730" s="39" t="s">
        <v>7</v>
      </c>
      <c r="R730" s="39" t="s">
        <v>33</v>
      </c>
      <c r="S730" s="39" t="s">
        <v>24</v>
      </c>
      <c r="T730" s="55"/>
    </row>
    <row r="731" spans="1:20" ht="15.95" customHeight="1" x14ac:dyDescent="0.2">
      <c r="A731" s="34"/>
      <c r="B731" s="25" t="s">
        <v>5</v>
      </c>
      <c r="C731" s="2">
        <f>D731+E731+F731+G731+H731</f>
        <v>1548.9566399999999</v>
      </c>
      <c r="D731" s="1">
        <f t="shared" ref="D731:F731" si="156">SUM(D732:D735)</f>
        <v>1548.9566399999999</v>
      </c>
      <c r="E731" s="1">
        <f t="shared" si="156"/>
        <v>0</v>
      </c>
      <c r="F731" s="1">
        <f t="shared" si="156"/>
        <v>0</v>
      </c>
      <c r="G731" s="1">
        <f t="shared" ref="G731:H731" si="157">SUM(G732:G735)</f>
        <v>0</v>
      </c>
      <c r="H731" s="1">
        <f t="shared" si="157"/>
        <v>0</v>
      </c>
      <c r="I731" s="40"/>
      <c r="J731" s="40"/>
      <c r="K731" s="40"/>
      <c r="L731" s="40"/>
      <c r="M731" s="40"/>
      <c r="N731" s="40"/>
      <c r="O731" s="40"/>
      <c r="P731" s="85"/>
      <c r="Q731" s="40"/>
      <c r="R731" s="40"/>
      <c r="S731" s="40"/>
      <c r="T731" s="55"/>
    </row>
    <row r="732" spans="1:20" ht="15.95" customHeight="1" x14ac:dyDescent="0.2">
      <c r="A732" s="34"/>
      <c r="B732" s="25" t="s">
        <v>0</v>
      </c>
      <c r="C732" s="2">
        <f>D732+E732+F732+G732+H732</f>
        <v>0</v>
      </c>
      <c r="D732" s="1"/>
      <c r="E732" s="1"/>
      <c r="F732" s="1"/>
      <c r="G732" s="1"/>
      <c r="H732" s="1"/>
      <c r="I732" s="40"/>
      <c r="J732" s="40"/>
      <c r="K732" s="40"/>
      <c r="L732" s="40"/>
      <c r="M732" s="40"/>
      <c r="N732" s="40"/>
      <c r="O732" s="40"/>
      <c r="P732" s="85"/>
      <c r="Q732" s="40"/>
      <c r="R732" s="40"/>
      <c r="S732" s="40"/>
      <c r="T732" s="55"/>
    </row>
    <row r="733" spans="1:20" ht="15.95" customHeight="1" x14ac:dyDescent="0.2">
      <c r="A733" s="34"/>
      <c r="B733" s="25" t="s">
        <v>1</v>
      </c>
      <c r="C733" s="2">
        <f>D733+E733+F733+G733+H733</f>
        <v>1533.4670699999999</v>
      </c>
      <c r="D733" s="1">
        <f>0+1533.46707</f>
        <v>1533.4670699999999</v>
      </c>
      <c r="E733" s="1"/>
      <c r="F733" s="1"/>
      <c r="G733" s="1"/>
      <c r="H733" s="1"/>
      <c r="I733" s="40"/>
      <c r="J733" s="40"/>
      <c r="K733" s="40"/>
      <c r="L733" s="40"/>
      <c r="M733" s="40"/>
      <c r="N733" s="40"/>
      <c r="O733" s="40"/>
      <c r="P733" s="85"/>
      <c r="Q733" s="40"/>
      <c r="R733" s="40"/>
      <c r="S733" s="40"/>
      <c r="T733" s="55"/>
    </row>
    <row r="734" spans="1:20" ht="15.95" customHeight="1" x14ac:dyDescent="0.2">
      <c r="A734" s="34"/>
      <c r="B734" s="25" t="s">
        <v>2</v>
      </c>
      <c r="C734" s="2">
        <f>SUM(D734:H734)</f>
        <v>15.489570000000001</v>
      </c>
      <c r="D734" s="7">
        <v>15.489570000000001</v>
      </c>
      <c r="E734" s="1"/>
      <c r="F734" s="1"/>
      <c r="G734" s="1"/>
      <c r="H734" s="1"/>
      <c r="I734" s="40"/>
      <c r="J734" s="40"/>
      <c r="K734" s="40"/>
      <c r="L734" s="40"/>
      <c r="M734" s="40"/>
      <c r="N734" s="40"/>
      <c r="O734" s="40"/>
      <c r="P734" s="85"/>
      <c r="Q734" s="40"/>
      <c r="R734" s="40"/>
      <c r="S734" s="40"/>
      <c r="T734" s="55"/>
    </row>
    <row r="735" spans="1:20" ht="15.95" customHeight="1" x14ac:dyDescent="0.2">
      <c r="A735" s="34"/>
      <c r="B735" s="25" t="s">
        <v>3</v>
      </c>
      <c r="C735" s="2">
        <f>SUM(D735:H735)</f>
        <v>0</v>
      </c>
      <c r="D735" s="1"/>
      <c r="E735" s="1"/>
      <c r="F735" s="1"/>
      <c r="G735" s="1"/>
      <c r="H735" s="1"/>
      <c r="I735" s="41"/>
      <c r="J735" s="41"/>
      <c r="K735" s="41"/>
      <c r="L735" s="41"/>
      <c r="M735" s="41"/>
      <c r="N735" s="41"/>
      <c r="O735" s="41"/>
      <c r="P735" s="86"/>
      <c r="Q735" s="41"/>
      <c r="R735" s="41"/>
      <c r="S735" s="41"/>
      <c r="T735" s="55"/>
    </row>
    <row r="736" spans="1:20" ht="15.95" customHeight="1" x14ac:dyDescent="0.2">
      <c r="A736" s="34" t="s">
        <v>626</v>
      </c>
      <c r="B736" s="46" t="s">
        <v>190</v>
      </c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9"/>
    </row>
    <row r="737" spans="1:20" ht="15.95" customHeight="1" x14ac:dyDescent="0.2">
      <c r="A737" s="34"/>
      <c r="B737" s="50" t="s">
        <v>740</v>
      </c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1"/>
    </row>
    <row r="738" spans="1:20" ht="45" customHeight="1" x14ac:dyDescent="0.2">
      <c r="A738" s="34"/>
      <c r="B738" s="52" t="s">
        <v>741</v>
      </c>
      <c r="C738" s="53"/>
      <c r="D738" s="53"/>
      <c r="E738" s="53"/>
      <c r="F738" s="53"/>
      <c r="G738" s="53"/>
      <c r="H738" s="54"/>
      <c r="I738" s="39">
        <v>2022</v>
      </c>
      <c r="J738" s="39"/>
      <c r="K738" s="39" t="s">
        <v>10</v>
      </c>
      <c r="L738" s="39"/>
      <c r="M738" s="48" t="s">
        <v>742</v>
      </c>
      <c r="N738" s="39" t="s">
        <v>190</v>
      </c>
      <c r="O738" s="39" t="s">
        <v>743</v>
      </c>
      <c r="P738" s="84"/>
      <c r="Q738" s="39" t="s">
        <v>7</v>
      </c>
      <c r="R738" s="48" t="s">
        <v>745</v>
      </c>
      <c r="S738" s="39" t="s">
        <v>31</v>
      </c>
      <c r="T738" s="55"/>
    </row>
    <row r="739" spans="1:20" ht="15.95" customHeight="1" x14ac:dyDescent="0.2">
      <c r="A739" s="34"/>
      <c r="B739" s="25" t="s">
        <v>5</v>
      </c>
      <c r="C739" s="2">
        <f>D739+E739+F739+G739+H739</f>
        <v>11390</v>
      </c>
      <c r="D739" s="1">
        <f t="shared" ref="D739:F739" si="158">SUM(D740:D743)</f>
        <v>11390</v>
      </c>
      <c r="E739" s="1">
        <f t="shared" si="158"/>
        <v>0</v>
      </c>
      <c r="F739" s="1">
        <f t="shared" si="158"/>
        <v>0</v>
      </c>
      <c r="G739" s="1">
        <f t="shared" ref="G739:H739" si="159">SUM(G740:G743)</f>
        <v>0</v>
      </c>
      <c r="H739" s="1">
        <f t="shared" si="159"/>
        <v>0</v>
      </c>
      <c r="I739" s="40"/>
      <c r="J739" s="40"/>
      <c r="K739" s="40"/>
      <c r="L739" s="40"/>
      <c r="M739" s="48"/>
      <c r="N739" s="40"/>
      <c r="O739" s="40"/>
      <c r="P739" s="85"/>
      <c r="Q739" s="40"/>
      <c r="R739" s="48"/>
      <c r="S739" s="40"/>
      <c r="T739" s="55"/>
    </row>
    <row r="740" spans="1:20" ht="15.95" customHeight="1" x14ac:dyDescent="0.2">
      <c r="A740" s="34"/>
      <c r="B740" s="25" t="s">
        <v>0</v>
      </c>
      <c r="C740" s="2">
        <f>D740+E740+F740+G740+H740</f>
        <v>0</v>
      </c>
      <c r="D740" s="1"/>
      <c r="E740" s="1"/>
      <c r="F740" s="1"/>
      <c r="G740" s="1"/>
      <c r="H740" s="1"/>
      <c r="I740" s="40"/>
      <c r="J740" s="40"/>
      <c r="K740" s="40"/>
      <c r="L740" s="40"/>
      <c r="M740" s="48"/>
      <c r="N740" s="40"/>
      <c r="O740" s="40"/>
      <c r="P740" s="85"/>
      <c r="Q740" s="40"/>
      <c r="R740" s="48"/>
      <c r="S740" s="40"/>
      <c r="T740" s="55"/>
    </row>
    <row r="741" spans="1:20" ht="15.95" customHeight="1" x14ac:dyDescent="0.2">
      <c r="A741" s="34"/>
      <c r="B741" s="25" t="s">
        <v>1</v>
      </c>
      <c r="C741" s="2">
        <f>D741+E741+F741+G741+H741</f>
        <v>11276.1</v>
      </c>
      <c r="D741" s="1">
        <f>0+11276.1</f>
        <v>11276.1</v>
      </c>
      <c r="E741" s="1"/>
      <c r="F741" s="1"/>
      <c r="G741" s="1"/>
      <c r="H741" s="1"/>
      <c r="I741" s="40"/>
      <c r="J741" s="40"/>
      <c r="K741" s="40"/>
      <c r="L741" s="40"/>
      <c r="M741" s="48"/>
      <c r="N741" s="40"/>
      <c r="O741" s="40"/>
      <c r="P741" s="85"/>
      <c r="Q741" s="40"/>
      <c r="R741" s="48"/>
      <c r="S741" s="40"/>
      <c r="T741" s="55"/>
    </row>
    <row r="742" spans="1:20" ht="15.95" customHeight="1" x14ac:dyDescent="0.2">
      <c r="A742" s="34"/>
      <c r="B742" s="25" t="s">
        <v>2</v>
      </c>
      <c r="C742" s="2">
        <f>D742+E742+F742+G742+H742</f>
        <v>113.9</v>
      </c>
      <c r="D742" s="1">
        <f>0+113.9</f>
        <v>113.9</v>
      </c>
      <c r="E742" s="1"/>
      <c r="F742" s="1"/>
      <c r="G742" s="1"/>
      <c r="H742" s="1"/>
      <c r="I742" s="40"/>
      <c r="J742" s="40"/>
      <c r="K742" s="40"/>
      <c r="L742" s="40"/>
      <c r="M742" s="48"/>
      <c r="N742" s="40"/>
      <c r="O742" s="40"/>
      <c r="P742" s="85"/>
      <c r="Q742" s="40"/>
      <c r="R742" s="48"/>
      <c r="S742" s="40"/>
      <c r="T742" s="55"/>
    </row>
    <row r="743" spans="1:20" ht="15.95" customHeight="1" x14ac:dyDescent="0.2">
      <c r="A743" s="34"/>
      <c r="B743" s="25" t="s">
        <v>3</v>
      </c>
      <c r="C743" s="2">
        <f>SUM(D743:H743)</f>
        <v>0</v>
      </c>
      <c r="D743" s="1"/>
      <c r="E743" s="1"/>
      <c r="F743" s="1"/>
      <c r="G743" s="1"/>
      <c r="H743" s="1"/>
      <c r="I743" s="41"/>
      <c r="J743" s="41"/>
      <c r="K743" s="41"/>
      <c r="L743" s="41"/>
      <c r="M743" s="48"/>
      <c r="N743" s="41"/>
      <c r="O743" s="41"/>
      <c r="P743" s="86"/>
      <c r="Q743" s="41"/>
      <c r="R743" s="48"/>
      <c r="S743" s="41"/>
      <c r="T743" s="55"/>
    </row>
    <row r="744" spans="1:20" ht="15.95" customHeight="1" x14ac:dyDescent="0.2">
      <c r="A744" s="34" t="s">
        <v>632</v>
      </c>
      <c r="B744" s="46" t="s">
        <v>190</v>
      </c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9"/>
    </row>
    <row r="745" spans="1:20" ht="15.95" customHeight="1" x14ac:dyDescent="0.2">
      <c r="A745" s="34"/>
      <c r="B745" s="50" t="s">
        <v>740</v>
      </c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1"/>
    </row>
    <row r="746" spans="1:20" ht="45" customHeight="1" x14ac:dyDescent="0.2">
      <c r="A746" s="34"/>
      <c r="B746" s="52" t="s">
        <v>741</v>
      </c>
      <c r="C746" s="53"/>
      <c r="D746" s="53"/>
      <c r="E746" s="53"/>
      <c r="F746" s="53"/>
      <c r="G746" s="53"/>
      <c r="H746" s="54"/>
      <c r="I746" s="39" t="s">
        <v>22</v>
      </c>
      <c r="J746" s="39"/>
      <c r="K746" s="39" t="s">
        <v>10</v>
      </c>
      <c r="L746" s="39"/>
      <c r="M746" s="39" t="s">
        <v>510</v>
      </c>
      <c r="N746" s="39" t="s">
        <v>190</v>
      </c>
      <c r="O746" s="39" t="s">
        <v>744</v>
      </c>
      <c r="P746" s="84"/>
      <c r="Q746" s="39" t="s">
        <v>7</v>
      </c>
      <c r="R746" s="39" t="s">
        <v>510</v>
      </c>
      <c r="S746" s="39" t="s">
        <v>31</v>
      </c>
      <c r="T746" s="55"/>
    </row>
    <row r="747" spans="1:20" ht="15.95" customHeight="1" x14ac:dyDescent="0.2">
      <c r="A747" s="34"/>
      <c r="B747" s="25" t="s">
        <v>5</v>
      </c>
      <c r="C747" s="2">
        <f>D747+E747+F747+G747+H747</f>
        <v>1912.8649</v>
      </c>
      <c r="D747" s="1">
        <f t="shared" ref="D747:F747" si="160">SUM(D748:D751)</f>
        <v>1912.8649</v>
      </c>
      <c r="E747" s="1">
        <f t="shared" si="160"/>
        <v>0</v>
      </c>
      <c r="F747" s="1">
        <f t="shared" si="160"/>
        <v>0</v>
      </c>
      <c r="G747" s="1">
        <f t="shared" ref="G747:H747" si="161">SUM(G748:G751)</f>
        <v>0</v>
      </c>
      <c r="H747" s="1">
        <f t="shared" si="161"/>
        <v>0</v>
      </c>
      <c r="I747" s="40"/>
      <c r="J747" s="40"/>
      <c r="K747" s="40"/>
      <c r="L747" s="40"/>
      <c r="M747" s="40"/>
      <c r="N747" s="40"/>
      <c r="O747" s="40"/>
      <c r="P747" s="85"/>
      <c r="Q747" s="40"/>
      <c r="R747" s="40"/>
      <c r="S747" s="40"/>
      <c r="T747" s="55"/>
    </row>
    <row r="748" spans="1:20" ht="15.95" customHeight="1" x14ac:dyDescent="0.2">
      <c r="A748" s="34"/>
      <c r="B748" s="25" t="s">
        <v>0</v>
      </c>
      <c r="C748" s="2">
        <f>D748+E748+F748+G748+H748</f>
        <v>0</v>
      </c>
      <c r="D748" s="1"/>
      <c r="E748" s="1"/>
      <c r="F748" s="1"/>
      <c r="G748" s="1"/>
      <c r="H748" s="1"/>
      <c r="I748" s="40"/>
      <c r="J748" s="40"/>
      <c r="K748" s="40"/>
      <c r="L748" s="40"/>
      <c r="M748" s="40"/>
      <c r="N748" s="40"/>
      <c r="O748" s="40"/>
      <c r="P748" s="85"/>
      <c r="Q748" s="40"/>
      <c r="R748" s="40"/>
      <c r="S748" s="40"/>
      <c r="T748" s="55"/>
    </row>
    <row r="749" spans="1:20" ht="15.95" customHeight="1" x14ac:dyDescent="0.2">
      <c r="A749" s="34"/>
      <c r="B749" s="25" t="s">
        <v>1</v>
      </c>
      <c r="C749" s="2">
        <f>D749+E749+F749+G749+H749</f>
        <v>1893.7362499999999</v>
      </c>
      <c r="D749" s="1">
        <f>0+1893.73625</f>
        <v>1893.7362499999999</v>
      </c>
      <c r="E749" s="1"/>
      <c r="F749" s="1"/>
      <c r="G749" s="1"/>
      <c r="H749" s="1"/>
      <c r="I749" s="40"/>
      <c r="J749" s="40"/>
      <c r="K749" s="40"/>
      <c r="L749" s="40"/>
      <c r="M749" s="40"/>
      <c r="N749" s="40"/>
      <c r="O749" s="40"/>
      <c r="P749" s="85"/>
      <c r="Q749" s="40"/>
      <c r="R749" s="40"/>
      <c r="S749" s="40"/>
      <c r="T749" s="55"/>
    </row>
    <row r="750" spans="1:20" ht="15.95" customHeight="1" x14ac:dyDescent="0.2">
      <c r="A750" s="34"/>
      <c r="B750" s="25" t="s">
        <v>2</v>
      </c>
      <c r="C750" s="2">
        <f>D750+E750+F750+G750+H750</f>
        <v>19.12865</v>
      </c>
      <c r="D750" s="1">
        <f>0+19.12865</f>
        <v>19.12865</v>
      </c>
      <c r="E750" s="1"/>
      <c r="F750" s="1"/>
      <c r="G750" s="1"/>
      <c r="H750" s="1"/>
      <c r="I750" s="40"/>
      <c r="J750" s="40"/>
      <c r="K750" s="40"/>
      <c r="L750" s="40"/>
      <c r="M750" s="40"/>
      <c r="N750" s="40"/>
      <c r="O750" s="40"/>
      <c r="P750" s="85"/>
      <c r="Q750" s="40"/>
      <c r="R750" s="40"/>
      <c r="S750" s="40"/>
      <c r="T750" s="55"/>
    </row>
    <row r="751" spans="1:20" ht="15.95" customHeight="1" x14ac:dyDescent="0.2">
      <c r="A751" s="34"/>
      <c r="B751" s="25" t="s">
        <v>3</v>
      </c>
      <c r="C751" s="2">
        <f>SUM(D751:H751)</f>
        <v>0</v>
      </c>
      <c r="D751" s="1"/>
      <c r="E751" s="1"/>
      <c r="F751" s="1"/>
      <c r="G751" s="1"/>
      <c r="H751" s="1"/>
      <c r="I751" s="41"/>
      <c r="J751" s="41"/>
      <c r="K751" s="41"/>
      <c r="L751" s="41"/>
      <c r="M751" s="41"/>
      <c r="N751" s="41"/>
      <c r="O751" s="41"/>
      <c r="P751" s="86"/>
      <c r="Q751" s="41"/>
      <c r="R751" s="41"/>
      <c r="S751" s="41"/>
      <c r="T751" s="55"/>
    </row>
    <row r="752" spans="1:20" ht="15.95" customHeight="1" x14ac:dyDescent="0.2">
      <c r="A752" s="34" t="s">
        <v>634</v>
      </c>
      <c r="B752" s="46" t="s">
        <v>190</v>
      </c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9"/>
    </row>
    <row r="753" spans="1:20" ht="15.95" customHeight="1" x14ac:dyDescent="0.2">
      <c r="A753" s="34"/>
      <c r="B753" s="50" t="s">
        <v>740</v>
      </c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1"/>
    </row>
    <row r="754" spans="1:20" ht="45" customHeight="1" x14ac:dyDescent="0.2">
      <c r="A754" s="34"/>
      <c r="B754" s="52" t="s">
        <v>741</v>
      </c>
      <c r="C754" s="53"/>
      <c r="D754" s="53"/>
      <c r="E754" s="53"/>
      <c r="F754" s="53"/>
      <c r="G754" s="53"/>
      <c r="H754" s="54"/>
      <c r="I754" s="39" t="s">
        <v>22</v>
      </c>
      <c r="J754" s="39"/>
      <c r="K754" s="39" t="s">
        <v>10</v>
      </c>
      <c r="L754" s="39"/>
      <c r="M754" s="39" t="s">
        <v>50</v>
      </c>
      <c r="N754" s="39" t="s">
        <v>201</v>
      </c>
      <c r="O754" s="39" t="s">
        <v>201</v>
      </c>
      <c r="P754" s="84"/>
      <c r="Q754" s="39" t="s">
        <v>7</v>
      </c>
      <c r="R754" s="39" t="s">
        <v>536</v>
      </c>
      <c r="S754" s="39" t="s">
        <v>31</v>
      </c>
      <c r="T754" s="55"/>
    </row>
    <row r="755" spans="1:20" ht="15.95" customHeight="1" x14ac:dyDescent="0.2">
      <c r="A755" s="34"/>
      <c r="B755" s="25" t="s">
        <v>5</v>
      </c>
      <c r="C755" s="2">
        <f>D755+E755+F755+G755+H755</f>
        <v>22542.426220000001</v>
      </c>
      <c r="D755" s="1">
        <f t="shared" ref="D755:F755" si="162">SUM(D756:D759)</f>
        <v>22542.426220000001</v>
      </c>
      <c r="E755" s="1">
        <f t="shared" si="162"/>
        <v>0</v>
      </c>
      <c r="F755" s="1">
        <f t="shared" si="162"/>
        <v>0</v>
      </c>
      <c r="G755" s="1">
        <f t="shared" ref="G755:H755" si="163">SUM(G756:G759)</f>
        <v>0</v>
      </c>
      <c r="H755" s="1">
        <f t="shared" si="163"/>
        <v>0</v>
      </c>
      <c r="I755" s="40"/>
      <c r="J755" s="40"/>
      <c r="K755" s="40"/>
      <c r="L755" s="40"/>
      <c r="M755" s="40"/>
      <c r="N755" s="40"/>
      <c r="O755" s="40"/>
      <c r="P755" s="85"/>
      <c r="Q755" s="40"/>
      <c r="R755" s="40"/>
      <c r="S755" s="40"/>
      <c r="T755" s="55"/>
    </row>
    <row r="756" spans="1:20" ht="15.95" customHeight="1" x14ac:dyDescent="0.2">
      <c r="A756" s="34"/>
      <c r="B756" s="25" t="s">
        <v>0</v>
      </c>
      <c r="C756" s="2">
        <f>D756+E756+F756+G756+H756</f>
        <v>0</v>
      </c>
      <c r="D756" s="1"/>
      <c r="E756" s="1"/>
      <c r="F756" s="1"/>
      <c r="G756" s="1"/>
      <c r="H756" s="1"/>
      <c r="I756" s="40"/>
      <c r="J756" s="40"/>
      <c r="K756" s="40"/>
      <c r="L756" s="40"/>
      <c r="M756" s="40"/>
      <c r="N756" s="40"/>
      <c r="O756" s="40"/>
      <c r="P756" s="85"/>
      <c r="Q756" s="40"/>
      <c r="R756" s="40"/>
      <c r="S756" s="40"/>
      <c r="T756" s="55"/>
    </row>
    <row r="757" spans="1:20" ht="15.95" customHeight="1" x14ac:dyDescent="0.2">
      <c r="A757" s="34"/>
      <c r="B757" s="25" t="s">
        <v>1</v>
      </c>
      <c r="C757" s="2">
        <f>D757+E757+F757+G757+H757</f>
        <v>22317.001960000001</v>
      </c>
      <c r="D757" s="1">
        <f>0+22317.00196</f>
        <v>22317.001960000001</v>
      </c>
      <c r="E757" s="1"/>
      <c r="F757" s="1"/>
      <c r="G757" s="1"/>
      <c r="H757" s="1"/>
      <c r="I757" s="40"/>
      <c r="J757" s="40"/>
      <c r="K757" s="40"/>
      <c r="L757" s="40"/>
      <c r="M757" s="40"/>
      <c r="N757" s="40"/>
      <c r="O757" s="40"/>
      <c r="P757" s="85"/>
      <c r="Q757" s="40"/>
      <c r="R757" s="40"/>
      <c r="S757" s="40"/>
      <c r="T757" s="55"/>
    </row>
    <row r="758" spans="1:20" ht="15.95" customHeight="1" x14ac:dyDescent="0.2">
      <c r="A758" s="34"/>
      <c r="B758" s="25" t="s">
        <v>2</v>
      </c>
      <c r="C758" s="2">
        <f>D758+E758+F758+G758+H758</f>
        <v>225.42426</v>
      </c>
      <c r="D758" s="1">
        <f>0+225.42426</f>
        <v>225.42426</v>
      </c>
      <c r="E758" s="1"/>
      <c r="F758" s="1"/>
      <c r="G758" s="1"/>
      <c r="H758" s="1"/>
      <c r="I758" s="40"/>
      <c r="J758" s="40"/>
      <c r="K758" s="40"/>
      <c r="L758" s="40"/>
      <c r="M758" s="40"/>
      <c r="N758" s="40"/>
      <c r="O758" s="40"/>
      <c r="P758" s="85"/>
      <c r="Q758" s="40"/>
      <c r="R758" s="40"/>
      <c r="S758" s="40"/>
      <c r="T758" s="55"/>
    </row>
    <row r="759" spans="1:20" ht="15.95" customHeight="1" x14ac:dyDescent="0.2">
      <c r="A759" s="34"/>
      <c r="B759" s="25" t="s">
        <v>3</v>
      </c>
      <c r="C759" s="2">
        <f>SUM(D759:H759)</f>
        <v>0</v>
      </c>
      <c r="D759" s="1"/>
      <c r="E759" s="1"/>
      <c r="F759" s="1"/>
      <c r="G759" s="1"/>
      <c r="H759" s="1"/>
      <c r="I759" s="41"/>
      <c r="J759" s="41"/>
      <c r="K759" s="41"/>
      <c r="L759" s="41"/>
      <c r="M759" s="41"/>
      <c r="N759" s="41"/>
      <c r="O759" s="41"/>
      <c r="P759" s="86"/>
      <c r="Q759" s="41"/>
      <c r="R759" s="41"/>
      <c r="S759" s="41"/>
      <c r="T759" s="55"/>
    </row>
    <row r="760" spans="1:20" ht="15.95" customHeight="1" x14ac:dyDescent="0.2">
      <c r="A760" s="34" t="s">
        <v>764</v>
      </c>
      <c r="B760" s="46" t="s">
        <v>190</v>
      </c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9"/>
    </row>
    <row r="761" spans="1:20" ht="15.95" customHeight="1" x14ac:dyDescent="0.2">
      <c r="A761" s="34"/>
      <c r="B761" s="50" t="s">
        <v>345</v>
      </c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1"/>
    </row>
    <row r="762" spans="1:20" ht="45" customHeight="1" x14ac:dyDescent="0.2">
      <c r="A762" s="34"/>
      <c r="B762" s="52" t="s">
        <v>769</v>
      </c>
      <c r="C762" s="53"/>
      <c r="D762" s="53"/>
      <c r="E762" s="53"/>
      <c r="F762" s="53"/>
      <c r="G762" s="53"/>
      <c r="H762" s="54"/>
      <c r="I762" s="48"/>
      <c r="J762" s="48" t="s">
        <v>23</v>
      </c>
      <c r="K762" s="48" t="s">
        <v>35</v>
      </c>
      <c r="L762" s="48" t="s">
        <v>758</v>
      </c>
      <c r="M762" s="39" t="s">
        <v>221</v>
      </c>
      <c r="N762" s="48" t="s">
        <v>190</v>
      </c>
      <c r="O762" s="39" t="s">
        <v>221</v>
      </c>
      <c r="P762" s="38"/>
      <c r="Q762" s="48" t="s">
        <v>29</v>
      </c>
      <c r="R762" s="48" t="s">
        <v>8</v>
      </c>
      <c r="S762" s="48" t="s">
        <v>24</v>
      </c>
      <c r="T762" s="55"/>
    </row>
    <row r="763" spans="1:20" ht="15.95" customHeight="1" x14ac:dyDescent="0.2">
      <c r="A763" s="34"/>
      <c r="B763" s="25" t="s">
        <v>5</v>
      </c>
      <c r="C763" s="2">
        <f>SUM(C764:C767)</f>
        <v>400</v>
      </c>
      <c r="D763" s="1">
        <f t="shared" ref="D763:H763" si="164">SUM(D764:D767)</f>
        <v>400</v>
      </c>
      <c r="E763" s="1">
        <f t="shared" si="164"/>
        <v>0</v>
      </c>
      <c r="F763" s="1">
        <f t="shared" si="164"/>
        <v>0</v>
      </c>
      <c r="G763" s="1">
        <f t="shared" si="164"/>
        <v>0</v>
      </c>
      <c r="H763" s="1">
        <f t="shared" si="164"/>
        <v>0</v>
      </c>
      <c r="I763" s="48"/>
      <c r="J763" s="48"/>
      <c r="K763" s="48"/>
      <c r="L763" s="48"/>
      <c r="M763" s="40"/>
      <c r="N763" s="48"/>
      <c r="O763" s="40"/>
      <c r="P763" s="38"/>
      <c r="Q763" s="48"/>
      <c r="R763" s="48"/>
      <c r="S763" s="48"/>
      <c r="T763" s="55"/>
    </row>
    <row r="764" spans="1:20" ht="15.95" customHeight="1" x14ac:dyDescent="0.2">
      <c r="A764" s="34"/>
      <c r="B764" s="25" t="s">
        <v>0</v>
      </c>
      <c r="C764" s="2">
        <f>SUM(D764:H764)</f>
        <v>0</v>
      </c>
      <c r="D764" s="1">
        <v>0</v>
      </c>
      <c r="E764" s="1"/>
      <c r="F764" s="1"/>
      <c r="G764" s="1"/>
      <c r="H764" s="1"/>
      <c r="I764" s="48"/>
      <c r="J764" s="48"/>
      <c r="K764" s="48"/>
      <c r="L764" s="48"/>
      <c r="M764" s="40"/>
      <c r="N764" s="48"/>
      <c r="O764" s="40"/>
      <c r="P764" s="38"/>
      <c r="Q764" s="48"/>
      <c r="R764" s="48"/>
      <c r="S764" s="48"/>
      <c r="T764" s="55"/>
    </row>
    <row r="765" spans="1:20" ht="15.95" customHeight="1" x14ac:dyDescent="0.2">
      <c r="A765" s="34"/>
      <c r="B765" s="25" t="s">
        <v>1</v>
      </c>
      <c r="C765" s="2">
        <f>D765+E765+F765+G765+H765</f>
        <v>400</v>
      </c>
      <c r="D765" s="1">
        <f>18000-17600</f>
        <v>400</v>
      </c>
      <c r="E765" s="1"/>
      <c r="F765" s="1"/>
      <c r="G765" s="1"/>
      <c r="H765" s="1"/>
      <c r="I765" s="48"/>
      <c r="J765" s="48"/>
      <c r="K765" s="48"/>
      <c r="L765" s="48"/>
      <c r="M765" s="40"/>
      <c r="N765" s="48"/>
      <c r="O765" s="40"/>
      <c r="P765" s="38"/>
      <c r="Q765" s="48"/>
      <c r="R765" s="48"/>
      <c r="S765" s="48"/>
      <c r="T765" s="55"/>
    </row>
    <row r="766" spans="1:20" ht="15.95" customHeight="1" x14ac:dyDescent="0.2">
      <c r="A766" s="34"/>
      <c r="B766" s="25" t="s">
        <v>2</v>
      </c>
      <c r="C766" s="2">
        <f>SUM(D766:H766)</f>
        <v>0</v>
      </c>
      <c r="D766" s="1">
        <v>0</v>
      </c>
      <c r="E766" s="1"/>
      <c r="F766" s="1"/>
      <c r="G766" s="1"/>
      <c r="H766" s="1"/>
      <c r="I766" s="48"/>
      <c r="J766" s="48"/>
      <c r="K766" s="48"/>
      <c r="L766" s="48"/>
      <c r="M766" s="40"/>
      <c r="N766" s="48"/>
      <c r="O766" s="40"/>
      <c r="P766" s="38"/>
      <c r="Q766" s="48"/>
      <c r="R766" s="48"/>
      <c r="S766" s="48"/>
      <c r="T766" s="55"/>
    </row>
    <row r="767" spans="1:20" ht="15.95" customHeight="1" x14ac:dyDescent="0.2">
      <c r="A767" s="34"/>
      <c r="B767" s="25" t="s">
        <v>3</v>
      </c>
      <c r="C767" s="2">
        <f>SUM(D767:H767)</f>
        <v>0</v>
      </c>
      <c r="D767" s="1">
        <v>0</v>
      </c>
      <c r="E767" s="1"/>
      <c r="F767" s="1"/>
      <c r="G767" s="1"/>
      <c r="H767" s="1"/>
      <c r="I767" s="48"/>
      <c r="J767" s="48"/>
      <c r="K767" s="48"/>
      <c r="L767" s="48"/>
      <c r="M767" s="41"/>
      <c r="N767" s="48"/>
      <c r="O767" s="41"/>
      <c r="P767" s="38"/>
      <c r="Q767" s="48"/>
      <c r="R767" s="48"/>
      <c r="S767" s="48"/>
      <c r="T767" s="55"/>
    </row>
    <row r="768" spans="1:20" ht="15.95" customHeight="1" x14ac:dyDescent="0.2">
      <c r="A768" s="102" t="s">
        <v>66</v>
      </c>
      <c r="B768" s="42" t="s">
        <v>90</v>
      </c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7"/>
    </row>
    <row r="769" spans="1:20" ht="15.95" customHeight="1" x14ac:dyDescent="0.2">
      <c r="A769" s="103"/>
      <c r="B769" s="31" t="s">
        <v>5</v>
      </c>
      <c r="C769" s="3">
        <f t="shared" ref="C769:C774" si="165">D769+E769+F769+G769+H769</f>
        <v>3637101.0884981635</v>
      </c>
      <c r="D769" s="3">
        <f>SUM(D770:D774)</f>
        <v>1657600.4561761224</v>
      </c>
      <c r="E769" s="3">
        <f>SUM(E770:E773)</f>
        <v>1694346.0122200001</v>
      </c>
      <c r="F769" s="3">
        <f>SUM(F770:F773)</f>
        <v>154823.08475510206</v>
      </c>
      <c r="G769" s="3">
        <f>SUM(G770:G773)</f>
        <v>130331.53534693878</v>
      </c>
      <c r="H769" s="3">
        <f>SUM(H770:H773)</f>
        <v>0</v>
      </c>
      <c r="I769" s="105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1"/>
    </row>
    <row r="770" spans="1:20" ht="15.95" customHeight="1" x14ac:dyDescent="0.2">
      <c r="A770" s="103"/>
      <c r="B770" s="31" t="s">
        <v>0</v>
      </c>
      <c r="C770" s="3">
        <f t="shared" si="165"/>
        <v>1800685.054</v>
      </c>
      <c r="D770" s="3">
        <f>D787+D819+D827+D835+D843+D851+D860+D868+D876+D884+D892+D900+D908+D916+D924+D932+D940+D948+D956+D964+D972+D980+D988+D996+D1004+D1012+D1020+D1028+D1036+D1044+D1052+D1060+D1068+D1076+D779+D795+D803+D811+D1084</f>
        <v>997750.43739999994</v>
      </c>
      <c r="E770" s="3">
        <f t="shared" ref="E770:H770" si="166">E787+E819+E827+E835+E843+E851+E860+E868+E876+E884+E892+E900+E908+E916+E924+E932+E940+E948+E956+E964+E972+E980+E988+E996+E1004+E1012+E1020+E1028+E1036+E1044+E1052+E1060+E1068+E1076+E779+E795+E803+E811+E1084</f>
        <v>747065.11659999995</v>
      </c>
      <c r="F770" s="3">
        <f t="shared" si="166"/>
        <v>55869.5</v>
      </c>
      <c r="G770" s="3">
        <f t="shared" si="166"/>
        <v>0</v>
      </c>
      <c r="H770" s="3">
        <f t="shared" si="166"/>
        <v>0</v>
      </c>
      <c r="I770" s="106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3"/>
    </row>
    <row r="771" spans="1:20" ht="15.95" customHeight="1" x14ac:dyDescent="0.2">
      <c r="A771" s="103"/>
      <c r="B771" s="31" t="s">
        <v>1</v>
      </c>
      <c r="C771" s="3">
        <f t="shared" si="165"/>
        <v>1558449.3563600001</v>
      </c>
      <c r="D771" s="3">
        <f t="shared" ref="D771:H773" si="167">D788+D820+D828+D836+D844+D852+D861+D869+D877+D885+D893+D901+D909+D917+D925+D933+D941+D949+D957+D965+D973+D981+D989+D997+D1005+D1013+D1021+D1029+D1037+D1045+D1053+D1061+D1069+D1077+D780+D796+D804+D812+D1085</f>
        <v>404350.06117999996</v>
      </c>
      <c r="E771" s="3">
        <f t="shared" si="167"/>
        <v>929399.87667999999</v>
      </c>
      <c r="F771" s="3">
        <f t="shared" si="167"/>
        <v>96974.509460000001</v>
      </c>
      <c r="G771" s="3">
        <f t="shared" si="167"/>
        <v>127724.90904</v>
      </c>
      <c r="H771" s="3">
        <f t="shared" si="167"/>
        <v>0</v>
      </c>
      <c r="I771" s="106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3"/>
    </row>
    <row r="772" spans="1:20" ht="15.95" customHeight="1" x14ac:dyDescent="0.2">
      <c r="A772" s="103"/>
      <c r="B772" s="31" t="s">
        <v>2</v>
      </c>
      <c r="C772" s="3">
        <f t="shared" si="165"/>
        <v>29932.030878163267</v>
      </c>
      <c r="D772" s="3">
        <f t="shared" si="167"/>
        <v>7465.3103361224476</v>
      </c>
      <c r="E772" s="3">
        <f t="shared" si="167"/>
        <v>17881.018940000002</v>
      </c>
      <c r="F772" s="3">
        <f t="shared" si="167"/>
        <v>1979.0752951020409</v>
      </c>
      <c r="G772" s="3">
        <f t="shared" si="167"/>
        <v>2606.6263069387755</v>
      </c>
      <c r="H772" s="3">
        <f t="shared" si="167"/>
        <v>0</v>
      </c>
      <c r="I772" s="106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3"/>
    </row>
    <row r="773" spans="1:20" ht="15.95" customHeight="1" x14ac:dyDescent="0.2">
      <c r="A773" s="103"/>
      <c r="B773" s="31" t="s">
        <v>3</v>
      </c>
      <c r="C773" s="3">
        <f t="shared" si="165"/>
        <v>38034.647259999903</v>
      </c>
      <c r="D773" s="3">
        <f t="shared" si="167"/>
        <v>38034.647259999903</v>
      </c>
      <c r="E773" s="3">
        <f t="shared" si="167"/>
        <v>0</v>
      </c>
      <c r="F773" s="3">
        <f t="shared" si="167"/>
        <v>0</v>
      </c>
      <c r="G773" s="3">
        <f t="shared" si="167"/>
        <v>0</v>
      </c>
      <c r="H773" s="3">
        <f t="shared" si="167"/>
        <v>0</v>
      </c>
      <c r="I773" s="106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3"/>
    </row>
    <row r="774" spans="1:20" ht="39.950000000000003" customHeight="1" x14ac:dyDescent="0.2">
      <c r="A774" s="104"/>
      <c r="B774" s="27" t="s">
        <v>143</v>
      </c>
      <c r="C774" s="3">
        <f t="shared" si="165"/>
        <v>210000</v>
      </c>
      <c r="D774" s="3">
        <f>D855</f>
        <v>210000</v>
      </c>
      <c r="E774" s="3"/>
      <c r="F774" s="3"/>
      <c r="G774" s="3"/>
      <c r="H774" s="3"/>
      <c r="I774" s="107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9"/>
    </row>
    <row r="775" spans="1:20" s="9" customFormat="1" ht="15.95" customHeight="1" x14ac:dyDescent="0.25">
      <c r="A775" s="34" t="s">
        <v>118</v>
      </c>
      <c r="B775" s="115" t="s">
        <v>470</v>
      </c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6"/>
    </row>
    <row r="776" spans="1:20" s="9" customFormat="1" ht="15.95" customHeight="1" x14ac:dyDescent="0.25">
      <c r="A776" s="34"/>
      <c r="B776" s="50" t="s">
        <v>282</v>
      </c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1"/>
    </row>
    <row r="777" spans="1:20" s="9" customFormat="1" ht="45" customHeight="1" x14ac:dyDescent="0.25">
      <c r="A777" s="34"/>
      <c r="B777" s="80" t="s">
        <v>829</v>
      </c>
      <c r="C777" s="80"/>
      <c r="D777" s="80"/>
      <c r="E777" s="80"/>
      <c r="F777" s="80"/>
      <c r="G777" s="80"/>
      <c r="H777" s="80"/>
      <c r="I777" s="48" t="s">
        <v>23</v>
      </c>
      <c r="J777" s="48"/>
      <c r="K777" s="48" t="s">
        <v>40</v>
      </c>
      <c r="L777" s="48" t="s">
        <v>727</v>
      </c>
      <c r="M777" s="48" t="s">
        <v>385</v>
      </c>
      <c r="N777" s="48" t="s">
        <v>46</v>
      </c>
      <c r="O777" s="48" t="s">
        <v>46</v>
      </c>
      <c r="P777" s="38" t="s">
        <v>728</v>
      </c>
      <c r="Q777" s="48" t="s">
        <v>7</v>
      </c>
      <c r="R777" s="48" t="s">
        <v>385</v>
      </c>
      <c r="S777" s="48" t="s">
        <v>31</v>
      </c>
      <c r="T777" s="55" t="s">
        <v>729</v>
      </c>
    </row>
    <row r="778" spans="1:20" s="9" customFormat="1" ht="15.95" customHeight="1" x14ac:dyDescent="0.25">
      <c r="A778" s="34"/>
      <c r="B778" s="25" t="s">
        <v>5</v>
      </c>
      <c r="C778" s="2">
        <f>D778+E778+F778+G778+H778</f>
        <v>72332.7</v>
      </c>
      <c r="D778" s="1">
        <f t="shared" ref="D778:H778" si="168">SUM(D779:D782)</f>
        <v>56238.899999999994</v>
      </c>
      <c r="E778" s="1">
        <f t="shared" si="168"/>
        <v>16093.8</v>
      </c>
      <c r="F778" s="1">
        <f t="shared" si="168"/>
        <v>0</v>
      </c>
      <c r="G778" s="1">
        <f t="shared" si="168"/>
        <v>0</v>
      </c>
      <c r="H778" s="1">
        <f t="shared" si="168"/>
        <v>0</v>
      </c>
      <c r="I778" s="48"/>
      <c r="J778" s="48"/>
      <c r="K778" s="48"/>
      <c r="L778" s="48"/>
      <c r="M778" s="48"/>
      <c r="N778" s="48"/>
      <c r="O778" s="48"/>
      <c r="P778" s="38"/>
      <c r="Q778" s="48"/>
      <c r="R778" s="48"/>
      <c r="S778" s="48"/>
      <c r="T778" s="55"/>
    </row>
    <row r="779" spans="1:20" s="9" customFormat="1" ht="15.95" customHeight="1" x14ac:dyDescent="0.25">
      <c r="A779" s="34"/>
      <c r="B779" s="25" t="s">
        <v>0</v>
      </c>
      <c r="C779" s="2">
        <f>D779+E779+F779+G779+H779</f>
        <v>69520.800000000003</v>
      </c>
      <c r="D779" s="1">
        <v>53427</v>
      </c>
      <c r="E779" s="1">
        <f>0+16093.8</f>
        <v>16093.8</v>
      </c>
      <c r="F779" s="1"/>
      <c r="G779" s="1"/>
      <c r="H779" s="1"/>
      <c r="I779" s="48"/>
      <c r="J779" s="48"/>
      <c r="K779" s="48"/>
      <c r="L779" s="48"/>
      <c r="M779" s="48"/>
      <c r="N779" s="48"/>
      <c r="O779" s="48"/>
      <c r="P779" s="38"/>
      <c r="Q779" s="48"/>
      <c r="R779" s="48"/>
      <c r="S779" s="48"/>
      <c r="T779" s="55"/>
    </row>
    <row r="780" spans="1:20" s="9" customFormat="1" ht="15.95" customHeight="1" x14ac:dyDescent="0.25">
      <c r="A780" s="34"/>
      <c r="B780" s="25" t="s">
        <v>1</v>
      </c>
      <c r="C780" s="2">
        <f>D780+E780+F780+G780+H780</f>
        <v>2755.7</v>
      </c>
      <c r="D780" s="1">
        <v>2755.7</v>
      </c>
      <c r="E780" s="1"/>
      <c r="F780" s="1"/>
      <c r="G780" s="1"/>
      <c r="H780" s="1"/>
      <c r="I780" s="48"/>
      <c r="J780" s="48"/>
      <c r="K780" s="48"/>
      <c r="L780" s="48"/>
      <c r="M780" s="48"/>
      <c r="N780" s="48"/>
      <c r="O780" s="48"/>
      <c r="P780" s="38"/>
      <c r="Q780" s="48"/>
      <c r="R780" s="48"/>
      <c r="S780" s="48"/>
      <c r="T780" s="55"/>
    </row>
    <row r="781" spans="1:20" s="9" customFormat="1" ht="15.95" customHeight="1" x14ac:dyDescent="0.25">
      <c r="A781" s="34"/>
      <c r="B781" s="25" t="s">
        <v>2</v>
      </c>
      <c r="C781" s="2">
        <f>D781+E781+F781+G781+H781</f>
        <v>56.2</v>
      </c>
      <c r="D781" s="1">
        <v>56.2</v>
      </c>
      <c r="E781" s="1"/>
      <c r="F781" s="1"/>
      <c r="G781" s="1"/>
      <c r="H781" s="1"/>
      <c r="I781" s="48"/>
      <c r="J781" s="48"/>
      <c r="K781" s="48"/>
      <c r="L781" s="48"/>
      <c r="M781" s="48"/>
      <c r="N781" s="48"/>
      <c r="O781" s="48"/>
      <c r="P781" s="38"/>
      <c r="Q781" s="48"/>
      <c r="R781" s="48"/>
      <c r="S781" s="48"/>
      <c r="T781" s="55"/>
    </row>
    <row r="782" spans="1:20" s="9" customFormat="1" ht="15.95" customHeight="1" x14ac:dyDescent="0.25">
      <c r="A782" s="34"/>
      <c r="B782" s="25" t="s">
        <v>3</v>
      </c>
      <c r="C782" s="2">
        <f>D782+E782+F782+G782+H782</f>
        <v>0</v>
      </c>
      <c r="D782" s="1"/>
      <c r="E782" s="1"/>
      <c r="F782" s="1"/>
      <c r="G782" s="1"/>
      <c r="H782" s="1"/>
      <c r="I782" s="48"/>
      <c r="J782" s="48"/>
      <c r="K782" s="48"/>
      <c r="L782" s="48"/>
      <c r="M782" s="48"/>
      <c r="N782" s="48"/>
      <c r="O782" s="48"/>
      <c r="P782" s="38"/>
      <c r="Q782" s="48"/>
      <c r="R782" s="48"/>
      <c r="S782" s="48"/>
      <c r="T782" s="55"/>
    </row>
    <row r="783" spans="1:20" s="8" customFormat="1" ht="15.95" customHeight="1" x14ac:dyDescent="0.25">
      <c r="A783" s="34" t="s">
        <v>119</v>
      </c>
      <c r="B783" s="115" t="s">
        <v>470</v>
      </c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6"/>
    </row>
    <row r="784" spans="1:20" s="9" customFormat="1" ht="15.95" customHeight="1" x14ac:dyDescent="0.25">
      <c r="A784" s="34"/>
      <c r="B784" s="50" t="s">
        <v>282</v>
      </c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1"/>
    </row>
    <row r="785" spans="1:20" s="9" customFormat="1" ht="45" customHeight="1" x14ac:dyDescent="0.25">
      <c r="A785" s="34"/>
      <c r="B785" s="80" t="s">
        <v>283</v>
      </c>
      <c r="C785" s="80"/>
      <c r="D785" s="80"/>
      <c r="E785" s="80"/>
      <c r="F785" s="80"/>
      <c r="G785" s="80"/>
      <c r="H785" s="80"/>
      <c r="I785" s="48" t="s">
        <v>42</v>
      </c>
      <c r="J785" s="48" t="s">
        <v>19</v>
      </c>
      <c r="K785" s="48" t="s">
        <v>40</v>
      </c>
      <c r="L785" s="48" t="s">
        <v>284</v>
      </c>
      <c r="M785" s="48" t="s">
        <v>51</v>
      </c>
      <c r="N785" s="48" t="s">
        <v>52</v>
      </c>
      <c r="O785" s="48" t="s">
        <v>52</v>
      </c>
      <c r="P785" s="38" t="s">
        <v>387</v>
      </c>
      <c r="Q785" s="48" t="s">
        <v>7</v>
      </c>
      <c r="R785" s="48" t="s">
        <v>531</v>
      </c>
      <c r="S785" s="48" t="s">
        <v>30</v>
      </c>
      <c r="T785" s="55" t="s">
        <v>386</v>
      </c>
    </row>
    <row r="786" spans="1:20" s="9" customFormat="1" ht="15.95" customHeight="1" x14ac:dyDescent="0.25">
      <c r="A786" s="34"/>
      <c r="B786" s="25" t="s">
        <v>5</v>
      </c>
      <c r="C786" s="2">
        <f>D786+E786+F786+G786+H786</f>
        <v>204085.15876000002</v>
      </c>
      <c r="D786" s="1">
        <f t="shared" ref="D786:H786" si="169">SUM(D787:D790)</f>
        <v>0</v>
      </c>
      <c r="E786" s="1">
        <f t="shared" si="169"/>
        <v>36181.118759999998</v>
      </c>
      <c r="F786" s="1">
        <f t="shared" si="169"/>
        <v>68864.820000000007</v>
      </c>
      <c r="G786" s="1">
        <f t="shared" si="169"/>
        <v>99039.22</v>
      </c>
      <c r="H786" s="1">
        <f t="shared" si="169"/>
        <v>0</v>
      </c>
      <c r="I786" s="48"/>
      <c r="J786" s="48"/>
      <c r="K786" s="48"/>
      <c r="L786" s="48"/>
      <c r="M786" s="48"/>
      <c r="N786" s="48"/>
      <c r="O786" s="48"/>
      <c r="P786" s="38"/>
      <c r="Q786" s="48"/>
      <c r="R786" s="48"/>
      <c r="S786" s="48"/>
      <c r="T786" s="55"/>
    </row>
    <row r="787" spans="1:20" s="9" customFormat="1" ht="15.95" customHeight="1" x14ac:dyDescent="0.25">
      <c r="A787" s="34"/>
      <c r="B787" s="25" t="s">
        <v>0</v>
      </c>
      <c r="C787" s="2">
        <f>D787+E787+F787+G787+H787</f>
        <v>0</v>
      </c>
      <c r="D787" s="1">
        <f>49089.1-49089.1</f>
        <v>0</v>
      </c>
      <c r="E787" s="1"/>
      <c r="F787" s="1"/>
      <c r="G787" s="1"/>
      <c r="H787" s="1"/>
      <c r="I787" s="48"/>
      <c r="J787" s="48"/>
      <c r="K787" s="48"/>
      <c r="L787" s="48"/>
      <c r="M787" s="48"/>
      <c r="N787" s="48"/>
      <c r="O787" s="48"/>
      <c r="P787" s="38"/>
      <c r="Q787" s="48"/>
      <c r="R787" s="48"/>
      <c r="S787" s="48"/>
      <c r="T787" s="55"/>
    </row>
    <row r="788" spans="1:20" s="9" customFormat="1" ht="15.95" customHeight="1" x14ac:dyDescent="0.25">
      <c r="A788" s="34"/>
      <c r="B788" s="25" t="s">
        <v>1</v>
      </c>
      <c r="C788" s="2">
        <f>D788+E788+F788+G788+H788</f>
        <v>200003.74</v>
      </c>
      <c r="D788" s="1">
        <f>31888.51-31888.51</f>
        <v>0</v>
      </c>
      <c r="E788" s="1">
        <v>35457.78</v>
      </c>
      <c r="F788" s="1">
        <v>67487.520000000004</v>
      </c>
      <c r="G788" s="1">
        <v>97058.44</v>
      </c>
      <c r="H788" s="1"/>
      <c r="I788" s="48"/>
      <c r="J788" s="48"/>
      <c r="K788" s="48"/>
      <c r="L788" s="48"/>
      <c r="M788" s="48"/>
      <c r="N788" s="48"/>
      <c r="O788" s="48"/>
      <c r="P788" s="38"/>
      <c r="Q788" s="48"/>
      <c r="R788" s="48"/>
      <c r="S788" s="48"/>
      <c r="T788" s="55"/>
    </row>
    <row r="789" spans="1:20" s="9" customFormat="1" ht="15.95" customHeight="1" x14ac:dyDescent="0.25">
      <c r="A789" s="34"/>
      <c r="B789" s="25" t="s">
        <v>2</v>
      </c>
      <c r="C789" s="2">
        <f>D789+E789+F789+G789+H789</f>
        <v>4081.4187599999996</v>
      </c>
      <c r="D789" s="1">
        <f>903.36138-903.36138</f>
        <v>0</v>
      </c>
      <c r="E789" s="1">
        <v>723.33875999999998</v>
      </c>
      <c r="F789" s="1">
        <v>1377.3</v>
      </c>
      <c r="G789" s="1">
        <v>1980.78</v>
      </c>
      <c r="H789" s="1"/>
      <c r="I789" s="48"/>
      <c r="J789" s="48"/>
      <c r="K789" s="48"/>
      <c r="L789" s="48"/>
      <c r="M789" s="48"/>
      <c r="N789" s="48"/>
      <c r="O789" s="48"/>
      <c r="P789" s="38"/>
      <c r="Q789" s="48"/>
      <c r="R789" s="48"/>
      <c r="S789" s="48"/>
      <c r="T789" s="55"/>
    </row>
    <row r="790" spans="1:20" s="9" customFormat="1" ht="15.95" customHeight="1" x14ac:dyDescent="0.25">
      <c r="A790" s="34"/>
      <c r="B790" s="25" t="s">
        <v>3</v>
      </c>
      <c r="C790" s="2">
        <f>D790+E790+F790+G790+H790</f>
        <v>0</v>
      </c>
      <c r="D790" s="1"/>
      <c r="E790" s="1"/>
      <c r="F790" s="1"/>
      <c r="G790" s="1"/>
      <c r="H790" s="1"/>
      <c r="I790" s="48"/>
      <c r="J790" s="48"/>
      <c r="K790" s="48"/>
      <c r="L790" s="48"/>
      <c r="M790" s="48"/>
      <c r="N790" s="48"/>
      <c r="O790" s="48"/>
      <c r="P790" s="38"/>
      <c r="Q790" s="48"/>
      <c r="R790" s="48"/>
      <c r="S790" s="48"/>
      <c r="T790" s="55"/>
    </row>
    <row r="791" spans="1:20" s="9" customFormat="1" ht="15.95" customHeight="1" x14ac:dyDescent="0.25">
      <c r="A791" s="34" t="s">
        <v>120</v>
      </c>
      <c r="B791" s="115" t="s">
        <v>470</v>
      </c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6"/>
    </row>
    <row r="792" spans="1:20" s="9" customFormat="1" ht="15.95" customHeight="1" x14ac:dyDescent="0.25">
      <c r="A792" s="34"/>
      <c r="B792" s="50" t="s">
        <v>282</v>
      </c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1"/>
    </row>
    <row r="793" spans="1:20" s="9" customFormat="1" ht="45" customHeight="1" x14ac:dyDescent="0.25">
      <c r="A793" s="34"/>
      <c r="B793" s="80" t="s">
        <v>737</v>
      </c>
      <c r="C793" s="80"/>
      <c r="D793" s="80"/>
      <c r="E793" s="80"/>
      <c r="F793" s="80"/>
      <c r="G793" s="80"/>
      <c r="H793" s="80"/>
      <c r="I793" s="48" t="s">
        <v>22</v>
      </c>
      <c r="J793" s="48" t="s">
        <v>19</v>
      </c>
      <c r="K793" s="48" t="s">
        <v>40</v>
      </c>
      <c r="L793" s="48" t="s">
        <v>730</v>
      </c>
      <c r="M793" s="48" t="s">
        <v>51</v>
      </c>
      <c r="N793" s="48" t="s">
        <v>52</v>
      </c>
      <c r="O793" s="48" t="s">
        <v>52</v>
      </c>
      <c r="P793" s="38" t="s">
        <v>731</v>
      </c>
      <c r="Q793" s="48" t="s">
        <v>7</v>
      </c>
      <c r="R793" s="48" t="s">
        <v>531</v>
      </c>
      <c r="S793" s="48" t="s">
        <v>30</v>
      </c>
      <c r="T793" s="55" t="s">
        <v>732</v>
      </c>
    </row>
    <row r="794" spans="1:20" s="9" customFormat="1" ht="15.95" customHeight="1" x14ac:dyDescent="0.25">
      <c r="A794" s="34"/>
      <c r="B794" s="25" t="s">
        <v>5</v>
      </c>
      <c r="C794" s="2">
        <f>D794+E794+F794+G794+H794</f>
        <v>26573.46</v>
      </c>
      <c r="D794" s="1">
        <f t="shared" ref="D794:H794" si="170">SUM(D795:D798)</f>
        <v>26573.46</v>
      </c>
      <c r="E794" s="1">
        <f t="shared" si="170"/>
        <v>0</v>
      </c>
      <c r="F794" s="1">
        <f t="shared" si="170"/>
        <v>0</v>
      </c>
      <c r="G794" s="1">
        <f t="shared" si="170"/>
        <v>0</v>
      </c>
      <c r="H794" s="1">
        <f t="shared" si="170"/>
        <v>0</v>
      </c>
      <c r="I794" s="48"/>
      <c r="J794" s="48"/>
      <c r="K794" s="48"/>
      <c r="L794" s="48"/>
      <c r="M794" s="48"/>
      <c r="N794" s="48"/>
      <c r="O794" s="48"/>
      <c r="P794" s="38"/>
      <c r="Q794" s="48"/>
      <c r="R794" s="48"/>
      <c r="S794" s="48"/>
      <c r="T794" s="55"/>
    </row>
    <row r="795" spans="1:20" s="9" customFormat="1" ht="15.95" customHeight="1" x14ac:dyDescent="0.25">
      <c r="A795" s="34"/>
      <c r="B795" s="25" t="s">
        <v>0</v>
      </c>
      <c r="C795" s="2">
        <f>D795+E795+F795+G795+H795</f>
        <v>9329.7999999999993</v>
      </c>
      <c r="D795" s="1">
        <v>9329.7999999999993</v>
      </c>
      <c r="E795" s="1"/>
      <c r="F795" s="1"/>
      <c r="G795" s="1"/>
      <c r="H795" s="1"/>
      <c r="I795" s="48"/>
      <c r="J795" s="48"/>
      <c r="K795" s="48"/>
      <c r="L795" s="48"/>
      <c r="M795" s="48"/>
      <c r="N795" s="48"/>
      <c r="O795" s="48"/>
      <c r="P795" s="38"/>
      <c r="Q795" s="48"/>
      <c r="R795" s="48"/>
      <c r="S795" s="48"/>
      <c r="T795" s="55"/>
    </row>
    <row r="796" spans="1:20" s="9" customFormat="1" ht="15.95" customHeight="1" x14ac:dyDescent="0.25">
      <c r="A796" s="34"/>
      <c r="B796" s="25" t="s">
        <v>1</v>
      </c>
      <c r="C796" s="2">
        <f>D796+E796+F796+G796+H796</f>
        <v>16898.78</v>
      </c>
      <c r="D796" s="1">
        <v>16898.78</v>
      </c>
      <c r="E796" s="1"/>
      <c r="F796" s="1"/>
      <c r="G796" s="1"/>
      <c r="H796" s="1"/>
      <c r="I796" s="48"/>
      <c r="J796" s="48"/>
      <c r="K796" s="48"/>
      <c r="L796" s="48"/>
      <c r="M796" s="48"/>
      <c r="N796" s="48"/>
      <c r="O796" s="48"/>
      <c r="P796" s="38"/>
      <c r="Q796" s="48"/>
      <c r="R796" s="48"/>
      <c r="S796" s="48"/>
      <c r="T796" s="55"/>
    </row>
    <row r="797" spans="1:20" s="9" customFormat="1" ht="15.95" customHeight="1" x14ac:dyDescent="0.25">
      <c r="A797" s="34"/>
      <c r="B797" s="25" t="s">
        <v>2</v>
      </c>
      <c r="C797" s="2">
        <f>D797+E797+F797+G797+H797</f>
        <v>344.88</v>
      </c>
      <c r="D797" s="1">
        <v>344.88</v>
      </c>
      <c r="E797" s="1"/>
      <c r="F797" s="1"/>
      <c r="G797" s="1"/>
      <c r="H797" s="1"/>
      <c r="I797" s="48"/>
      <c r="J797" s="48"/>
      <c r="K797" s="48"/>
      <c r="L797" s="48"/>
      <c r="M797" s="48"/>
      <c r="N797" s="48"/>
      <c r="O797" s="48"/>
      <c r="P797" s="38"/>
      <c r="Q797" s="48"/>
      <c r="R797" s="48"/>
      <c r="S797" s="48"/>
      <c r="T797" s="55"/>
    </row>
    <row r="798" spans="1:20" s="9" customFormat="1" ht="15.95" customHeight="1" x14ac:dyDescent="0.25">
      <c r="A798" s="34"/>
      <c r="B798" s="25" t="s">
        <v>3</v>
      </c>
      <c r="C798" s="2">
        <f>D798+E798+F798+G798+H798</f>
        <v>0</v>
      </c>
      <c r="D798" s="1"/>
      <c r="E798" s="1"/>
      <c r="F798" s="1"/>
      <c r="G798" s="1"/>
      <c r="H798" s="1"/>
      <c r="I798" s="48"/>
      <c r="J798" s="48"/>
      <c r="K798" s="48"/>
      <c r="L798" s="48"/>
      <c r="M798" s="48"/>
      <c r="N798" s="48"/>
      <c r="O798" s="48"/>
      <c r="P798" s="38"/>
      <c r="Q798" s="48"/>
      <c r="R798" s="48"/>
      <c r="S798" s="48"/>
      <c r="T798" s="55"/>
    </row>
    <row r="799" spans="1:20" s="9" customFormat="1" ht="15.95" customHeight="1" x14ac:dyDescent="0.25">
      <c r="A799" s="34" t="s">
        <v>121</v>
      </c>
      <c r="B799" s="115" t="s">
        <v>470</v>
      </c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6"/>
    </row>
    <row r="800" spans="1:20" s="9" customFormat="1" ht="15.95" customHeight="1" x14ac:dyDescent="0.25">
      <c r="A800" s="34"/>
      <c r="B800" s="50" t="s">
        <v>282</v>
      </c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1"/>
    </row>
    <row r="801" spans="1:20" s="9" customFormat="1" ht="45" customHeight="1" x14ac:dyDescent="0.25">
      <c r="A801" s="34"/>
      <c r="B801" s="80" t="s">
        <v>738</v>
      </c>
      <c r="C801" s="80"/>
      <c r="D801" s="80"/>
      <c r="E801" s="80"/>
      <c r="F801" s="80"/>
      <c r="G801" s="80"/>
      <c r="H801" s="80"/>
      <c r="I801" s="48" t="s">
        <v>22</v>
      </c>
      <c r="J801" s="48" t="s">
        <v>19</v>
      </c>
      <c r="K801" s="48" t="s">
        <v>40</v>
      </c>
      <c r="L801" s="48" t="s">
        <v>733</v>
      </c>
      <c r="M801" s="48" t="s">
        <v>51</v>
      </c>
      <c r="N801" s="48" t="s">
        <v>52</v>
      </c>
      <c r="O801" s="48" t="s">
        <v>52</v>
      </c>
      <c r="P801" s="38" t="s">
        <v>734</v>
      </c>
      <c r="Q801" s="48" t="s">
        <v>7</v>
      </c>
      <c r="R801" s="48" t="s">
        <v>531</v>
      </c>
      <c r="S801" s="48" t="s">
        <v>30</v>
      </c>
      <c r="T801" s="55" t="s">
        <v>732</v>
      </c>
    </row>
    <row r="802" spans="1:20" s="9" customFormat="1" ht="15.95" customHeight="1" x14ac:dyDescent="0.25">
      <c r="A802" s="34"/>
      <c r="B802" s="25" t="s">
        <v>5</v>
      </c>
      <c r="C802" s="2">
        <f>D802+E802+F802+G802+H802</f>
        <v>8165.0399999999991</v>
      </c>
      <c r="D802" s="1">
        <f>SUM(D803:D806)</f>
        <v>8165.0399999999991</v>
      </c>
      <c r="E802" s="1">
        <f t="shared" ref="E802:H802" si="171">SUM(E803:E806)</f>
        <v>0</v>
      </c>
      <c r="F802" s="1">
        <f t="shared" si="171"/>
        <v>0</v>
      </c>
      <c r="G802" s="1">
        <f t="shared" si="171"/>
        <v>0</v>
      </c>
      <c r="H802" s="1">
        <f t="shared" si="171"/>
        <v>0</v>
      </c>
      <c r="I802" s="48"/>
      <c r="J802" s="48"/>
      <c r="K802" s="48"/>
      <c r="L802" s="48"/>
      <c r="M802" s="48"/>
      <c r="N802" s="48"/>
      <c r="O802" s="48"/>
      <c r="P802" s="38"/>
      <c r="Q802" s="48"/>
      <c r="R802" s="48"/>
      <c r="S802" s="48"/>
      <c r="T802" s="55"/>
    </row>
    <row r="803" spans="1:20" s="9" customFormat="1" ht="15.95" customHeight="1" x14ac:dyDescent="0.25">
      <c r="A803" s="34"/>
      <c r="B803" s="25" t="s">
        <v>0</v>
      </c>
      <c r="C803" s="2">
        <f>D803+E803+F803+G803+H803</f>
        <v>2995.6</v>
      </c>
      <c r="D803" s="1">
        <v>2995.6</v>
      </c>
      <c r="E803" s="1"/>
      <c r="F803" s="1"/>
      <c r="G803" s="1"/>
      <c r="H803" s="1"/>
      <c r="I803" s="48"/>
      <c r="J803" s="48"/>
      <c r="K803" s="48"/>
      <c r="L803" s="48"/>
      <c r="M803" s="48"/>
      <c r="N803" s="48"/>
      <c r="O803" s="48"/>
      <c r="P803" s="38"/>
      <c r="Q803" s="48"/>
      <c r="R803" s="48"/>
      <c r="S803" s="48"/>
      <c r="T803" s="55"/>
    </row>
    <row r="804" spans="1:20" s="9" customFormat="1" ht="15.95" customHeight="1" x14ac:dyDescent="0.25">
      <c r="A804" s="34"/>
      <c r="B804" s="25" t="s">
        <v>1</v>
      </c>
      <c r="C804" s="2">
        <f>D804+E804+F804+G804+H804</f>
        <v>5066.03</v>
      </c>
      <c r="D804" s="1">
        <v>5066.03</v>
      </c>
      <c r="E804" s="1"/>
      <c r="F804" s="1"/>
      <c r="G804" s="1"/>
      <c r="H804" s="1"/>
      <c r="I804" s="48"/>
      <c r="J804" s="48"/>
      <c r="K804" s="48"/>
      <c r="L804" s="48"/>
      <c r="M804" s="48"/>
      <c r="N804" s="48"/>
      <c r="O804" s="48"/>
      <c r="P804" s="38"/>
      <c r="Q804" s="48"/>
      <c r="R804" s="48"/>
      <c r="S804" s="48"/>
      <c r="T804" s="55"/>
    </row>
    <row r="805" spans="1:20" s="9" customFormat="1" ht="15.95" customHeight="1" x14ac:dyDescent="0.25">
      <c r="A805" s="34"/>
      <c r="B805" s="25" t="s">
        <v>2</v>
      </c>
      <c r="C805" s="2">
        <f>D805+E805+F805+G805+H805</f>
        <v>103.41</v>
      </c>
      <c r="D805" s="1">
        <v>103.41</v>
      </c>
      <c r="E805" s="1"/>
      <c r="F805" s="1"/>
      <c r="G805" s="1"/>
      <c r="H805" s="1"/>
      <c r="I805" s="48"/>
      <c r="J805" s="48"/>
      <c r="K805" s="48"/>
      <c r="L805" s="48"/>
      <c r="M805" s="48"/>
      <c r="N805" s="48"/>
      <c r="O805" s="48"/>
      <c r="P805" s="38"/>
      <c r="Q805" s="48"/>
      <c r="R805" s="48"/>
      <c r="S805" s="48"/>
      <c r="T805" s="55"/>
    </row>
    <row r="806" spans="1:20" s="9" customFormat="1" ht="15.95" customHeight="1" x14ac:dyDescent="0.25">
      <c r="A806" s="34"/>
      <c r="B806" s="25" t="s">
        <v>3</v>
      </c>
      <c r="C806" s="2">
        <f>D806+E806+F806+G806+H806</f>
        <v>0</v>
      </c>
      <c r="D806" s="1"/>
      <c r="E806" s="1"/>
      <c r="F806" s="1"/>
      <c r="G806" s="1"/>
      <c r="H806" s="1"/>
      <c r="I806" s="48"/>
      <c r="J806" s="48"/>
      <c r="K806" s="48"/>
      <c r="L806" s="48"/>
      <c r="M806" s="48"/>
      <c r="N806" s="48"/>
      <c r="O806" s="48"/>
      <c r="P806" s="38"/>
      <c r="Q806" s="48"/>
      <c r="R806" s="48"/>
      <c r="S806" s="48"/>
      <c r="T806" s="55"/>
    </row>
    <row r="807" spans="1:20" s="9" customFormat="1" ht="15.95" customHeight="1" x14ac:dyDescent="0.25">
      <c r="A807" s="34" t="s">
        <v>122</v>
      </c>
      <c r="B807" s="115" t="s">
        <v>470</v>
      </c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6"/>
    </row>
    <row r="808" spans="1:20" s="9" customFormat="1" ht="15.95" customHeight="1" x14ac:dyDescent="0.25">
      <c r="A808" s="34"/>
      <c r="B808" s="50" t="s">
        <v>282</v>
      </c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1"/>
    </row>
    <row r="809" spans="1:20" s="9" customFormat="1" ht="45" customHeight="1" x14ac:dyDescent="0.25">
      <c r="A809" s="34"/>
      <c r="B809" s="80" t="s">
        <v>739</v>
      </c>
      <c r="C809" s="80"/>
      <c r="D809" s="80"/>
      <c r="E809" s="80"/>
      <c r="F809" s="80"/>
      <c r="G809" s="80"/>
      <c r="H809" s="80"/>
      <c r="I809" s="48" t="s">
        <v>22</v>
      </c>
      <c r="J809" s="48" t="s">
        <v>19</v>
      </c>
      <c r="K809" s="48" t="s">
        <v>40</v>
      </c>
      <c r="L809" s="48" t="s">
        <v>735</v>
      </c>
      <c r="M809" s="48" t="s">
        <v>51</v>
      </c>
      <c r="N809" s="48" t="s">
        <v>52</v>
      </c>
      <c r="O809" s="48" t="s">
        <v>52</v>
      </c>
      <c r="P809" s="38" t="s">
        <v>736</v>
      </c>
      <c r="Q809" s="48" t="s">
        <v>7</v>
      </c>
      <c r="R809" s="48" t="s">
        <v>531</v>
      </c>
      <c r="S809" s="48" t="s">
        <v>30</v>
      </c>
      <c r="T809" s="55" t="s">
        <v>732</v>
      </c>
    </row>
    <row r="810" spans="1:20" s="9" customFormat="1" ht="15.95" customHeight="1" x14ac:dyDescent="0.25">
      <c r="A810" s="34"/>
      <c r="B810" s="25" t="s">
        <v>5</v>
      </c>
      <c r="C810" s="2">
        <f>D810+E810+F810+G810+H810</f>
        <v>14780.66</v>
      </c>
      <c r="D810" s="1">
        <f t="shared" ref="D810:H810" si="172">SUM(D811:D814)</f>
        <v>14780.66</v>
      </c>
      <c r="E810" s="1">
        <f t="shared" si="172"/>
        <v>0</v>
      </c>
      <c r="F810" s="1">
        <f t="shared" si="172"/>
        <v>0</v>
      </c>
      <c r="G810" s="1">
        <f t="shared" si="172"/>
        <v>0</v>
      </c>
      <c r="H810" s="1">
        <f t="shared" si="172"/>
        <v>0</v>
      </c>
      <c r="I810" s="48"/>
      <c r="J810" s="48"/>
      <c r="K810" s="48"/>
      <c r="L810" s="48"/>
      <c r="M810" s="48"/>
      <c r="N810" s="48"/>
      <c r="O810" s="48"/>
      <c r="P810" s="38"/>
      <c r="Q810" s="48"/>
      <c r="R810" s="48"/>
      <c r="S810" s="48"/>
      <c r="T810" s="55"/>
    </row>
    <row r="811" spans="1:20" s="9" customFormat="1" ht="15.95" customHeight="1" x14ac:dyDescent="0.25">
      <c r="A811" s="34"/>
      <c r="B811" s="25" t="s">
        <v>0</v>
      </c>
      <c r="C811" s="2">
        <f>D811+E811+F811+G811+H811</f>
        <v>5336.7</v>
      </c>
      <c r="D811" s="1">
        <v>5336.7</v>
      </c>
      <c r="E811" s="1"/>
      <c r="F811" s="1"/>
      <c r="G811" s="1"/>
      <c r="H811" s="1"/>
      <c r="I811" s="48"/>
      <c r="J811" s="48"/>
      <c r="K811" s="48"/>
      <c r="L811" s="48"/>
      <c r="M811" s="48"/>
      <c r="N811" s="48"/>
      <c r="O811" s="48"/>
      <c r="P811" s="38"/>
      <c r="Q811" s="48"/>
      <c r="R811" s="48"/>
      <c r="S811" s="48"/>
      <c r="T811" s="55"/>
    </row>
    <row r="812" spans="1:20" s="9" customFormat="1" ht="15.95" customHeight="1" x14ac:dyDescent="0.25">
      <c r="A812" s="34"/>
      <c r="B812" s="25" t="s">
        <v>1</v>
      </c>
      <c r="C812" s="2">
        <f>D812+E812+F812+G812+H812</f>
        <v>9255.1</v>
      </c>
      <c r="D812" s="1">
        <v>9255.1</v>
      </c>
      <c r="E812" s="1"/>
      <c r="F812" s="1"/>
      <c r="G812" s="1"/>
      <c r="H812" s="1"/>
      <c r="I812" s="48"/>
      <c r="J812" s="48"/>
      <c r="K812" s="48"/>
      <c r="L812" s="48"/>
      <c r="M812" s="48"/>
      <c r="N812" s="48"/>
      <c r="O812" s="48"/>
      <c r="P812" s="38"/>
      <c r="Q812" s="48"/>
      <c r="R812" s="48"/>
      <c r="S812" s="48"/>
      <c r="T812" s="55"/>
    </row>
    <row r="813" spans="1:20" s="9" customFormat="1" ht="15.95" customHeight="1" x14ac:dyDescent="0.25">
      <c r="A813" s="34"/>
      <c r="B813" s="25" t="s">
        <v>2</v>
      </c>
      <c r="C813" s="2">
        <f>D813+E813+F813+G813+H813</f>
        <v>188.86</v>
      </c>
      <c r="D813" s="1">
        <v>188.86</v>
      </c>
      <c r="E813" s="1"/>
      <c r="F813" s="1"/>
      <c r="G813" s="1"/>
      <c r="H813" s="1"/>
      <c r="I813" s="48"/>
      <c r="J813" s="48"/>
      <c r="K813" s="48"/>
      <c r="L813" s="48"/>
      <c r="M813" s="48"/>
      <c r="N813" s="48"/>
      <c r="O813" s="48"/>
      <c r="P813" s="38"/>
      <c r="Q813" s="48"/>
      <c r="R813" s="48"/>
      <c r="S813" s="48"/>
      <c r="T813" s="55"/>
    </row>
    <row r="814" spans="1:20" s="9" customFormat="1" ht="15.95" customHeight="1" x14ac:dyDescent="0.25">
      <c r="A814" s="34"/>
      <c r="B814" s="25" t="s">
        <v>3</v>
      </c>
      <c r="C814" s="2">
        <f>D814+E814+F814+G814+H814</f>
        <v>0</v>
      </c>
      <c r="D814" s="1"/>
      <c r="E814" s="1"/>
      <c r="F814" s="1"/>
      <c r="G814" s="1"/>
      <c r="H814" s="1"/>
      <c r="I814" s="48"/>
      <c r="J814" s="48"/>
      <c r="K814" s="48"/>
      <c r="L814" s="48"/>
      <c r="M814" s="48"/>
      <c r="N814" s="48"/>
      <c r="O814" s="48"/>
      <c r="P814" s="38"/>
      <c r="Q814" s="48"/>
      <c r="R814" s="48"/>
      <c r="S814" s="48"/>
      <c r="T814" s="55"/>
    </row>
    <row r="815" spans="1:20" s="8" customFormat="1" ht="15.95" customHeight="1" x14ac:dyDescent="0.25">
      <c r="A815" s="34" t="s">
        <v>123</v>
      </c>
      <c r="B815" s="115" t="s">
        <v>470</v>
      </c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6"/>
    </row>
    <row r="816" spans="1:20" s="9" customFormat="1" ht="15.95" customHeight="1" x14ac:dyDescent="0.25">
      <c r="A816" s="34"/>
      <c r="B816" s="50" t="s">
        <v>282</v>
      </c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1"/>
    </row>
    <row r="817" spans="1:20" s="10" customFormat="1" ht="62.25" customHeight="1" x14ac:dyDescent="0.25">
      <c r="A817" s="34"/>
      <c r="B817" s="80" t="s">
        <v>285</v>
      </c>
      <c r="C817" s="80"/>
      <c r="D817" s="80"/>
      <c r="E817" s="80"/>
      <c r="F817" s="80"/>
      <c r="G817" s="80"/>
      <c r="H817" s="80"/>
      <c r="I817" s="48" t="s">
        <v>23</v>
      </c>
      <c r="J817" s="48" t="s">
        <v>19</v>
      </c>
      <c r="K817" s="48" t="s">
        <v>726</v>
      </c>
      <c r="L817" s="48" t="s">
        <v>286</v>
      </c>
      <c r="M817" s="48" t="s">
        <v>470</v>
      </c>
      <c r="N817" s="48" t="s">
        <v>470</v>
      </c>
      <c r="O817" s="48" t="s">
        <v>49</v>
      </c>
      <c r="P817" s="38" t="s">
        <v>778</v>
      </c>
      <c r="Q817" s="48" t="s">
        <v>29</v>
      </c>
      <c r="R817" s="48" t="s">
        <v>8</v>
      </c>
      <c r="S817" s="48" t="s">
        <v>31</v>
      </c>
      <c r="T817" s="55" t="s">
        <v>415</v>
      </c>
    </row>
    <row r="818" spans="1:20" s="10" customFormat="1" ht="15.95" customHeight="1" x14ac:dyDescent="0.25">
      <c r="A818" s="34"/>
      <c r="B818" s="25" t="s">
        <v>5</v>
      </c>
      <c r="C818" s="2">
        <f>D818+E818+F818+G818+H818</f>
        <v>359387.19388000004</v>
      </c>
      <c r="D818" s="1">
        <f t="shared" ref="D818:H818" si="173">SUM(D819:D822)</f>
        <v>174570.193</v>
      </c>
      <c r="E818" s="1">
        <f t="shared" si="173"/>
        <v>184817.00088000001</v>
      </c>
      <c r="F818" s="1">
        <f t="shared" si="173"/>
        <v>0</v>
      </c>
      <c r="G818" s="1">
        <f t="shared" si="173"/>
        <v>0</v>
      </c>
      <c r="H818" s="1">
        <f t="shared" si="173"/>
        <v>0</v>
      </c>
      <c r="I818" s="48"/>
      <c r="J818" s="48"/>
      <c r="K818" s="48"/>
      <c r="L818" s="48"/>
      <c r="M818" s="48"/>
      <c r="N818" s="48"/>
      <c r="O818" s="48"/>
      <c r="P818" s="38"/>
      <c r="Q818" s="48"/>
      <c r="R818" s="48"/>
      <c r="S818" s="48"/>
      <c r="T818" s="55"/>
    </row>
    <row r="819" spans="1:20" s="10" customFormat="1" ht="15.95" customHeight="1" x14ac:dyDescent="0.25">
      <c r="A819" s="34"/>
      <c r="B819" s="25" t="s">
        <v>0</v>
      </c>
      <c r="C819" s="2">
        <f>D819+E819+F819+G819+H819</f>
        <v>218570.193</v>
      </c>
      <c r="D819" s="1">
        <f>0+174570.193</f>
        <v>174570.193</v>
      </c>
      <c r="E819" s="1">
        <f>0+44000</f>
        <v>44000</v>
      </c>
      <c r="F819" s="1"/>
      <c r="G819" s="1"/>
      <c r="H819" s="1"/>
      <c r="I819" s="48"/>
      <c r="J819" s="48"/>
      <c r="K819" s="48"/>
      <c r="L819" s="48"/>
      <c r="M819" s="48"/>
      <c r="N819" s="48"/>
      <c r="O819" s="48"/>
      <c r="P819" s="38"/>
      <c r="Q819" s="48"/>
      <c r="R819" s="48"/>
      <c r="S819" s="48"/>
      <c r="T819" s="55"/>
    </row>
    <row r="820" spans="1:20" s="10" customFormat="1" ht="15.95" customHeight="1" x14ac:dyDescent="0.25">
      <c r="A820" s="34"/>
      <c r="B820" s="25" t="s">
        <v>1</v>
      </c>
      <c r="C820" s="2">
        <f>D820+E820+F820+G820+H820</f>
        <v>140817.00088000001</v>
      </c>
      <c r="D820" s="1">
        <f>88727.86-88726.86-1</f>
        <v>0</v>
      </c>
      <c r="E820" s="1">
        <f>113842.333-113842.333+140817.00088</f>
        <v>140817.00088000001</v>
      </c>
      <c r="F820" s="1"/>
      <c r="G820" s="1"/>
      <c r="H820" s="1"/>
      <c r="I820" s="48"/>
      <c r="J820" s="48"/>
      <c r="K820" s="48"/>
      <c r="L820" s="48"/>
      <c r="M820" s="48"/>
      <c r="N820" s="48"/>
      <c r="O820" s="48"/>
      <c r="P820" s="38"/>
      <c r="Q820" s="48"/>
      <c r="R820" s="48"/>
      <c r="S820" s="48"/>
      <c r="T820" s="55"/>
    </row>
    <row r="821" spans="1:20" s="10" customFormat="1" ht="15.95" customHeight="1" x14ac:dyDescent="0.25">
      <c r="A821" s="34"/>
      <c r="B821" s="25" t="s">
        <v>2</v>
      </c>
      <c r="C821" s="2">
        <f>D821+E821+F821+G821+H821</f>
        <v>0</v>
      </c>
      <c r="D821" s="1"/>
      <c r="E821" s="1"/>
      <c r="F821" s="1"/>
      <c r="G821" s="1"/>
      <c r="H821" s="1"/>
      <c r="I821" s="48"/>
      <c r="J821" s="48"/>
      <c r="K821" s="48"/>
      <c r="L821" s="48"/>
      <c r="M821" s="48"/>
      <c r="N821" s="48"/>
      <c r="O821" s="48"/>
      <c r="P821" s="38"/>
      <c r="Q821" s="48"/>
      <c r="R821" s="48"/>
      <c r="S821" s="48"/>
      <c r="T821" s="55"/>
    </row>
    <row r="822" spans="1:20" s="10" customFormat="1" ht="15.95" customHeight="1" x14ac:dyDescent="0.25">
      <c r="A822" s="34"/>
      <c r="B822" s="25" t="s">
        <v>3</v>
      </c>
      <c r="C822" s="2">
        <f>D822+E822+F822+G822+H822</f>
        <v>0</v>
      </c>
      <c r="D822" s="1"/>
      <c r="E822" s="1"/>
      <c r="F822" s="1"/>
      <c r="G822" s="1"/>
      <c r="H822" s="1"/>
      <c r="I822" s="48"/>
      <c r="J822" s="48"/>
      <c r="K822" s="48"/>
      <c r="L822" s="48"/>
      <c r="M822" s="48"/>
      <c r="N822" s="48"/>
      <c r="O822" s="48"/>
      <c r="P822" s="38"/>
      <c r="Q822" s="48"/>
      <c r="R822" s="48"/>
      <c r="S822" s="48"/>
      <c r="T822" s="55"/>
    </row>
    <row r="823" spans="1:20" ht="15.95" customHeight="1" x14ac:dyDescent="0.2">
      <c r="A823" s="34" t="s">
        <v>124</v>
      </c>
      <c r="B823" s="78" t="s">
        <v>190</v>
      </c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9"/>
    </row>
    <row r="824" spans="1:20" ht="15.95" customHeight="1" x14ac:dyDescent="0.2">
      <c r="A824" s="34"/>
      <c r="B824" s="50" t="s">
        <v>354</v>
      </c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1"/>
    </row>
    <row r="825" spans="1:20" ht="45" customHeight="1" x14ac:dyDescent="0.2">
      <c r="A825" s="34"/>
      <c r="B825" s="80" t="s">
        <v>414</v>
      </c>
      <c r="C825" s="80"/>
      <c r="D825" s="80"/>
      <c r="E825" s="80"/>
      <c r="F825" s="80"/>
      <c r="G825" s="80"/>
      <c r="H825" s="80"/>
      <c r="I825" s="48" t="s">
        <v>22</v>
      </c>
      <c r="J825" s="48"/>
      <c r="K825" s="48" t="s">
        <v>35</v>
      </c>
      <c r="L825" s="48" t="s">
        <v>275</v>
      </c>
      <c r="M825" s="48" t="s">
        <v>221</v>
      </c>
      <c r="N825" s="39" t="s">
        <v>190</v>
      </c>
      <c r="O825" s="48" t="s">
        <v>221</v>
      </c>
      <c r="P825" s="38" t="s">
        <v>379</v>
      </c>
      <c r="Q825" s="48" t="s">
        <v>29</v>
      </c>
      <c r="R825" s="48" t="s">
        <v>41</v>
      </c>
      <c r="S825" s="48" t="s">
        <v>31</v>
      </c>
      <c r="T825" s="55" t="s">
        <v>276</v>
      </c>
    </row>
    <row r="826" spans="1:20" ht="15.95" customHeight="1" x14ac:dyDescent="0.2">
      <c r="A826" s="34"/>
      <c r="B826" s="25" t="s">
        <v>5</v>
      </c>
      <c r="C826" s="2">
        <f>D826+E826+F826+G826+H826</f>
        <v>39852.78</v>
      </c>
      <c r="D826" s="1">
        <f t="shared" ref="D826:H826" si="174">SUM(D827:D830)</f>
        <v>39852.78</v>
      </c>
      <c r="E826" s="1">
        <f t="shared" si="174"/>
        <v>0</v>
      </c>
      <c r="F826" s="1">
        <f t="shared" si="174"/>
        <v>0</v>
      </c>
      <c r="G826" s="1">
        <f t="shared" si="174"/>
        <v>0</v>
      </c>
      <c r="H826" s="1">
        <f t="shared" si="174"/>
        <v>0</v>
      </c>
      <c r="I826" s="48"/>
      <c r="J826" s="48"/>
      <c r="K826" s="48"/>
      <c r="L826" s="48"/>
      <c r="M826" s="48"/>
      <c r="N826" s="40"/>
      <c r="O826" s="48"/>
      <c r="P826" s="38"/>
      <c r="Q826" s="48"/>
      <c r="R826" s="48"/>
      <c r="S826" s="48"/>
      <c r="T826" s="55"/>
    </row>
    <row r="827" spans="1:20" ht="15.95" customHeight="1" x14ac:dyDescent="0.2">
      <c r="A827" s="34"/>
      <c r="B827" s="25" t="s">
        <v>0</v>
      </c>
      <c r="C827" s="2">
        <f>D827+E827+F827+G827+H827</f>
        <v>0</v>
      </c>
      <c r="D827" s="1"/>
      <c r="E827" s="1"/>
      <c r="F827" s="1"/>
      <c r="G827" s="1"/>
      <c r="H827" s="1"/>
      <c r="I827" s="48"/>
      <c r="J827" s="48"/>
      <c r="K827" s="48"/>
      <c r="L827" s="48"/>
      <c r="M827" s="48"/>
      <c r="N827" s="40"/>
      <c r="O827" s="48"/>
      <c r="P827" s="38"/>
      <c r="Q827" s="48"/>
      <c r="R827" s="48"/>
      <c r="S827" s="48"/>
      <c r="T827" s="55"/>
    </row>
    <row r="828" spans="1:20" ht="15.95" customHeight="1" x14ac:dyDescent="0.2">
      <c r="A828" s="34"/>
      <c r="B828" s="25" t="s">
        <v>1</v>
      </c>
      <c r="C828" s="2">
        <f>D828+E828+F828+G828+H828</f>
        <v>39852.78</v>
      </c>
      <c r="D828" s="1">
        <v>39852.78</v>
      </c>
      <c r="E828" s="1"/>
      <c r="F828" s="1"/>
      <c r="G828" s="1"/>
      <c r="H828" s="1"/>
      <c r="I828" s="48"/>
      <c r="J828" s="48"/>
      <c r="K828" s="48"/>
      <c r="L828" s="48"/>
      <c r="M828" s="48"/>
      <c r="N828" s="40"/>
      <c r="O828" s="48"/>
      <c r="P828" s="38"/>
      <c r="Q828" s="48"/>
      <c r="R828" s="48"/>
      <c r="S828" s="48"/>
      <c r="T828" s="55"/>
    </row>
    <row r="829" spans="1:20" ht="15.95" customHeight="1" x14ac:dyDescent="0.2">
      <c r="A829" s="34"/>
      <c r="B829" s="25" t="s">
        <v>2</v>
      </c>
      <c r="C829" s="2">
        <f>D829+E829+F829+G829+H829</f>
        <v>0</v>
      </c>
      <c r="D829" s="1"/>
      <c r="E829" s="1"/>
      <c r="F829" s="1"/>
      <c r="G829" s="1"/>
      <c r="H829" s="1"/>
      <c r="I829" s="48"/>
      <c r="J829" s="48"/>
      <c r="K829" s="48"/>
      <c r="L829" s="48"/>
      <c r="M829" s="48"/>
      <c r="N829" s="40"/>
      <c r="O829" s="48"/>
      <c r="P829" s="38"/>
      <c r="Q829" s="48"/>
      <c r="R829" s="48"/>
      <c r="S829" s="48"/>
      <c r="T829" s="55"/>
    </row>
    <row r="830" spans="1:20" ht="15.95" customHeight="1" x14ac:dyDescent="0.2">
      <c r="A830" s="34"/>
      <c r="B830" s="25" t="s">
        <v>3</v>
      </c>
      <c r="C830" s="2">
        <f>D830+E830+F830+G830+H830</f>
        <v>0</v>
      </c>
      <c r="D830" s="1"/>
      <c r="E830" s="1"/>
      <c r="F830" s="1"/>
      <c r="G830" s="1"/>
      <c r="H830" s="1"/>
      <c r="I830" s="48"/>
      <c r="J830" s="48"/>
      <c r="K830" s="48"/>
      <c r="L830" s="48"/>
      <c r="M830" s="48"/>
      <c r="N830" s="41"/>
      <c r="O830" s="48"/>
      <c r="P830" s="38"/>
      <c r="Q830" s="48"/>
      <c r="R830" s="48"/>
      <c r="S830" s="48"/>
      <c r="T830" s="55"/>
    </row>
    <row r="831" spans="1:20" s="8" customFormat="1" ht="15.95" customHeight="1" x14ac:dyDescent="0.25">
      <c r="A831" s="34" t="s">
        <v>125</v>
      </c>
      <c r="B831" s="115" t="s">
        <v>470</v>
      </c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6"/>
    </row>
    <row r="832" spans="1:20" s="9" customFormat="1" ht="15.95" customHeight="1" x14ac:dyDescent="0.25">
      <c r="A832" s="34"/>
      <c r="B832" s="50" t="s">
        <v>282</v>
      </c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1"/>
    </row>
    <row r="833" spans="1:20" s="10" customFormat="1" ht="45" customHeight="1" x14ac:dyDescent="0.25">
      <c r="A833" s="34"/>
      <c r="B833" s="80" t="s">
        <v>355</v>
      </c>
      <c r="C833" s="80"/>
      <c r="D833" s="80"/>
      <c r="E833" s="80"/>
      <c r="F833" s="80"/>
      <c r="G833" s="80"/>
      <c r="H833" s="80"/>
      <c r="I833" s="48" t="s">
        <v>42</v>
      </c>
      <c r="J833" s="48"/>
      <c r="K833" s="48" t="s">
        <v>40</v>
      </c>
      <c r="L833" s="48" t="s">
        <v>467</v>
      </c>
      <c r="M833" s="48" t="s">
        <v>50</v>
      </c>
      <c r="N833" s="48" t="s">
        <v>295</v>
      </c>
      <c r="O833" s="48" t="s">
        <v>295</v>
      </c>
      <c r="P833" s="38" t="s">
        <v>416</v>
      </c>
      <c r="Q833" s="48" t="s">
        <v>7</v>
      </c>
      <c r="R833" s="48" t="s">
        <v>536</v>
      </c>
      <c r="S833" s="48" t="s">
        <v>31</v>
      </c>
      <c r="T833" s="55" t="s">
        <v>356</v>
      </c>
    </row>
    <row r="834" spans="1:20" s="10" customFormat="1" ht="15.95" customHeight="1" x14ac:dyDescent="0.25">
      <c r="A834" s="34"/>
      <c r="B834" s="25" t="s">
        <v>5</v>
      </c>
      <c r="C834" s="2">
        <f>D834+E834+F834+G834+H834</f>
        <v>89199.834499999997</v>
      </c>
      <c r="D834" s="1">
        <f t="shared" ref="D834" si="175">SUM(D835:D838)</f>
        <v>27818.754397959183</v>
      </c>
      <c r="E834" s="1">
        <f t="shared" ref="E834:H834" si="176">SUM(E835:E838)</f>
        <v>0</v>
      </c>
      <c r="F834" s="1">
        <f t="shared" si="176"/>
        <v>30088.764755102042</v>
      </c>
      <c r="G834" s="1">
        <f t="shared" si="176"/>
        <v>31292.315346938776</v>
      </c>
      <c r="H834" s="1">
        <f t="shared" si="176"/>
        <v>0</v>
      </c>
      <c r="I834" s="48"/>
      <c r="J834" s="48"/>
      <c r="K834" s="48"/>
      <c r="L834" s="48"/>
      <c r="M834" s="48"/>
      <c r="N834" s="48"/>
      <c r="O834" s="48"/>
      <c r="P834" s="38"/>
      <c r="Q834" s="48"/>
      <c r="R834" s="48"/>
      <c r="S834" s="48"/>
      <c r="T834" s="55"/>
    </row>
    <row r="835" spans="1:20" s="10" customFormat="1" ht="15.95" customHeight="1" x14ac:dyDescent="0.25">
      <c r="A835" s="34"/>
      <c r="B835" s="25" t="s">
        <v>0</v>
      </c>
      <c r="C835" s="2">
        <f>D835+E835+F835+G835+H835</f>
        <v>0</v>
      </c>
      <c r="D835" s="1"/>
      <c r="E835" s="1"/>
      <c r="F835" s="1"/>
      <c r="G835" s="1"/>
      <c r="H835" s="1"/>
      <c r="I835" s="48"/>
      <c r="J835" s="48"/>
      <c r="K835" s="48"/>
      <c r="L835" s="48"/>
      <c r="M835" s="48"/>
      <c r="N835" s="48"/>
      <c r="O835" s="48"/>
      <c r="P835" s="38"/>
      <c r="Q835" s="48"/>
      <c r="R835" s="48"/>
      <c r="S835" s="48"/>
      <c r="T835" s="55"/>
    </row>
    <row r="836" spans="1:20" s="10" customFormat="1" ht="15.95" customHeight="1" x14ac:dyDescent="0.25">
      <c r="A836" s="34"/>
      <c r="B836" s="25" t="s">
        <v>1</v>
      </c>
      <c r="C836" s="2">
        <f>D836+E836+F836+G836+H836</f>
        <v>87415.837809999997</v>
      </c>
      <c r="D836" s="1">
        <v>27262.37931</v>
      </c>
      <c r="E836" s="1"/>
      <c r="F836" s="1">
        <v>29486.989460000001</v>
      </c>
      <c r="G836" s="1">
        <v>30666.46904</v>
      </c>
      <c r="H836" s="1"/>
      <c r="I836" s="48"/>
      <c r="J836" s="48"/>
      <c r="K836" s="48"/>
      <c r="L836" s="48"/>
      <c r="M836" s="48"/>
      <c r="N836" s="48"/>
      <c r="O836" s="48"/>
      <c r="P836" s="38"/>
      <c r="Q836" s="48"/>
      <c r="R836" s="48"/>
      <c r="S836" s="48"/>
      <c r="T836" s="55"/>
    </row>
    <row r="837" spans="1:20" s="10" customFormat="1" ht="15.95" customHeight="1" x14ac:dyDescent="0.25">
      <c r="A837" s="34"/>
      <c r="B837" s="25" t="s">
        <v>2</v>
      </c>
      <c r="C837" s="2">
        <f>D837+E837+F837+G837+H837</f>
        <v>1783.9966899999999</v>
      </c>
      <c r="D837" s="1">
        <v>556.3750879591837</v>
      </c>
      <c r="E837" s="1"/>
      <c r="F837" s="1">
        <v>601.77529510204079</v>
      </c>
      <c r="G837" s="1">
        <v>625.84630693877546</v>
      </c>
      <c r="H837" s="1"/>
      <c r="I837" s="48"/>
      <c r="J837" s="48"/>
      <c r="K837" s="48"/>
      <c r="L837" s="48"/>
      <c r="M837" s="48"/>
      <c r="N837" s="48"/>
      <c r="O837" s="48"/>
      <c r="P837" s="38"/>
      <c r="Q837" s="48"/>
      <c r="R837" s="48"/>
      <c r="S837" s="48"/>
      <c r="T837" s="55"/>
    </row>
    <row r="838" spans="1:20" s="10" customFormat="1" ht="15.95" customHeight="1" x14ac:dyDescent="0.25">
      <c r="A838" s="34"/>
      <c r="B838" s="25" t="s">
        <v>3</v>
      </c>
      <c r="C838" s="2">
        <f>D838+E838+F838+G838+H838</f>
        <v>0</v>
      </c>
      <c r="D838" s="1"/>
      <c r="E838" s="1"/>
      <c r="F838" s="1"/>
      <c r="G838" s="1"/>
      <c r="H838" s="1"/>
      <c r="I838" s="48"/>
      <c r="J838" s="48"/>
      <c r="K838" s="48"/>
      <c r="L838" s="48"/>
      <c r="M838" s="48"/>
      <c r="N838" s="48"/>
      <c r="O838" s="48"/>
      <c r="P838" s="38"/>
      <c r="Q838" s="48"/>
      <c r="R838" s="48"/>
      <c r="S838" s="48"/>
      <c r="T838" s="55"/>
    </row>
    <row r="839" spans="1:20" s="8" customFormat="1" ht="15.95" customHeight="1" x14ac:dyDescent="0.25">
      <c r="A839" s="34" t="s">
        <v>126</v>
      </c>
      <c r="B839" s="115" t="s">
        <v>470</v>
      </c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6"/>
    </row>
    <row r="840" spans="1:20" s="9" customFormat="1" ht="15.95" customHeight="1" x14ac:dyDescent="0.25">
      <c r="A840" s="34"/>
      <c r="B840" s="50" t="s">
        <v>282</v>
      </c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1"/>
    </row>
    <row r="841" spans="1:20" s="10" customFormat="1" ht="45" customHeight="1" x14ac:dyDescent="0.25">
      <c r="A841" s="34"/>
      <c r="B841" s="80" t="s">
        <v>357</v>
      </c>
      <c r="C841" s="80"/>
      <c r="D841" s="80"/>
      <c r="E841" s="80"/>
      <c r="F841" s="80"/>
      <c r="G841" s="80"/>
      <c r="H841" s="80"/>
      <c r="I841" s="48" t="s">
        <v>23</v>
      </c>
      <c r="J841" s="48" t="s">
        <v>19</v>
      </c>
      <c r="K841" s="48" t="s">
        <v>40</v>
      </c>
      <c r="L841" s="48" t="s">
        <v>358</v>
      </c>
      <c r="M841" s="48" t="s">
        <v>538</v>
      </c>
      <c r="N841" s="48" t="s">
        <v>539</v>
      </c>
      <c r="O841" s="48" t="s">
        <v>539</v>
      </c>
      <c r="P841" s="38" t="s">
        <v>389</v>
      </c>
      <c r="Q841" s="48" t="s">
        <v>7</v>
      </c>
      <c r="R841" s="48" t="s">
        <v>540</v>
      </c>
      <c r="S841" s="48" t="s">
        <v>30</v>
      </c>
      <c r="T841" s="55"/>
    </row>
    <row r="842" spans="1:20" s="10" customFormat="1" ht="15.95" customHeight="1" x14ac:dyDescent="0.25">
      <c r="A842" s="34"/>
      <c r="B842" s="25" t="s">
        <v>5</v>
      </c>
      <c r="C842" s="2">
        <f>D842+E842+F842+G842+H842</f>
        <v>369989.4</v>
      </c>
      <c r="D842" s="1">
        <f t="shared" ref="D842:H842" si="177">SUM(D843:D846)</f>
        <v>0</v>
      </c>
      <c r="E842" s="1">
        <f t="shared" si="177"/>
        <v>369989.4</v>
      </c>
      <c r="F842" s="1">
        <f t="shared" si="177"/>
        <v>0</v>
      </c>
      <c r="G842" s="1">
        <f t="shared" si="177"/>
        <v>0</v>
      </c>
      <c r="H842" s="1">
        <f t="shared" si="177"/>
        <v>0</v>
      </c>
      <c r="I842" s="48"/>
      <c r="J842" s="48"/>
      <c r="K842" s="48"/>
      <c r="L842" s="48"/>
      <c r="M842" s="48"/>
      <c r="N842" s="48"/>
      <c r="O842" s="48"/>
      <c r="P842" s="38"/>
      <c r="Q842" s="48"/>
      <c r="R842" s="48"/>
      <c r="S842" s="48"/>
      <c r="T842" s="55"/>
    </row>
    <row r="843" spans="1:20" s="10" customFormat="1" ht="15.95" customHeight="1" x14ac:dyDescent="0.25">
      <c r="A843" s="34"/>
      <c r="B843" s="25" t="s">
        <v>0</v>
      </c>
      <c r="C843" s="2">
        <f>D843+E843+F843+G843+H843</f>
        <v>0</v>
      </c>
      <c r="D843" s="1"/>
      <c r="E843" s="1"/>
      <c r="F843" s="1"/>
      <c r="G843" s="1"/>
      <c r="H843" s="1"/>
      <c r="I843" s="48"/>
      <c r="J843" s="48"/>
      <c r="K843" s="48"/>
      <c r="L843" s="48"/>
      <c r="M843" s="48"/>
      <c r="N843" s="48"/>
      <c r="O843" s="48"/>
      <c r="P843" s="38"/>
      <c r="Q843" s="48"/>
      <c r="R843" s="48"/>
      <c r="S843" s="48"/>
      <c r="T843" s="55"/>
    </row>
    <row r="844" spans="1:20" s="10" customFormat="1" ht="15.95" customHeight="1" x14ac:dyDescent="0.25">
      <c r="A844" s="34"/>
      <c r="B844" s="25" t="s">
        <v>1</v>
      </c>
      <c r="C844" s="2">
        <f>D844+E844+F844+G844+H844</f>
        <v>362589.61200000002</v>
      </c>
      <c r="D844" s="1">
        <f>485.982-485.982</f>
        <v>0</v>
      </c>
      <c r="E844" s="1">
        <v>362589.61200000002</v>
      </c>
      <c r="F844" s="1"/>
      <c r="G844" s="1"/>
      <c r="H844" s="1"/>
      <c r="I844" s="48"/>
      <c r="J844" s="48"/>
      <c r="K844" s="48"/>
      <c r="L844" s="48"/>
      <c r="M844" s="48"/>
      <c r="N844" s="48"/>
      <c r="O844" s="48"/>
      <c r="P844" s="38"/>
      <c r="Q844" s="48"/>
      <c r="R844" s="48"/>
      <c r="S844" s="48"/>
      <c r="T844" s="55"/>
    </row>
    <row r="845" spans="1:20" s="10" customFormat="1" ht="15.95" customHeight="1" x14ac:dyDescent="0.25">
      <c r="A845" s="34"/>
      <c r="B845" s="25" t="s">
        <v>2</v>
      </c>
      <c r="C845" s="2">
        <f>D845+E845+F845+G845+H845</f>
        <v>7399.7880000000005</v>
      </c>
      <c r="D845" s="1">
        <f>9.918-9.918</f>
        <v>0</v>
      </c>
      <c r="E845" s="1">
        <v>7399.7880000000005</v>
      </c>
      <c r="F845" s="1"/>
      <c r="G845" s="1"/>
      <c r="H845" s="1"/>
      <c r="I845" s="48"/>
      <c r="J845" s="48"/>
      <c r="K845" s="48"/>
      <c r="L845" s="48"/>
      <c r="M845" s="48"/>
      <c r="N845" s="48"/>
      <c r="O845" s="48"/>
      <c r="P845" s="38"/>
      <c r="Q845" s="48"/>
      <c r="R845" s="48"/>
      <c r="S845" s="48"/>
      <c r="T845" s="55"/>
    </row>
    <row r="846" spans="1:20" s="10" customFormat="1" ht="15.95" customHeight="1" x14ac:dyDescent="0.25">
      <c r="A846" s="34"/>
      <c r="B846" s="25" t="s">
        <v>3</v>
      </c>
      <c r="C846" s="2">
        <f>D846+E846+F846+G846+H846</f>
        <v>0</v>
      </c>
      <c r="D846" s="1"/>
      <c r="E846" s="1"/>
      <c r="F846" s="1"/>
      <c r="G846" s="1"/>
      <c r="H846" s="1"/>
      <c r="I846" s="48"/>
      <c r="J846" s="48"/>
      <c r="K846" s="48"/>
      <c r="L846" s="48"/>
      <c r="M846" s="48"/>
      <c r="N846" s="48"/>
      <c r="O846" s="48"/>
      <c r="P846" s="38"/>
      <c r="Q846" s="48"/>
      <c r="R846" s="48"/>
      <c r="S846" s="48"/>
      <c r="T846" s="55"/>
    </row>
    <row r="847" spans="1:20" s="10" customFormat="1" ht="15.95" customHeight="1" x14ac:dyDescent="0.25">
      <c r="A847" s="75" t="s">
        <v>433</v>
      </c>
      <c r="B847" s="115" t="s">
        <v>470</v>
      </c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6"/>
    </row>
    <row r="848" spans="1:20" s="10" customFormat="1" ht="15.95" customHeight="1" x14ac:dyDescent="0.25">
      <c r="A848" s="76"/>
      <c r="B848" s="83" t="s">
        <v>434</v>
      </c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1"/>
    </row>
    <row r="849" spans="1:20" s="10" customFormat="1" ht="45" customHeight="1" x14ac:dyDescent="0.25">
      <c r="A849" s="76"/>
      <c r="B849" s="45" t="s">
        <v>435</v>
      </c>
      <c r="C849" s="46"/>
      <c r="D849" s="46"/>
      <c r="E849" s="46"/>
      <c r="F849" s="46"/>
      <c r="G849" s="46"/>
      <c r="H849" s="47"/>
      <c r="I849" s="39" t="s">
        <v>22</v>
      </c>
      <c r="J849" s="39"/>
      <c r="K849" s="39" t="s">
        <v>40</v>
      </c>
      <c r="L849" s="39" t="s">
        <v>436</v>
      </c>
      <c r="M849" s="39" t="s">
        <v>437</v>
      </c>
      <c r="N849" s="39" t="s">
        <v>470</v>
      </c>
      <c r="O849" s="39" t="s">
        <v>438</v>
      </c>
      <c r="P849" s="39" t="s">
        <v>439</v>
      </c>
      <c r="Q849" s="39" t="s">
        <v>7</v>
      </c>
      <c r="R849" s="39" t="s">
        <v>437</v>
      </c>
      <c r="S849" s="39" t="s">
        <v>31</v>
      </c>
      <c r="T849" s="110" t="s">
        <v>440</v>
      </c>
    </row>
    <row r="850" spans="1:20" s="10" customFormat="1" ht="15.95" customHeight="1" x14ac:dyDescent="0.25">
      <c r="A850" s="76"/>
      <c r="B850" s="27" t="s">
        <v>5</v>
      </c>
      <c r="C850" s="2">
        <f t="shared" ref="C850:C851" si="178">D850+E850+F850+G850+H850</f>
        <v>248389.67617999989</v>
      </c>
      <c r="D850" s="2">
        <f t="shared" ref="D850:H850" si="179">D851+D852+D853+D854+D855</f>
        <v>248389.67617999989</v>
      </c>
      <c r="E850" s="2">
        <f t="shared" si="179"/>
        <v>0</v>
      </c>
      <c r="F850" s="2">
        <f t="shared" si="179"/>
        <v>0</v>
      </c>
      <c r="G850" s="2">
        <f t="shared" si="179"/>
        <v>0</v>
      </c>
      <c r="H850" s="2">
        <f t="shared" si="179"/>
        <v>0</v>
      </c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111"/>
    </row>
    <row r="851" spans="1:20" s="10" customFormat="1" ht="15.95" customHeight="1" x14ac:dyDescent="0.25">
      <c r="A851" s="76"/>
      <c r="B851" s="27" t="s">
        <v>0</v>
      </c>
      <c r="C851" s="2">
        <f t="shared" si="178"/>
        <v>0</v>
      </c>
      <c r="D851" s="1"/>
      <c r="E851" s="1"/>
      <c r="F851" s="1"/>
      <c r="G851" s="1"/>
      <c r="H851" s="1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111"/>
    </row>
    <row r="852" spans="1:20" s="10" customFormat="1" ht="15.95" customHeight="1" x14ac:dyDescent="0.25">
      <c r="A852" s="76"/>
      <c r="B852" s="27" t="s">
        <v>1</v>
      </c>
      <c r="C852" s="2">
        <f>D852+E852+F852+G852+H852</f>
        <v>0</v>
      </c>
      <c r="D852" s="1"/>
      <c r="E852" s="1"/>
      <c r="F852" s="1"/>
      <c r="G852" s="1"/>
      <c r="H852" s="1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111"/>
    </row>
    <row r="853" spans="1:20" s="10" customFormat="1" ht="15.95" customHeight="1" x14ac:dyDescent="0.25">
      <c r="A853" s="76"/>
      <c r="B853" s="27" t="s">
        <v>2</v>
      </c>
      <c r="C853" s="2">
        <f t="shared" ref="C853:C855" si="180">D853+E853+F853+G853+H853</f>
        <v>355.02892000000003</v>
      </c>
      <c r="D853" s="1">
        <f>0+355.02892</f>
        <v>355.02892000000003</v>
      </c>
      <c r="E853" s="1"/>
      <c r="F853" s="1"/>
      <c r="G853" s="1"/>
      <c r="H853" s="1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111"/>
    </row>
    <row r="854" spans="1:20" s="10" customFormat="1" ht="15.95" customHeight="1" x14ac:dyDescent="0.25">
      <c r="A854" s="76"/>
      <c r="B854" s="25" t="s">
        <v>3</v>
      </c>
      <c r="C854" s="2">
        <f t="shared" si="180"/>
        <v>38034.647259999903</v>
      </c>
      <c r="D854" s="1">
        <f>0+38034.6472599999</f>
        <v>38034.647259999903</v>
      </c>
      <c r="E854" s="1"/>
      <c r="F854" s="1"/>
      <c r="G854" s="1"/>
      <c r="H854" s="11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111"/>
    </row>
    <row r="855" spans="1:20" s="10" customFormat="1" ht="39.950000000000003" customHeight="1" x14ac:dyDescent="0.25">
      <c r="A855" s="77"/>
      <c r="B855" s="27" t="s">
        <v>143</v>
      </c>
      <c r="C855" s="2">
        <f t="shared" si="180"/>
        <v>210000</v>
      </c>
      <c r="D855" s="1">
        <f>106470+103530</f>
        <v>210000</v>
      </c>
      <c r="E855" s="1"/>
      <c r="F855" s="1"/>
      <c r="G855" s="1"/>
      <c r="H855" s="1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112"/>
    </row>
    <row r="856" spans="1:20" s="10" customFormat="1" ht="15.95" customHeight="1" x14ac:dyDescent="0.25">
      <c r="A856" s="75" t="s">
        <v>628</v>
      </c>
      <c r="B856" s="115" t="s">
        <v>470</v>
      </c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6"/>
    </row>
    <row r="857" spans="1:20" s="10" customFormat="1" ht="15.95" customHeight="1" x14ac:dyDescent="0.25">
      <c r="A857" s="76"/>
      <c r="B857" s="83" t="s">
        <v>434</v>
      </c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1"/>
    </row>
    <row r="858" spans="1:20" s="10" customFormat="1" ht="45" customHeight="1" x14ac:dyDescent="0.25">
      <c r="A858" s="76"/>
      <c r="B858" s="45" t="s">
        <v>463</v>
      </c>
      <c r="C858" s="46"/>
      <c r="D858" s="46"/>
      <c r="E858" s="46"/>
      <c r="F858" s="46"/>
      <c r="G858" s="46"/>
      <c r="H858" s="47"/>
      <c r="I858" s="39"/>
      <c r="J858" s="39"/>
      <c r="K858" s="39" t="s">
        <v>35</v>
      </c>
      <c r="L858" s="39"/>
      <c r="M858" s="39" t="s">
        <v>470</v>
      </c>
      <c r="N858" s="39" t="s">
        <v>470</v>
      </c>
      <c r="O858" s="39"/>
      <c r="P858" s="39"/>
      <c r="Q858" s="39"/>
      <c r="R858" s="39"/>
      <c r="S858" s="39"/>
      <c r="T858" s="110"/>
    </row>
    <row r="859" spans="1:20" s="10" customFormat="1" ht="15.95" customHeight="1" x14ac:dyDescent="0.25">
      <c r="A859" s="76"/>
      <c r="B859" s="27" t="s">
        <v>5</v>
      </c>
      <c r="C859" s="2">
        <f t="shared" ref="C859:C860" si="181">D859+E859+F859+G859+H859</f>
        <v>123683.5</v>
      </c>
      <c r="D859" s="2">
        <f t="shared" ref="D859:H859" si="182">SUM(D860:D863)</f>
        <v>0</v>
      </c>
      <c r="E859" s="2">
        <f t="shared" si="182"/>
        <v>67814</v>
      </c>
      <c r="F859" s="2">
        <f t="shared" si="182"/>
        <v>55869.5</v>
      </c>
      <c r="G859" s="2">
        <f t="shared" si="182"/>
        <v>0</v>
      </c>
      <c r="H859" s="2">
        <f t="shared" si="182"/>
        <v>0</v>
      </c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111"/>
    </row>
    <row r="860" spans="1:20" s="10" customFormat="1" ht="15.95" customHeight="1" x14ac:dyDescent="0.25">
      <c r="A860" s="76"/>
      <c r="B860" s="27" t="s">
        <v>0</v>
      </c>
      <c r="C860" s="2">
        <f t="shared" si="181"/>
        <v>123683.5</v>
      </c>
      <c r="D860" s="1"/>
      <c r="E860" s="1">
        <f>83907.8-16093.8</f>
        <v>67814</v>
      </c>
      <c r="F860" s="1">
        <v>55869.5</v>
      </c>
      <c r="G860" s="1"/>
      <c r="H860" s="1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111"/>
    </row>
    <row r="861" spans="1:20" s="10" customFormat="1" ht="15.95" customHeight="1" x14ac:dyDescent="0.25">
      <c r="A861" s="76"/>
      <c r="B861" s="27" t="s">
        <v>1</v>
      </c>
      <c r="C861" s="2">
        <f>D861+E861+F861+G861+H861</f>
        <v>0</v>
      </c>
      <c r="D861" s="1"/>
      <c r="E861" s="1"/>
      <c r="F861" s="1"/>
      <c r="G861" s="1"/>
      <c r="H861" s="1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111"/>
    </row>
    <row r="862" spans="1:20" s="10" customFormat="1" ht="15.95" customHeight="1" x14ac:dyDescent="0.25">
      <c r="A862" s="76"/>
      <c r="B862" s="27" t="s">
        <v>2</v>
      </c>
      <c r="C862" s="2">
        <f t="shared" ref="C862:C863" si="183">D862+E862+F862+G862+H862</f>
        <v>0</v>
      </c>
      <c r="D862" s="1"/>
      <c r="E862" s="1"/>
      <c r="F862" s="1"/>
      <c r="G862" s="1"/>
      <c r="H862" s="1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111"/>
    </row>
    <row r="863" spans="1:20" s="10" customFormat="1" ht="15.95" customHeight="1" x14ac:dyDescent="0.25">
      <c r="A863" s="77"/>
      <c r="B863" s="27" t="s">
        <v>3</v>
      </c>
      <c r="C863" s="2">
        <f t="shared" si="183"/>
        <v>0</v>
      </c>
      <c r="D863" s="1"/>
      <c r="E863" s="1"/>
      <c r="F863" s="1"/>
      <c r="G863" s="1"/>
      <c r="H863" s="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112"/>
    </row>
    <row r="864" spans="1:20" s="10" customFormat="1" ht="15.95" customHeight="1" x14ac:dyDescent="0.25">
      <c r="A864" s="75" t="s">
        <v>631</v>
      </c>
      <c r="B864" s="115" t="s">
        <v>470</v>
      </c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6"/>
    </row>
    <row r="865" spans="1:20" s="10" customFormat="1" ht="15.95" customHeight="1" x14ac:dyDescent="0.25">
      <c r="A865" s="76"/>
      <c r="B865" s="83" t="s">
        <v>434</v>
      </c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1"/>
    </row>
    <row r="866" spans="1:20" s="10" customFormat="1" ht="45" customHeight="1" x14ac:dyDescent="0.25">
      <c r="A866" s="76"/>
      <c r="B866" s="45" t="s">
        <v>774</v>
      </c>
      <c r="C866" s="46"/>
      <c r="D866" s="46"/>
      <c r="E866" s="46"/>
      <c r="F866" s="46"/>
      <c r="G866" s="46"/>
      <c r="H866" s="47"/>
      <c r="I866" s="48">
        <v>2025</v>
      </c>
      <c r="J866" s="48">
        <v>2022</v>
      </c>
      <c r="K866" s="48" t="s">
        <v>388</v>
      </c>
      <c r="L866" s="48" t="s">
        <v>481</v>
      </c>
      <c r="M866" s="48" t="s">
        <v>482</v>
      </c>
      <c r="N866" s="48" t="s">
        <v>480</v>
      </c>
      <c r="O866" s="48" t="s">
        <v>49</v>
      </c>
      <c r="P866" s="38">
        <v>779364.4709999999</v>
      </c>
      <c r="Q866" s="48" t="s">
        <v>29</v>
      </c>
      <c r="R866" s="48" t="s">
        <v>48</v>
      </c>
      <c r="S866" s="48" t="s">
        <v>24</v>
      </c>
      <c r="T866" s="55"/>
    </row>
    <row r="867" spans="1:20" s="10" customFormat="1" ht="15.95" customHeight="1" x14ac:dyDescent="0.25">
      <c r="A867" s="76"/>
      <c r="B867" s="27" t="s">
        <v>5</v>
      </c>
      <c r="C867" s="2">
        <f t="shared" ref="C867:C868" si="184">D867+E867+F867+G867+H867</f>
        <v>249279.61830999999</v>
      </c>
      <c r="D867" s="2">
        <f t="shared" ref="D867:H867" si="185">SUM(D868:D871)</f>
        <v>179279.61830999999</v>
      </c>
      <c r="E867" s="2">
        <f t="shared" si="185"/>
        <v>70000</v>
      </c>
      <c r="F867" s="2">
        <f t="shared" si="185"/>
        <v>0</v>
      </c>
      <c r="G867" s="2">
        <f t="shared" si="185"/>
        <v>0</v>
      </c>
      <c r="H867" s="2">
        <f t="shared" si="185"/>
        <v>0</v>
      </c>
      <c r="I867" s="48"/>
      <c r="J867" s="48"/>
      <c r="K867" s="48"/>
      <c r="L867" s="48"/>
      <c r="M867" s="48"/>
      <c r="N867" s="48"/>
      <c r="O867" s="48"/>
      <c r="P867" s="38"/>
      <c r="Q867" s="48"/>
      <c r="R867" s="48"/>
      <c r="S867" s="48"/>
      <c r="T867" s="55"/>
    </row>
    <row r="868" spans="1:20" s="10" customFormat="1" ht="15.95" customHeight="1" x14ac:dyDescent="0.25">
      <c r="A868" s="76"/>
      <c r="B868" s="27" t="s">
        <v>0</v>
      </c>
      <c r="C868" s="2">
        <f t="shared" si="184"/>
        <v>0</v>
      </c>
      <c r="D868" s="1"/>
      <c r="E868" s="1"/>
      <c r="F868" s="1"/>
      <c r="G868" s="1"/>
      <c r="H868" s="1"/>
      <c r="I868" s="48"/>
      <c r="J868" s="48"/>
      <c r="K868" s="48"/>
      <c r="L868" s="48"/>
      <c r="M868" s="48"/>
      <c r="N868" s="48"/>
      <c r="O868" s="48"/>
      <c r="P868" s="38"/>
      <c r="Q868" s="48"/>
      <c r="R868" s="48"/>
      <c r="S868" s="48"/>
      <c r="T868" s="55"/>
    </row>
    <row r="869" spans="1:20" s="10" customFormat="1" ht="15.95" customHeight="1" x14ac:dyDescent="0.25">
      <c r="A869" s="76"/>
      <c r="B869" s="27" t="s">
        <v>1</v>
      </c>
      <c r="C869" s="2">
        <f>D869+E869+F869+G869+H869</f>
        <v>249279.61830999999</v>
      </c>
      <c r="D869" s="1">
        <f>0+140318.073+16865.103+22096.44231</f>
        <v>179279.61830999999</v>
      </c>
      <c r="E869" s="1">
        <f>0+70000</f>
        <v>70000</v>
      </c>
      <c r="F869" s="1"/>
      <c r="G869" s="1"/>
      <c r="H869" s="1"/>
      <c r="I869" s="48"/>
      <c r="J869" s="48"/>
      <c r="K869" s="48"/>
      <c r="L869" s="48"/>
      <c r="M869" s="48"/>
      <c r="N869" s="48"/>
      <c r="O869" s="48"/>
      <c r="P869" s="38"/>
      <c r="Q869" s="48"/>
      <c r="R869" s="48"/>
      <c r="S869" s="48"/>
      <c r="T869" s="55"/>
    </row>
    <row r="870" spans="1:20" s="10" customFormat="1" ht="15.95" customHeight="1" x14ac:dyDescent="0.25">
      <c r="A870" s="76"/>
      <c r="B870" s="27" t="s">
        <v>2</v>
      </c>
      <c r="C870" s="2">
        <f t="shared" ref="C870:C871" si="186">D870+E870+F870+G870+H870</f>
        <v>0</v>
      </c>
      <c r="D870" s="1"/>
      <c r="E870" s="1"/>
      <c r="F870" s="1"/>
      <c r="G870" s="1"/>
      <c r="H870" s="1"/>
      <c r="I870" s="48"/>
      <c r="J870" s="48"/>
      <c r="K870" s="48"/>
      <c r="L870" s="48"/>
      <c r="M870" s="48"/>
      <c r="N870" s="48"/>
      <c r="O870" s="48"/>
      <c r="P870" s="38"/>
      <c r="Q870" s="48"/>
      <c r="R870" s="48"/>
      <c r="S870" s="48"/>
      <c r="T870" s="55"/>
    </row>
    <row r="871" spans="1:20" s="10" customFormat="1" ht="15.95" customHeight="1" x14ac:dyDescent="0.25">
      <c r="A871" s="77"/>
      <c r="B871" s="27" t="s">
        <v>3</v>
      </c>
      <c r="C871" s="2">
        <f t="shared" si="186"/>
        <v>0</v>
      </c>
      <c r="D871" s="1"/>
      <c r="E871" s="1"/>
      <c r="F871" s="1"/>
      <c r="G871" s="1"/>
      <c r="H871" s="1"/>
      <c r="I871" s="48"/>
      <c r="J871" s="48"/>
      <c r="K871" s="48"/>
      <c r="L871" s="48"/>
      <c r="M871" s="48"/>
      <c r="N871" s="48"/>
      <c r="O871" s="48"/>
      <c r="P871" s="38"/>
      <c r="Q871" s="48"/>
      <c r="R871" s="48"/>
      <c r="S871" s="48"/>
      <c r="T871" s="55"/>
    </row>
    <row r="872" spans="1:20" s="10" customFormat="1" ht="15.95" customHeight="1" x14ac:dyDescent="0.25">
      <c r="A872" s="75" t="s">
        <v>656</v>
      </c>
      <c r="B872" s="115" t="s">
        <v>470</v>
      </c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6"/>
    </row>
    <row r="873" spans="1:20" s="10" customFormat="1" ht="15.95" customHeight="1" x14ac:dyDescent="0.25">
      <c r="A873" s="76"/>
      <c r="B873" s="83" t="s">
        <v>434</v>
      </c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1"/>
    </row>
    <row r="874" spans="1:20" s="10" customFormat="1" ht="45" customHeight="1" x14ac:dyDescent="0.25">
      <c r="A874" s="76"/>
      <c r="B874" s="45" t="s">
        <v>483</v>
      </c>
      <c r="C874" s="46"/>
      <c r="D874" s="46"/>
      <c r="E874" s="46"/>
      <c r="F874" s="46"/>
      <c r="G874" s="46"/>
      <c r="H874" s="47"/>
      <c r="I874" s="48">
        <v>2024</v>
      </c>
      <c r="J874" s="48">
        <v>2022</v>
      </c>
      <c r="K874" s="48" t="s">
        <v>484</v>
      </c>
      <c r="L874" s="48" t="s">
        <v>485</v>
      </c>
      <c r="M874" s="48" t="s">
        <v>482</v>
      </c>
      <c r="N874" s="48" t="s">
        <v>480</v>
      </c>
      <c r="O874" s="48" t="s">
        <v>49</v>
      </c>
      <c r="P874" s="38">
        <v>465647.64999999997</v>
      </c>
      <c r="Q874" s="48" t="s">
        <v>29</v>
      </c>
      <c r="R874" s="48" t="s">
        <v>8</v>
      </c>
      <c r="S874" s="48" t="s">
        <v>24</v>
      </c>
      <c r="T874" s="55"/>
    </row>
    <row r="875" spans="1:20" s="10" customFormat="1" ht="15.95" customHeight="1" x14ac:dyDescent="0.25">
      <c r="A875" s="76"/>
      <c r="B875" s="27" t="s">
        <v>5</v>
      </c>
      <c r="C875" s="2">
        <f t="shared" ref="C875:C876" si="187">D875+E875+F875+G875+H875</f>
        <v>49715.89069</v>
      </c>
      <c r="D875" s="2">
        <f t="shared" ref="D875:H875" si="188">SUM(D876:D879)</f>
        <v>5873.5576899999996</v>
      </c>
      <c r="E875" s="2">
        <f t="shared" si="188"/>
        <v>43842.332999999999</v>
      </c>
      <c r="F875" s="2">
        <f t="shared" si="188"/>
        <v>0</v>
      </c>
      <c r="G875" s="2">
        <f t="shared" si="188"/>
        <v>0</v>
      </c>
      <c r="H875" s="2">
        <f t="shared" si="188"/>
        <v>0</v>
      </c>
      <c r="I875" s="48"/>
      <c r="J875" s="48"/>
      <c r="K875" s="48"/>
      <c r="L875" s="48"/>
      <c r="M875" s="48"/>
      <c r="N875" s="48"/>
      <c r="O875" s="48"/>
      <c r="P875" s="38"/>
      <c r="Q875" s="48"/>
      <c r="R875" s="48"/>
      <c r="S875" s="48"/>
      <c r="T875" s="55"/>
    </row>
    <row r="876" spans="1:20" s="10" customFormat="1" ht="15.95" customHeight="1" x14ac:dyDescent="0.25">
      <c r="A876" s="76"/>
      <c r="B876" s="27" t="s">
        <v>0</v>
      </c>
      <c r="C876" s="2">
        <f t="shared" si="187"/>
        <v>0</v>
      </c>
      <c r="D876" s="1"/>
      <c r="E876" s="1"/>
      <c r="F876" s="1"/>
      <c r="G876" s="1"/>
      <c r="H876" s="1"/>
      <c r="I876" s="48"/>
      <c r="J876" s="48"/>
      <c r="K876" s="48"/>
      <c r="L876" s="48"/>
      <c r="M876" s="48"/>
      <c r="N876" s="48"/>
      <c r="O876" s="48"/>
      <c r="P876" s="38"/>
      <c r="Q876" s="48"/>
      <c r="R876" s="48"/>
      <c r="S876" s="48"/>
      <c r="T876" s="55"/>
    </row>
    <row r="877" spans="1:20" s="10" customFormat="1" ht="15.95" customHeight="1" x14ac:dyDescent="0.25">
      <c r="A877" s="76"/>
      <c r="B877" s="27" t="s">
        <v>1</v>
      </c>
      <c r="C877" s="2">
        <f>D877+E877+F877+G877+H877</f>
        <v>49715.89069</v>
      </c>
      <c r="D877" s="1">
        <f>0+100000-82030-12096.44231</f>
        <v>5873.5576899999996</v>
      </c>
      <c r="E877" s="1">
        <f>0+43842.333</f>
        <v>43842.332999999999</v>
      </c>
      <c r="F877" s="1"/>
      <c r="G877" s="1"/>
      <c r="H877" s="1"/>
      <c r="I877" s="48"/>
      <c r="J877" s="48"/>
      <c r="K877" s="48"/>
      <c r="L877" s="48"/>
      <c r="M877" s="48"/>
      <c r="N877" s="48"/>
      <c r="O877" s="48"/>
      <c r="P877" s="38"/>
      <c r="Q877" s="48"/>
      <c r="R877" s="48"/>
      <c r="S877" s="48"/>
      <c r="T877" s="55"/>
    </row>
    <row r="878" spans="1:20" s="10" customFormat="1" ht="15.95" customHeight="1" x14ac:dyDescent="0.25">
      <c r="A878" s="76"/>
      <c r="B878" s="27" t="s">
        <v>2</v>
      </c>
      <c r="C878" s="2">
        <f t="shared" ref="C878:C879" si="189">D878+E878+F878+G878+H878</f>
        <v>0</v>
      </c>
      <c r="D878" s="1"/>
      <c r="E878" s="1"/>
      <c r="F878" s="1"/>
      <c r="G878" s="1"/>
      <c r="H878" s="1"/>
      <c r="I878" s="48"/>
      <c r="J878" s="48"/>
      <c r="K878" s="48"/>
      <c r="L878" s="48"/>
      <c r="M878" s="48"/>
      <c r="N878" s="48"/>
      <c r="O878" s="48"/>
      <c r="P878" s="38"/>
      <c r="Q878" s="48"/>
      <c r="R878" s="48"/>
      <c r="S878" s="48"/>
      <c r="T878" s="55"/>
    </row>
    <row r="879" spans="1:20" s="10" customFormat="1" ht="15.95" customHeight="1" x14ac:dyDescent="0.25">
      <c r="A879" s="77"/>
      <c r="B879" s="27" t="s">
        <v>3</v>
      </c>
      <c r="C879" s="2">
        <f t="shared" si="189"/>
        <v>0</v>
      </c>
      <c r="D879" s="1"/>
      <c r="E879" s="1"/>
      <c r="F879" s="1"/>
      <c r="G879" s="1"/>
      <c r="H879" s="1"/>
      <c r="I879" s="48"/>
      <c r="J879" s="48"/>
      <c r="K879" s="48"/>
      <c r="L879" s="48"/>
      <c r="M879" s="48"/>
      <c r="N879" s="48"/>
      <c r="O879" s="48"/>
      <c r="P879" s="38"/>
      <c r="Q879" s="48"/>
      <c r="R879" s="48"/>
      <c r="S879" s="48"/>
      <c r="T879" s="55"/>
    </row>
    <row r="880" spans="1:20" s="10" customFormat="1" ht="15.95" customHeight="1" x14ac:dyDescent="0.25">
      <c r="A880" s="75" t="s">
        <v>657</v>
      </c>
      <c r="B880" s="115" t="s">
        <v>470</v>
      </c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6"/>
    </row>
    <row r="881" spans="1:20" s="10" customFormat="1" ht="15.95" customHeight="1" x14ac:dyDescent="0.25">
      <c r="A881" s="76"/>
      <c r="B881" s="83" t="s">
        <v>629</v>
      </c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1"/>
    </row>
    <row r="882" spans="1:20" s="10" customFormat="1" ht="45" customHeight="1" x14ac:dyDescent="0.25">
      <c r="A882" s="76"/>
      <c r="B882" s="45" t="s">
        <v>630</v>
      </c>
      <c r="C882" s="46"/>
      <c r="D882" s="46"/>
      <c r="E882" s="46"/>
      <c r="F882" s="46"/>
      <c r="G882" s="46"/>
      <c r="H882" s="47"/>
      <c r="I882" s="48">
        <v>2023</v>
      </c>
      <c r="J882" s="48">
        <v>2022</v>
      </c>
      <c r="K882" s="48" t="s">
        <v>40</v>
      </c>
      <c r="L882" s="48" t="s">
        <v>647</v>
      </c>
      <c r="M882" s="48" t="s">
        <v>425</v>
      </c>
      <c r="N882" s="48" t="s">
        <v>426</v>
      </c>
      <c r="O882" s="48" t="s">
        <v>426</v>
      </c>
      <c r="P882" s="38">
        <v>730227.86</v>
      </c>
      <c r="Q882" s="48" t="s">
        <v>7</v>
      </c>
      <c r="R882" s="48" t="s">
        <v>48</v>
      </c>
      <c r="S882" s="48" t="s">
        <v>24</v>
      </c>
      <c r="T882" s="55"/>
    </row>
    <row r="883" spans="1:20" s="10" customFormat="1" ht="15.95" customHeight="1" x14ac:dyDescent="0.25">
      <c r="A883" s="76"/>
      <c r="B883" s="27" t="s">
        <v>5</v>
      </c>
      <c r="C883" s="2">
        <f t="shared" ref="C883:C884" si="190">D883+E883+F883+G883+H883</f>
        <v>745130.47041000007</v>
      </c>
      <c r="D883" s="2">
        <f t="shared" ref="D883:H883" si="191">SUM(D884:D887)</f>
        <v>257235.86163</v>
      </c>
      <c r="E883" s="2">
        <f t="shared" si="191"/>
        <v>487894.60878000001</v>
      </c>
      <c r="F883" s="2">
        <f t="shared" si="191"/>
        <v>0</v>
      </c>
      <c r="G883" s="2">
        <f t="shared" si="191"/>
        <v>0</v>
      </c>
      <c r="H883" s="2">
        <f t="shared" si="191"/>
        <v>0</v>
      </c>
      <c r="I883" s="48"/>
      <c r="J883" s="48"/>
      <c r="K883" s="48"/>
      <c r="L883" s="48"/>
      <c r="M883" s="48"/>
      <c r="N883" s="48"/>
      <c r="O883" s="48"/>
      <c r="P883" s="38"/>
      <c r="Q883" s="48"/>
      <c r="R883" s="48"/>
      <c r="S883" s="48"/>
      <c r="T883" s="55"/>
    </row>
    <row r="884" spans="1:20" s="10" customFormat="1" ht="15.95" customHeight="1" x14ac:dyDescent="0.25">
      <c r="A884" s="76"/>
      <c r="B884" s="27" t="s">
        <v>0</v>
      </c>
      <c r="C884" s="2">
        <f t="shared" si="190"/>
        <v>730227.86100000003</v>
      </c>
      <c r="D884" s="1">
        <f>0+252091.1444</f>
        <v>252091.14439999999</v>
      </c>
      <c r="E884" s="1">
        <f>0+478136.7166</f>
        <v>478136.71659999999</v>
      </c>
      <c r="F884" s="1"/>
      <c r="G884" s="1"/>
      <c r="H884" s="1"/>
      <c r="I884" s="48"/>
      <c r="J884" s="48"/>
      <c r="K884" s="48"/>
      <c r="L884" s="48"/>
      <c r="M884" s="48"/>
      <c r="N884" s="48"/>
      <c r="O884" s="48"/>
      <c r="P884" s="38"/>
      <c r="Q884" s="48"/>
      <c r="R884" s="48"/>
      <c r="S884" s="48"/>
      <c r="T884" s="55"/>
    </row>
    <row r="885" spans="1:20" s="10" customFormat="1" ht="15.95" customHeight="1" x14ac:dyDescent="0.25">
      <c r="A885" s="76"/>
      <c r="B885" s="27" t="s">
        <v>1</v>
      </c>
      <c r="C885" s="2">
        <f>D885+E885+F885+G885+H885</f>
        <v>0</v>
      </c>
      <c r="D885" s="1"/>
      <c r="E885" s="1"/>
      <c r="F885" s="1"/>
      <c r="G885" s="1"/>
      <c r="H885" s="1"/>
      <c r="I885" s="48"/>
      <c r="J885" s="48"/>
      <c r="K885" s="48"/>
      <c r="L885" s="48"/>
      <c r="M885" s="48"/>
      <c r="N885" s="48"/>
      <c r="O885" s="48"/>
      <c r="P885" s="38"/>
      <c r="Q885" s="48"/>
      <c r="R885" s="48"/>
      <c r="S885" s="48"/>
      <c r="T885" s="55"/>
    </row>
    <row r="886" spans="1:20" s="10" customFormat="1" ht="15.95" customHeight="1" x14ac:dyDescent="0.25">
      <c r="A886" s="76"/>
      <c r="B886" s="27" t="s">
        <v>2</v>
      </c>
      <c r="C886" s="2">
        <f t="shared" ref="C886:C887" si="192">D886+E886+F886+G886+H886</f>
        <v>14902.609410000001</v>
      </c>
      <c r="D886" s="1">
        <v>5144.7172300000002</v>
      </c>
      <c r="E886" s="1">
        <v>9757.8921800000007</v>
      </c>
      <c r="F886" s="1"/>
      <c r="G886" s="1"/>
      <c r="H886" s="1"/>
      <c r="I886" s="48"/>
      <c r="J886" s="48"/>
      <c r="K886" s="48"/>
      <c r="L886" s="48"/>
      <c r="M886" s="48"/>
      <c r="N886" s="48"/>
      <c r="O886" s="48"/>
      <c r="P886" s="38"/>
      <c r="Q886" s="48"/>
      <c r="R886" s="48"/>
      <c r="S886" s="48"/>
      <c r="T886" s="55"/>
    </row>
    <row r="887" spans="1:20" s="10" customFormat="1" ht="15.95" customHeight="1" x14ac:dyDescent="0.25">
      <c r="A887" s="77"/>
      <c r="B887" s="27" t="s">
        <v>3</v>
      </c>
      <c r="C887" s="2">
        <f t="shared" si="192"/>
        <v>0</v>
      </c>
      <c r="D887" s="1"/>
      <c r="E887" s="1"/>
      <c r="F887" s="1"/>
      <c r="G887" s="1"/>
      <c r="H887" s="1"/>
      <c r="I887" s="48"/>
      <c r="J887" s="48"/>
      <c r="K887" s="48"/>
      <c r="L887" s="48"/>
      <c r="M887" s="48"/>
      <c r="N887" s="48"/>
      <c r="O887" s="48"/>
      <c r="P887" s="38"/>
      <c r="Q887" s="48"/>
      <c r="R887" s="48"/>
      <c r="S887" s="48"/>
      <c r="T887" s="55"/>
    </row>
    <row r="888" spans="1:20" s="10" customFormat="1" ht="15.95" customHeight="1" x14ac:dyDescent="0.25">
      <c r="A888" s="75" t="s">
        <v>662</v>
      </c>
      <c r="B888" s="115" t="s">
        <v>470</v>
      </c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6"/>
    </row>
    <row r="889" spans="1:20" s="10" customFormat="1" ht="15.95" customHeight="1" x14ac:dyDescent="0.25">
      <c r="A889" s="76"/>
      <c r="B889" s="83" t="s">
        <v>434</v>
      </c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1"/>
    </row>
    <row r="890" spans="1:20" s="10" customFormat="1" ht="45" customHeight="1" x14ac:dyDescent="0.25">
      <c r="A890" s="76"/>
      <c r="B890" s="45" t="s">
        <v>828</v>
      </c>
      <c r="C890" s="46"/>
      <c r="D890" s="46"/>
      <c r="E890" s="46"/>
      <c r="F890" s="46"/>
      <c r="G890" s="46"/>
      <c r="H890" s="47"/>
      <c r="I890" s="48">
        <v>2023</v>
      </c>
      <c r="J890" s="48">
        <v>2022</v>
      </c>
      <c r="K890" s="48" t="s">
        <v>484</v>
      </c>
      <c r="L890" s="48" t="s">
        <v>777</v>
      </c>
      <c r="M890" s="48" t="s">
        <v>49</v>
      </c>
      <c r="N890" s="48" t="s">
        <v>480</v>
      </c>
      <c r="O890" s="48" t="s">
        <v>49</v>
      </c>
      <c r="P890" s="38">
        <v>811663.58</v>
      </c>
      <c r="Q890" s="48" t="s">
        <v>29</v>
      </c>
      <c r="R890" s="48" t="s">
        <v>48</v>
      </c>
      <c r="S890" s="48" t="s">
        <v>24</v>
      </c>
      <c r="T890" s="55" t="s">
        <v>776</v>
      </c>
    </row>
    <row r="891" spans="1:20" s="10" customFormat="1" ht="15.95" customHeight="1" x14ac:dyDescent="0.25">
      <c r="A891" s="76"/>
      <c r="B891" s="27" t="s">
        <v>5</v>
      </c>
      <c r="C891" s="2">
        <f t="shared" ref="C891:C892" si="193">D891+E891+F891+G891+H891</f>
        <v>811663.58000000007</v>
      </c>
      <c r="D891" s="2">
        <f t="shared" ref="D891:H891" si="194">SUM(D892:D895)</f>
        <v>500000</v>
      </c>
      <c r="E891" s="2">
        <f t="shared" si="194"/>
        <v>311663.58</v>
      </c>
      <c r="F891" s="2">
        <f t="shared" si="194"/>
        <v>0</v>
      </c>
      <c r="G891" s="2">
        <f t="shared" si="194"/>
        <v>0</v>
      </c>
      <c r="H891" s="2">
        <f t="shared" si="194"/>
        <v>0</v>
      </c>
      <c r="I891" s="48"/>
      <c r="J891" s="48"/>
      <c r="K891" s="48"/>
      <c r="L891" s="48"/>
      <c r="M891" s="48"/>
      <c r="N891" s="48"/>
      <c r="O891" s="48"/>
      <c r="P891" s="38"/>
      <c r="Q891" s="48"/>
      <c r="R891" s="48"/>
      <c r="S891" s="48"/>
      <c r="T891" s="55"/>
    </row>
    <row r="892" spans="1:20" s="10" customFormat="1" ht="15.95" customHeight="1" x14ac:dyDescent="0.25">
      <c r="A892" s="76"/>
      <c r="B892" s="27" t="s">
        <v>0</v>
      </c>
      <c r="C892" s="2">
        <f t="shared" si="193"/>
        <v>641020.6</v>
      </c>
      <c r="D892" s="1">
        <f>0+500000</f>
        <v>500000</v>
      </c>
      <c r="E892" s="1">
        <f>0+141020.6</f>
        <v>141020.6</v>
      </c>
      <c r="F892" s="1"/>
      <c r="G892" s="1"/>
      <c r="H892" s="1"/>
      <c r="I892" s="48"/>
      <c r="J892" s="48"/>
      <c r="K892" s="48"/>
      <c r="L892" s="48"/>
      <c r="M892" s="48"/>
      <c r="N892" s="48"/>
      <c r="O892" s="48"/>
      <c r="P892" s="38"/>
      <c r="Q892" s="48"/>
      <c r="R892" s="48"/>
      <c r="S892" s="48"/>
      <c r="T892" s="55"/>
    </row>
    <row r="893" spans="1:20" s="10" customFormat="1" ht="15.95" customHeight="1" x14ac:dyDescent="0.25">
      <c r="A893" s="76"/>
      <c r="B893" s="27" t="s">
        <v>1</v>
      </c>
      <c r="C893" s="2">
        <f>D893+E893+F893+G893+H893</f>
        <v>170642.98</v>
      </c>
      <c r="D893" s="1"/>
      <c r="E893" s="1">
        <f>0+170642.98</f>
        <v>170642.98</v>
      </c>
      <c r="F893" s="1"/>
      <c r="G893" s="1"/>
      <c r="H893" s="1"/>
      <c r="I893" s="48"/>
      <c r="J893" s="48"/>
      <c r="K893" s="48"/>
      <c r="L893" s="48"/>
      <c r="M893" s="48"/>
      <c r="N893" s="48"/>
      <c r="O893" s="48"/>
      <c r="P893" s="38"/>
      <c r="Q893" s="48"/>
      <c r="R893" s="48"/>
      <c r="S893" s="48"/>
      <c r="T893" s="55"/>
    </row>
    <row r="894" spans="1:20" s="10" customFormat="1" ht="15.95" customHeight="1" x14ac:dyDescent="0.25">
      <c r="A894" s="76"/>
      <c r="B894" s="27" t="s">
        <v>2</v>
      </c>
      <c r="C894" s="2">
        <f t="shared" ref="C894:C895" si="195">D894+E894+F894+G894+H894</f>
        <v>0</v>
      </c>
      <c r="D894" s="1"/>
      <c r="E894" s="1"/>
      <c r="F894" s="1"/>
      <c r="G894" s="1"/>
      <c r="H894" s="1"/>
      <c r="I894" s="48"/>
      <c r="J894" s="48"/>
      <c r="K894" s="48"/>
      <c r="L894" s="48"/>
      <c r="M894" s="48"/>
      <c r="N894" s="48"/>
      <c r="O894" s="48"/>
      <c r="P894" s="38"/>
      <c r="Q894" s="48"/>
      <c r="R894" s="48"/>
      <c r="S894" s="48"/>
      <c r="T894" s="55"/>
    </row>
    <row r="895" spans="1:20" s="10" customFormat="1" ht="15.95" customHeight="1" x14ac:dyDescent="0.25">
      <c r="A895" s="77"/>
      <c r="B895" s="27" t="s">
        <v>3</v>
      </c>
      <c r="C895" s="2">
        <f t="shared" si="195"/>
        <v>0</v>
      </c>
      <c r="D895" s="1"/>
      <c r="E895" s="1"/>
      <c r="F895" s="1"/>
      <c r="G895" s="1"/>
      <c r="H895" s="1"/>
      <c r="I895" s="48"/>
      <c r="J895" s="48"/>
      <c r="K895" s="48"/>
      <c r="L895" s="48"/>
      <c r="M895" s="48"/>
      <c r="N895" s="48"/>
      <c r="O895" s="48"/>
      <c r="P895" s="38"/>
      <c r="Q895" s="48"/>
      <c r="R895" s="48"/>
      <c r="S895" s="48"/>
      <c r="T895" s="55"/>
    </row>
    <row r="896" spans="1:20" s="10" customFormat="1" ht="15.95" customHeight="1" x14ac:dyDescent="0.25">
      <c r="A896" s="75" t="s">
        <v>667</v>
      </c>
      <c r="B896" s="115" t="s">
        <v>470</v>
      </c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6"/>
    </row>
    <row r="897" spans="1:20" s="10" customFormat="1" ht="15.95" customHeight="1" x14ac:dyDescent="0.25">
      <c r="A897" s="76"/>
      <c r="B897" s="83" t="s">
        <v>434</v>
      </c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1"/>
    </row>
    <row r="898" spans="1:20" s="10" customFormat="1" ht="45" customHeight="1" x14ac:dyDescent="0.25">
      <c r="A898" s="76"/>
      <c r="B898" s="45" t="s">
        <v>650</v>
      </c>
      <c r="C898" s="46"/>
      <c r="D898" s="46"/>
      <c r="E898" s="46"/>
      <c r="F898" s="46"/>
      <c r="G898" s="46"/>
      <c r="H898" s="47"/>
      <c r="I898" s="48">
        <v>2022</v>
      </c>
      <c r="J898" s="48">
        <v>2019</v>
      </c>
      <c r="K898" s="48" t="s">
        <v>40</v>
      </c>
      <c r="L898" s="48" t="s">
        <v>651</v>
      </c>
      <c r="M898" s="48" t="s">
        <v>652</v>
      </c>
      <c r="N898" s="48" t="s">
        <v>653</v>
      </c>
      <c r="O898" s="48" t="s">
        <v>653</v>
      </c>
      <c r="P898" s="38">
        <v>59742</v>
      </c>
      <c r="Q898" s="48" t="s">
        <v>654</v>
      </c>
      <c r="R898" s="48" t="s">
        <v>652</v>
      </c>
      <c r="S898" s="48" t="s">
        <v>31</v>
      </c>
      <c r="T898" s="55" t="s">
        <v>655</v>
      </c>
    </row>
    <row r="899" spans="1:20" s="10" customFormat="1" ht="15.95" customHeight="1" x14ac:dyDescent="0.25">
      <c r="A899" s="76"/>
      <c r="B899" s="27" t="s">
        <v>5</v>
      </c>
      <c r="C899" s="2">
        <f t="shared" ref="C899:C900" si="196">D899+E899+F899+G899+H899</f>
        <v>21713.879410000001</v>
      </c>
      <c r="D899" s="2">
        <f t="shared" ref="D899:H899" si="197">SUM(D900:D903)</f>
        <v>21713.879410000001</v>
      </c>
      <c r="E899" s="2">
        <f t="shared" si="197"/>
        <v>0</v>
      </c>
      <c r="F899" s="2">
        <f t="shared" si="197"/>
        <v>0</v>
      </c>
      <c r="G899" s="2">
        <f t="shared" si="197"/>
        <v>0</v>
      </c>
      <c r="H899" s="2">
        <f t="shared" si="197"/>
        <v>0</v>
      </c>
      <c r="I899" s="48"/>
      <c r="J899" s="48"/>
      <c r="K899" s="48"/>
      <c r="L899" s="48"/>
      <c r="M899" s="48"/>
      <c r="N899" s="48"/>
      <c r="O899" s="48"/>
      <c r="P899" s="38"/>
      <c r="Q899" s="48"/>
      <c r="R899" s="48"/>
      <c r="S899" s="48"/>
      <c r="T899" s="55"/>
    </row>
    <row r="900" spans="1:20" s="10" customFormat="1" ht="15.95" customHeight="1" x14ac:dyDescent="0.25">
      <c r="A900" s="76"/>
      <c r="B900" s="27" t="s">
        <v>0</v>
      </c>
      <c r="C900" s="2">
        <f t="shared" si="196"/>
        <v>0</v>
      </c>
      <c r="D900" s="1"/>
      <c r="E900" s="1"/>
      <c r="F900" s="1"/>
      <c r="G900" s="1"/>
      <c r="H900" s="1"/>
      <c r="I900" s="48"/>
      <c r="J900" s="48"/>
      <c r="K900" s="48"/>
      <c r="L900" s="48"/>
      <c r="M900" s="48"/>
      <c r="N900" s="48"/>
      <c r="O900" s="48"/>
      <c r="P900" s="38"/>
      <c r="Q900" s="48"/>
      <c r="R900" s="48"/>
      <c r="S900" s="48"/>
      <c r="T900" s="55"/>
    </row>
    <row r="901" spans="1:20" s="10" customFormat="1" ht="15.95" customHeight="1" x14ac:dyDescent="0.25">
      <c r="A901" s="76"/>
      <c r="B901" s="27" t="s">
        <v>1</v>
      </c>
      <c r="C901" s="2">
        <f>D901+E901+F901+G901+H901</f>
        <v>21279.60182</v>
      </c>
      <c r="D901" s="1">
        <v>21279.60182</v>
      </c>
      <c r="E901" s="1"/>
      <c r="F901" s="1"/>
      <c r="G901" s="1"/>
      <c r="H901" s="1"/>
      <c r="I901" s="48"/>
      <c r="J901" s="48"/>
      <c r="K901" s="48"/>
      <c r="L901" s="48"/>
      <c r="M901" s="48"/>
      <c r="N901" s="48"/>
      <c r="O901" s="48"/>
      <c r="P901" s="38"/>
      <c r="Q901" s="48"/>
      <c r="R901" s="48"/>
      <c r="S901" s="48"/>
      <c r="T901" s="55"/>
    </row>
    <row r="902" spans="1:20" s="10" customFormat="1" ht="15.95" customHeight="1" x14ac:dyDescent="0.25">
      <c r="A902" s="76"/>
      <c r="B902" s="27" t="s">
        <v>2</v>
      </c>
      <c r="C902" s="2">
        <f t="shared" ref="C902:C903" si="198">D902+E902+F902+G902+H902</f>
        <v>434.27758999999998</v>
      </c>
      <c r="D902" s="1">
        <f>0+434.27759</f>
        <v>434.27758999999998</v>
      </c>
      <c r="E902" s="1"/>
      <c r="F902" s="1"/>
      <c r="G902" s="1"/>
      <c r="H902" s="1"/>
      <c r="I902" s="48"/>
      <c r="J902" s="48"/>
      <c r="K902" s="48"/>
      <c r="L902" s="48"/>
      <c r="M902" s="48"/>
      <c r="N902" s="48"/>
      <c r="O902" s="48"/>
      <c r="P902" s="38"/>
      <c r="Q902" s="48"/>
      <c r="R902" s="48"/>
      <c r="S902" s="48"/>
      <c r="T902" s="55"/>
    </row>
    <row r="903" spans="1:20" s="10" customFormat="1" ht="15.95" customHeight="1" x14ac:dyDescent="0.25">
      <c r="A903" s="77"/>
      <c r="B903" s="27" t="s">
        <v>3</v>
      </c>
      <c r="C903" s="2">
        <f t="shared" si="198"/>
        <v>0</v>
      </c>
      <c r="D903" s="1"/>
      <c r="E903" s="1"/>
      <c r="F903" s="1"/>
      <c r="G903" s="1"/>
      <c r="H903" s="1"/>
      <c r="I903" s="48"/>
      <c r="J903" s="48"/>
      <c r="K903" s="48"/>
      <c r="L903" s="48"/>
      <c r="M903" s="48"/>
      <c r="N903" s="48"/>
      <c r="O903" s="48"/>
      <c r="P903" s="38"/>
      <c r="Q903" s="48"/>
      <c r="R903" s="48"/>
      <c r="S903" s="48"/>
      <c r="T903" s="55"/>
    </row>
    <row r="904" spans="1:20" s="10" customFormat="1" ht="15.95" customHeight="1" x14ac:dyDescent="0.25">
      <c r="A904" s="75" t="s">
        <v>669</v>
      </c>
      <c r="B904" s="115" t="s">
        <v>470</v>
      </c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6"/>
    </row>
    <row r="905" spans="1:20" s="10" customFormat="1" ht="15.95" customHeight="1" x14ac:dyDescent="0.25">
      <c r="A905" s="76"/>
      <c r="B905" s="83" t="s">
        <v>434</v>
      </c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1"/>
    </row>
    <row r="906" spans="1:20" s="10" customFormat="1" ht="45" customHeight="1" x14ac:dyDescent="0.25">
      <c r="A906" s="76"/>
      <c r="B906" s="45" t="s">
        <v>658</v>
      </c>
      <c r="C906" s="46"/>
      <c r="D906" s="46"/>
      <c r="E906" s="46"/>
      <c r="F906" s="46"/>
      <c r="G906" s="46"/>
      <c r="H906" s="47"/>
      <c r="I906" s="48">
        <v>2024</v>
      </c>
      <c r="J906" s="48">
        <v>2022</v>
      </c>
      <c r="K906" s="48" t="s">
        <v>40</v>
      </c>
      <c r="L906" s="48" t="s">
        <v>659</v>
      </c>
      <c r="M906" s="48" t="s">
        <v>660</v>
      </c>
      <c r="N906" s="48" t="s">
        <v>661</v>
      </c>
      <c r="O906" s="48" t="s">
        <v>660</v>
      </c>
      <c r="P906" s="38">
        <v>89446.938769999993</v>
      </c>
      <c r="Q906" s="48" t="s">
        <v>7</v>
      </c>
      <c r="R906" s="48" t="s">
        <v>660</v>
      </c>
      <c r="S906" s="48" t="s">
        <v>24</v>
      </c>
      <c r="T906" s="55"/>
    </row>
    <row r="907" spans="1:20" s="10" customFormat="1" ht="15.95" customHeight="1" x14ac:dyDescent="0.25">
      <c r="A907" s="76"/>
      <c r="B907" s="27" t="s">
        <v>5</v>
      </c>
      <c r="C907" s="2">
        <f t="shared" ref="C907:C908" si="199">D907+E907+F907+G907+H907</f>
        <v>6220.9326999999994</v>
      </c>
      <c r="D907" s="2">
        <f t="shared" ref="D907:H907" si="200">SUM(D908:D911)</f>
        <v>6220.9326999999994</v>
      </c>
      <c r="E907" s="2">
        <f t="shared" si="200"/>
        <v>0</v>
      </c>
      <c r="F907" s="2">
        <f t="shared" si="200"/>
        <v>0</v>
      </c>
      <c r="G907" s="2">
        <f t="shared" si="200"/>
        <v>0</v>
      </c>
      <c r="H907" s="2">
        <f t="shared" si="200"/>
        <v>0</v>
      </c>
      <c r="I907" s="48"/>
      <c r="J907" s="48"/>
      <c r="K907" s="48"/>
      <c r="L907" s="48"/>
      <c r="M907" s="48"/>
      <c r="N907" s="48"/>
      <c r="O907" s="48"/>
      <c r="P907" s="38"/>
      <c r="Q907" s="48"/>
      <c r="R907" s="48"/>
      <c r="S907" s="48"/>
      <c r="T907" s="55"/>
    </row>
    <row r="908" spans="1:20" s="10" customFormat="1" ht="15.95" customHeight="1" x14ac:dyDescent="0.25">
      <c r="A908" s="76"/>
      <c r="B908" s="27" t="s">
        <v>0</v>
      </c>
      <c r="C908" s="2">
        <f t="shared" si="199"/>
        <v>0</v>
      </c>
      <c r="D908" s="1"/>
      <c r="E908" s="1"/>
      <c r="F908" s="1"/>
      <c r="G908" s="1"/>
      <c r="H908" s="1"/>
      <c r="I908" s="48"/>
      <c r="J908" s="48"/>
      <c r="K908" s="48"/>
      <c r="L908" s="48"/>
      <c r="M908" s="48"/>
      <c r="N908" s="48"/>
      <c r="O908" s="48"/>
      <c r="P908" s="38"/>
      <c r="Q908" s="48"/>
      <c r="R908" s="48"/>
      <c r="S908" s="48"/>
      <c r="T908" s="55"/>
    </row>
    <row r="909" spans="1:20" s="10" customFormat="1" ht="15.95" customHeight="1" x14ac:dyDescent="0.25">
      <c r="A909" s="76"/>
      <c r="B909" s="27" t="s">
        <v>1</v>
      </c>
      <c r="C909" s="2">
        <f>D909+E909+F909+G909+H909</f>
        <v>6096.5140499999998</v>
      </c>
      <c r="D909" s="1">
        <v>6096.5140499999998</v>
      </c>
      <c r="E909" s="1"/>
      <c r="F909" s="1"/>
      <c r="G909" s="1"/>
      <c r="H909" s="1"/>
      <c r="I909" s="48"/>
      <c r="J909" s="48"/>
      <c r="K909" s="48"/>
      <c r="L909" s="48"/>
      <c r="M909" s="48"/>
      <c r="N909" s="48"/>
      <c r="O909" s="48"/>
      <c r="P909" s="38"/>
      <c r="Q909" s="48"/>
      <c r="R909" s="48"/>
      <c r="S909" s="48"/>
      <c r="T909" s="55"/>
    </row>
    <row r="910" spans="1:20" s="10" customFormat="1" ht="15.95" customHeight="1" x14ac:dyDescent="0.25">
      <c r="A910" s="76"/>
      <c r="B910" s="27" t="s">
        <v>2</v>
      </c>
      <c r="C910" s="2">
        <f t="shared" ref="C910:C911" si="201">D910+E910+F910+G910+H910</f>
        <v>124.41865</v>
      </c>
      <c r="D910" s="1">
        <f>0+124.41865</f>
        <v>124.41865</v>
      </c>
      <c r="E910" s="1"/>
      <c r="F910" s="1"/>
      <c r="G910" s="1"/>
      <c r="H910" s="1"/>
      <c r="I910" s="48"/>
      <c r="J910" s="48"/>
      <c r="K910" s="48"/>
      <c r="L910" s="48"/>
      <c r="M910" s="48"/>
      <c r="N910" s="48"/>
      <c r="O910" s="48"/>
      <c r="P910" s="38"/>
      <c r="Q910" s="48"/>
      <c r="R910" s="48"/>
      <c r="S910" s="48"/>
      <c r="T910" s="55"/>
    </row>
    <row r="911" spans="1:20" s="10" customFormat="1" ht="15.95" customHeight="1" x14ac:dyDescent="0.25">
      <c r="A911" s="77"/>
      <c r="B911" s="27" t="s">
        <v>3</v>
      </c>
      <c r="C911" s="2">
        <f t="shared" si="201"/>
        <v>0</v>
      </c>
      <c r="D911" s="1"/>
      <c r="E911" s="1"/>
      <c r="F911" s="1"/>
      <c r="G911" s="1"/>
      <c r="H911" s="1"/>
      <c r="I911" s="48"/>
      <c r="J911" s="48"/>
      <c r="K911" s="48"/>
      <c r="L911" s="48"/>
      <c r="M911" s="48"/>
      <c r="N911" s="48"/>
      <c r="O911" s="48"/>
      <c r="P911" s="38"/>
      <c r="Q911" s="48"/>
      <c r="R911" s="48"/>
      <c r="S911" s="48"/>
      <c r="T911" s="55"/>
    </row>
    <row r="912" spans="1:20" s="10" customFormat="1" ht="15.95" customHeight="1" x14ac:dyDescent="0.25">
      <c r="A912" s="75" t="s">
        <v>671</v>
      </c>
      <c r="B912" s="115" t="s">
        <v>470</v>
      </c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6"/>
    </row>
    <row r="913" spans="1:20" s="10" customFormat="1" ht="15.95" customHeight="1" x14ac:dyDescent="0.25">
      <c r="A913" s="76"/>
      <c r="B913" s="83" t="s">
        <v>434</v>
      </c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1"/>
    </row>
    <row r="914" spans="1:20" s="10" customFormat="1" ht="45" customHeight="1" x14ac:dyDescent="0.25">
      <c r="A914" s="76"/>
      <c r="B914" s="45" t="s">
        <v>663</v>
      </c>
      <c r="C914" s="46"/>
      <c r="D914" s="46"/>
      <c r="E914" s="46"/>
      <c r="F914" s="46"/>
      <c r="G914" s="46"/>
      <c r="H914" s="47"/>
      <c r="I914" s="48">
        <v>2024</v>
      </c>
      <c r="J914" s="48">
        <v>2022</v>
      </c>
      <c r="K914" s="48" t="s">
        <v>40</v>
      </c>
      <c r="L914" s="48" t="s">
        <v>664</v>
      </c>
      <c r="M914" s="48" t="s">
        <v>665</v>
      </c>
      <c r="N914" s="48" t="s">
        <v>666</v>
      </c>
      <c r="O914" s="48" t="s">
        <v>665</v>
      </c>
      <c r="P914" s="38" t="s">
        <v>664</v>
      </c>
      <c r="Q914" s="48" t="s">
        <v>7</v>
      </c>
      <c r="R914" s="48" t="s">
        <v>665</v>
      </c>
      <c r="S914" s="48" t="s">
        <v>24</v>
      </c>
      <c r="T914" s="55"/>
    </row>
    <row r="915" spans="1:20" s="10" customFormat="1" ht="15.95" customHeight="1" x14ac:dyDescent="0.25">
      <c r="A915" s="76"/>
      <c r="B915" s="27" t="s">
        <v>5</v>
      </c>
      <c r="C915" s="2">
        <f t="shared" ref="C915:C916" si="202">D915+E915+F915+G915+H915</f>
        <v>5051.0204081632655</v>
      </c>
      <c r="D915" s="2">
        <f t="shared" ref="D915:H915" si="203">SUM(D916:D919)</f>
        <v>5051.0204081632655</v>
      </c>
      <c r="E915" s="2">
        <f t="shared" si="203"/>
        <v>0</v>
      </c>
      <c r="F915" s="2">
        <f t="shared" si="203"/>
        <v>0</v>
      </c>
      <c r="G915" s="2">
        <f t="shared" si="203"/>
        <v>0</v>
      </c>
      <c r="H915" s="2">
        <f t="shared" si="203"/>
        <v>0</v>
      </c>
      <c r="I915" s="48"/>
      <c r="J915" s="48"/>
      <c r="K915" s="48"/>
      <c r="L915" s="48"/>
      <c r="M915" s="48"/>
      <c r="N915" s="48"/>
      <c r="O915" s="48"/>
      <c r="P915" s="38"/>
      <c r="Q915" s="48"/>
      <c r="R915" s="48"/>
      <c r="S915" s="48"/>
      <c r="T915" s="55"/>
    </row>
    <row r="916" spans="1:20" s="10" customFormat="1" ht="15.95" customHeight="1" x14ac:dyDescent="0.25">
      <c r="A916" s="76"/>
      <c r="B916" s="27" t="s">
        <v>0</v>
      </c>
      <c r="C916" s="2">
        <f t="shared" si="202"/>
        <v>0</v>
      </c>
      <c r="D916" s="1"/>
      <c r="E916" s="1"/>
      <c r="F916" s="1"/>
      <c r="G916" s="1"/>
      <c r="H916" s="1"/>
      <c r="I916" s="48"/>
      <c r="J916" s="48"/>
      <c r="K916" s="48"/>
      <c r="L916" s="48"/>
      <c r="M916" s="48"/>
      <c r="N916" s="48"/>
      <c r="O916" s="48"/>
      <c r="P916" s="38"/>
      <c r="Q916" s="48"/>
      <c r="R916" s="48"/>
      <c r="S916" s="48"/>
      <c r="T916" s="55"/>
    </row>
    <row r="917" spans="1:20" s="10" customFormat="1" ht="15.95" customHeight="1" x14ac:dyDescent="0.25">
      <c r="A917" s="76"/>
      <c r="B917" s="27" t="s">
        <v>1</v>
      </c>
      <c r="C917" s="2">
        <f>D917+E917+F917+G917+H917</f>
        <v>4950</v>
      </c>
      <c r="D917" s="1">
        <v>4950</v>
      </c>
      <c r="E917" s="1"/>
      <c r="F917" s="1"/>
      <c r="G917" s="1"/>
      <c r="H917" s="1"/>
      <c r="I917" s="48"/>
      <c r="J917" s="48"/>
      <c r="K917" s="48"/>
      <c r="L917" s="48"/>
      <c r="M917" s="48"/>
      <c r="N917" s="48"/>
      <c r="O917" s="48"/>
      <c r="P917" s="38"/>
      <c r="Q917" s="48"/>
      <c r="R917" s="48"/>
      <c r="S917" s="48"/>
      <c r="T917" s="55"/>
    </row>
    <row r="918" spans="1:20" s="10" customFormat="1" ht="15.95" customHeight="1" x14ac:dyDescent="0.25">
      <c r="A918" s="76"/>
      <c r="B918" s="27" t="s">
        <v>2</v>
      </c>
      <c r="C918" s="2">
        <f t="shared" ref="C918:C919" si="204">D918+E918+F918+G918+H918</f>
        <v>101.0204081632653</v>
      </c>
      <c r="D918" s="1">
        <f>D917/98*2</f>
        <v>101.0204081632653</v>
      </c>
      <c r="E918" s="1"/>
      <c r="F918" s="1"/>
      <c r="G918" s="1"/>
      <c r="H918" s="1"/>
      <c r="I918" s="48"/>
      <c r="J918" s="48"/>
      <c r="K918" s="48"/>
      <c r="L918" s="48"/>
      <c r="M918" s="48"/>
      <c r="N918" s="48"/>
      <c r="O918" s="48"/>
      <c r="P918" s="38"/>
      <c r="Q918" s="48"/>
      <c r="R918" s="48"/>
      <c r="S918" s="48"/>
      <c r="T918" s="55"/>
    </row>
    <row r="919" spans="1:20" s="10" customFormat="1" ht="15.95" customHeight="1" x14ac:dyDescent="0.25">
      <c r="A919" s="77"/>
      <c r="B919" s="27" t="s">
        <v>3</v>
      </c>
      <c r="C919" s="2">
        <f t="shared" si="204"/>
        <v>0</v>
      </c>
      <c r="D919" s="1"/>
      <c r="E919" s="1"/>
      <c r="F919" s="1"/>
      <c r="G919" s="1"/>
      <c r="H919" s="1"/>
      <c r="I919" s="48"/>
      <c r="J919" s="48"/>
      <c r="K919" s="48"/>
      <c r="L919" s="48"/>
      <c r="M919" s="48"/>
      <c r="N919" s="48"/>
      <c r="O919" s="48"/>
      <c r="P919" s="38"/>
      <c r="Q919" s="48"/>
      <c r="R919" s="48"/>
      <c r="S919" s="48"/>
      <c r="T919" s="55"/>
    </row>
    <row r="920" spans="1:20" s="10" customFormat="1" ht="15.95" customHeight="1" x14ac:dyDescent="0.25">
      <c r="A920" s="75" t="s">
        <v>673</v>
      </c>
      <c r="B920" s="115" t="s">
        <v>470</v>
      </c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6"/>
    </row>
    <row r="921" spans="1:20" s="10" customFormat="1" ht="15.95" customHeight="1" x14ac:dyDescent="0.25">
      <c r="A921" s="76"/>
      <c r="B921" s="83" t="s">
        <v>434</v>
      </c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1"/>
    </row>
    <row r="922" spans="1:20" s="10" customFormat="1" ht="45" customHeight="1" x14ac:dyDescent="0.25">
      <c r="A922" s="76"/>
      <c r="B922" s="45" t="s">
        <v>668</v>
      </c>
      <c r="C922" s="46"/>
      <c r="D922" s="46"/>
      <c r="E922" s="46"/>
      <c r="F922" s="46"/>
      <c r="G922" s="46"/>
      <c r="H922" s="47"/>
      <c r="I922" s="48">
        <v>2024</v>
      </c>
      <c r="J922" s="48">
        <v>2022</v>
      </c>
      <c r="K922" s="48" t="s">
        <v>40</v>
      </c>
      <c r="L922" s="48"/>
      <c r="M922" s="48" t="s">
        <v>385</v>
      </c>
      <c r="N922" s="48" t="s">
        <v>46</v>
      </c>
      <c r="O922" s="48" t="s">
        <v>385</v>
      </c>
      <c r="P922" s="38"/>
      <c r="Q922" s="48" t="s">
        <v>7</v>
      </c>
      <c r="R922" s="48" t="s">
        <v>385</v>
      </c>
      <c r="S922" s="48" t="s">
        <v>24</v>
      </c>
      <c r="T922" s="55"/>
    </row>
    <row r="923" spans="1:20" s="10" customFormat="1" ht="15.95" customHeight="1" x14ac:dyDescent="0.25">
      <c r="A923" s="76"/>
      <c r="B923" s="27" t="s">
        <v>5</v>
      </c>
      <c r="C923" s="2">
        <f t="shared" ref="C923:C924" si="205">D923+E923+F923+G923+H923</f>
        <v>2806.1224499999998</v>
      </c>
      <c r="D923" s="2">
        <f t="shared" ref="D923:H923" si="206">SUM(D924:D927)</f>
        <v>2806.1224499999998</v>
      </c>
      <c r="E923" s="2">
        <f t="shared" si="206"/>
        <v>0</v>
      </c>
      <c r="F923" s="2">
        <f t="shared" si="206"/>
        <v>0</v>
      </c>
      <c r="G923" s="2">
        <f t="shared" si="206"/>
        <v>0</v>
      </c>
      <c r="H923" s="2">
        <f t="shared" si="206"/>
        <v>0</v>
      </c>
      <c r="I923" s="48"/>
      <c r="J923" s="48"/>
      <c r="K923" s="48"/>
      <c r="L923" s="48"/>
      <c r="M923" s="48"/>
      <c r="N923" s="48"/>
      <c r="O923" s="48"/>
      <c r="P923" s="38"/>
      <c r="Q923" s="48"/>
      <c r="R923" s="48"/>
      <c r="S923" s="48"/>
      <c r="T923" s="55"/>
    </row>
    <row r="924" spans="1:20" s="10" customFormat="1" ht="15.95" customHeight="1" x14ac:dyDescent="0.25">
      <c r="A924" s="76"/>
      <c r="B924" s="27" t="s">
        <v>0</v>
      </c>
      <c r="C924" s="2">
        <f t="shared" si="205"/>
        <v>0</v>
      </c>
      <c r="D924" s="1"/>
      <c r="E924" s="1"/>
      <c r="F924" s="1"/>
      <c r="G924" s="1"/>
      <c r="H924" s="1"/>
      <c r="I924" s="48"/>
      <c r="J924" s="48"/>
      <c r="K924" s="48"/>
      <c r="L924" s="48"/>
      <c r="M924" s="48"/>
      <c r="N924" s="48"/>
      <c r="O924" s="48"/>
      <c r="P924" s="38"/>
      <c r="Q924" s="48"/>
      <c r="R924" s="48"/>
      <c r="S924" s="48"/>
      <c r="T924" s="55"/>
    </row>
    <row r="925" spans="1:20" s="10" customFormat="1" ht="15.95" customHeight="1" x14ac:dyDescent="0.25">
      <c r="A925" s="76"/>
      <c r="B925" s="27" t="s">
        <v>1</v>
      </c>
      <c r="C925" s="2">
        <f>D925+E925+F925+G925+H925</f>
        <v>2750</v>
      </c>
      <c r="D925" s="1">
        <v>2750</v>
      </c>
      <c r="E925" s="1"/>
      <c r="F925" s="1"/>
      <c r="G925" s="1"/>
      <c r="H925" s="1"/>
      <c r="I925" s="48"/>
      <c r="J925" s="48"/>
      <c r="K925" s="48"/>
      <c r="L925" s="48"/>
      <c r="M925" s="48"/>
      <c r="N925" s="48"/>
      <c r="O925" s="48"/>
      <c r="P925" s="38"/>
      <c r="Q925" s="48"/>
      <c r="R925" s="48"/>
      <c r="S925" s="48"/>
      <c r="T925" s="55"/>
    </row>
    <row r="926" spans="1:20" s="10" customFormat="1" ht="15.95" customHeight="1" x14ac:dyDescent="0.25">
      <c r="A926" s="76"/>
      <c r="B926" s="27" t="s">
        <v>2</v>
      </c>
      <c r="C926" s="2">
        <f t="shared" ref="C926:C927" si="207">D926+E926+F926+G926+H926</f>
        <v>56.122450000000001</v>
      </c>
      <c r="D926" s="1">
        <v>56.122450000000001</v>
      </c>
      <c r="E926" s="1"/>
      <c r="F926" s="1"/>
      <c r="G926" s="1"/>
      <c r="H926" s="1"/>
      <c r="I926" s="48"/>
      <c r="J926" s="48"/>
      <c r="K926" s="48"/>
      <c r="L926" s="48"/>
      <c r="M926" s="48"/>
      <c r="N926" s="48"/>
      <c r="O926" s="48"/>
      <c r="P926" s="38"/>
      <c r="Q926" s="48"/>
      <c r="R926" s="48"/>
      <c r="S926" s="48"/>
      <c r="T926" s="55"/>
    </row>
    <row r="927" spans="1:20" s="10" customFormat="1" ht="15.95" customHeight="1" x14ac:dyDescent="0.25">
      <c r="A927" s="77"/>
      <c r="B927" s="27" t="s">
        <v>3</v>
      </c>
      <c r="C927" s="2">
        <f t="shared" si="207"/>
        <v>0</v>
      </c>
      <c r="D927" s="1"/>
      <c r="E927" s="1"/>
      <c r="F927" s="1"/>
      <c r="G927" s="1"/>
      <c r="H927" s="1"/>
      <c r="I927" s="48"/>
      <c r="J927" s="48"/>
      <c r="K927" s="48"/>
      <c r="L927" s="48"/>
      <c r="M927" s="48"/>
      <c r="N927" s="48"/>
      <c r="O927" s="48"/>
      <c r="P927" s="38"/>
      <c r="Q927" s="48"/>
      <c r="R927" s="48"/>
      <c r="S927" s="48"/>
      <c r="T927" s="55"/>
    </row>
    <row r="928" spans="1:20" s="10" customFormat="1" ht="15.95" customHeight="1" x14ac:dyDescent="0.25">
      <c r="A928" s="75" t="s">
        <v>675</v>
      </c>
      <c r="B928" s="115" t="s">
        <v>470</v>
      </c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6"/>
    </row>
    <row r="929" spans="1:20" s="10" customFormat="1" ht="15.95" customHeight="1" x14ac:dyDescent="0.25">
      <c r="A929" s="76"/>
      <c r="B929" s="83" t="s">
        <v>434</v>
      </c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1"/>
    </row>
    <row r="930" spans="1:20" s="10" customFormat="1" ht="45" customHeight="1" x14ac:dyDescent="0.25">
      <c r="A930" s="76"/>
      <c r="B930" s="45" t="s">
        <v>818</v>
      </c>
      <c r="C930" s="46"/>
      <c r="D930" s="46"/>
      <c r="E930" s="46"/>
      <c r="F930" s="46"/>
      <c r="G930" s="46"/>
      <c r="H930" s="47"/>
      <c r="I930" s="48"/>
      <c r="J930" s="48">
        <v>2022</v>
      </c>
      <c r="K930" s="39" t="s">
        <v>388</v>
      </c>
      <c r="L930" s="48" t="s">
        <v>670</v>
      </c>
      <c r="M930" s="48" t="s">
        <v>482</v>
      </c>
      <c r="N930" s="48" t="s">
        <v>480</v>
      </c>
      <c r="O930" s="48" t="s">
        <v>49</v>
      </c>
      <c r="P930" s="38"/>
      <c r="Q930" s="48" t="s">
        <v>29</v>
      </c>
      <c r="R930" s="48" t="s">
        <v>8</v>
      </c>
      <c r="S930" s="48" t="s">
        <v>24</v>
      </c>
      <c r="T930" s="55"/>
    </row>
    <row r="931" spans="1:20" s="10" customFormat="1" ht="15.95" customHeight="1" x14ac:dyDescent="0.25">
      <c r="A931" s="76"/>
      <c r="B931" s="27" t="s">
        <v>5</v>
      </c>
      <c r="C931" s="2">
        <f t="shared" ref="C931:C932" si="208">D931+E931+F931+G931+H931</f>
        <v>4949</v>
      </c>
      <c r="D931" s="2">
        <f t="shared" ref="D931:H931" si="209">SUM(D932:D935)</f>
        <v>4949</v>
      </c>
      <c r="E931" s="2">
        <f t="shared" si="209"/>
        <v>0</v>
      </c>
      <c r="F931" s="2">
        <f t="shared" si="209"/>
        <v>0</v>
      </c>
      <c r="G931" s="2">
        <f t="shared" si="209"/>
        <v>0</v>
      </c>
      <c r="H931" s="2">
        <f t="shared" si="209"/>
        <v>0</v>
      </c>
      <c r="I931" s="48"/>
      <c r="J931" s="48"/>
      <c r="K931" s="40"/>
      <c r="L931" s="48"/>
      <c r="M931" s="48"/>
      <c r="N931" s="48"/>
      <c r="O931" s="48"/>
      <c r="P931" s="38"/>
      <c r="Q931" s="48"/>
      <c r="R931" s="48"/>
      <c r="S931" s="48"/>
      <c r="T931" s="55"/>
    </row>
    <row r="932" spans="1:20" s="10" customFormat="1" ht="15.95" customHeight="1" x14ac:dyDescent="0.25">
      <c r="A932" s="76"/>
      <c r="B932" s="27" t="s">
        <v>0</v>
      </c>
      <c r="C932" s="2">
        <f t="shared" si="208"/>
        <v>0</v>
      </c>
      <c r="D932" s="1"/>
      <c r="E932" s="1"/>
      <c r="F932" s="1"/>
      <c r="G932" s="1"/>
      <c r="H932" s="1"/>
      <c r="I932" s="48"/>
      <c r="J932" s="48"/>
      <c r="K932" s="40"/>
      <c r="L932" s="48"/>
      <c r="M932" s="48"/>
      <c r="N932" s="48"/>
      <c r="O932" s="48"/>
      <c r="P932" s="38"/>
      <c r="Q932" s="48"/>
      <c r="R932" s="48"/>
      <c r="S932" s="48"/>
      <c r="T932" s="55"/>
    </row>
    <row r="933" spans="1:20" s="10" customFormat="1" ht="15.95" customHeight="1" x14ac:dyDescent="0.25">
      <c r="A933" s="76"/>
      <c r="B933" s="27" t="s">
        <v>1</v>
      </c>
      <c r="C933" s="2">
        <f>D933+E933+F933+G933+H933</f>
        <v>4949</v>
      </c>
      <c r="D933" s="1">
        <v>4949</v>
      </c>
      <c r="E933" s="1"/>
      <c r="F933" s="1"/>
      <c r="G933" s="1"/>
      <c r="H933" s="1"/>
      <c r="I933" s="48"/>
      <c r="J933" s="48"/>
      <c r="K933" s="40"/>
      <c r="L933" s="48"/>
      <c r="M933" s="48"/>
      <c r="N933" s="48"/>
      <c r="O933" s="48"/>
      <c r="P933" s="38"/>
      <c r="Q933" s="48"/>
      <c r="R933" s="48"/>
      <c r="S933" s="48"/>
      <c r="T933" s="55"/>
    </row>
    <row r="934" spans="1:20" s="10" customFormat="1" ht="15.95" customHeight="1" x14ac:dyDescent="0.25">
      <c r="A934" s="76"/>
      <c r="B934" s="27" t="s">
        <v>2</v>
      </c>
      <c r="C934" s="2">
        <f t="shared" ref="C934:C935" si="210">D934+E934+F934+G934+H934</f>
        <v>0</v>
      </c>
      <c r="D934" s="1"/>
      <c r="E934" s="1"/>
      <c r="F934" s="1"/>
      <c r="G934" s="1"/>
      <c r="H934" s="1"/>
      <c r="I934" s="48"/>
      <c r="J934" s="48"/>
      <c r="K934" s="40"/>
      <c r="L934" s="48"/>
      <c r="M934" s="48"/>
      <c r="N934" s="48"/>
      <c r="O934" s="48"/>
      <c r="P934" s="38"/>
      <c r="Q934" s="48"/>
      <c r="R934" s="48"/>
      <c r="S934" s="48"/>
      <c r="T934" s="55"/>
    </row>
    <row r="935" spans="1:20" s="10" customFormat="1" ht="15.95" customHeight="1" x14ac:dyDescent="0.25">
      <c r="A935" s="77"/>
      <c r="B935" s="27" t="s">
        <v>3</v>
      </c>
      <c r="C935" s="2">
        <f t="shared" si="210"/>
        <v>0</v>
      </c>
      <c r="D935" s="1"/>
      <c r="E935" s="1"/>
      <c r="F935" s="1"/>
      <c r="G935" s="1"/>
      <c r="H935" s="1"/>
      <c r="I935" s="48"/>
      <c r="J935" s="48"/>
      <c r="K935" s="41"/>
      <c r="L935" s="48"/>
      <c r="M935" s="48"/>
      <c r="N935" s="48"/>
      <c r="O935" s="48"/>
      <c r="P935" s="38"/>
      <c r="Q935" s="48"/>
      <c r="R935" s="48"/>
      <c r="S935" s="48"/>
      <c r="T935" s="55"/>
    </row>
    <row r="936" spans="1:20" s="10" customFormat="1" ht="15.95" customHeight="1" x14ac:dyDescent="0.25">
      <c r="A936" s="75" t="s">
        <v>676</v>
      </c>
      <c r="B936" s="115" t="s">
        <v>470</v>
      </c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6"/>
    </row>
    <row r="937" spans="1:20" s="10" customFormat="1" ht="15.95" customHeight="1" x14ac:dyDescent="0.25">
      <c r="A937" s="76"/>
      <c r="B937" s="83" t="s">
        <v>434</v>
      </c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1"/>
    </row>
    <row r="938" spans="1:20" s="10" customFormat="1" ht="45" customHeight="1" x14ac:dyDescent="0.25">
      <c r="A938" s="76"/>
      <c r="B938" s="45" t="s">
        <v>722</v>
      </c>
      <c r="C938" s="46"/>
      <c r="D938" s="46"/>
      <c r="E938" s="46"/>
      <c r="F938" s="46"/>
      <c r="G938" s="46"/>
      <c r="H938" s="47"/>
      <c r="I938" s="48"/>
      <c r="J938" s="48">
        <v>2022</v>
      </c>
      <c r="K938" s="48" t="s">
        <v>388</v>
      </c>
      <c r="L938" s="48" t="s">
        <v>672</v>
      </c>
      <c r="M938" s="48" t="s">
        <v>482</v>
      </c>
      <c r="N938" s="48" t="s">
        <v>480</v>
      </c>
      <c r="O938" s="48" t="s">
        <v>49</v>
      </c>
      <c r="P938" s="38"/>
      <c r="Q938" s="48" t="s">
        <v>29</v>
      </c>
      <c r="R938" s="48" t="s">
        <v>8</v>
      </c>
      <c r="S938" s="48" t="s">
        <v>24</v>
      </c>
      <c r="T938" s="55"/>
    </row>
    <row r="939" spans="1:20" s="10" customFormat="1" ht="15.95" customHeight="1" x14ac:dyDescent="0.25">
      <c r="A939" s="76"/>
      <c r="B939" s="27" t="s">
        <v>5</v>
      </c>
      <c r="C939" s="2">
        <f t="shared" ref="C939:C940" si="211">D939+E939+F939+G939+H939</f>
        <v>3129</v>
      </c>
      <c r="D939" s="2">
        <f t="shared" ref="D939:H939" si="212">SUM(D940:D943)</f>
        <v>3129</v>
      </c>
      <c r="E939" s="2">
        <f t="shared" si="212"/>
        <v>0</v>
      </c>
      <c r="F939" s="2">
        <f t="shared" si="212"/>
        <v>0</v>
      </c>
      <c r="G939" s="2">
        <f t="shared" si="212"/>
        <v>0</v>
      </c>
      <c r="H939" s="2">
        <f t="shared" si="212"/>
        <v>0</v>
      </c>
      <c r="I939" s="48"/>
      <c r="J939" s="48"/>
      <c r="K939" s="48"/>
      <c r="L939" s="48"/>
      <c r="M939" s="48"/>
      <c r="N939" s="48"/>
      <c r="O939" s="48"/>
      <c r="P939" s="38"/>
      <c r="Q939" s="48"/>
      <c r="R939" s="48"/>
      <c r="S939" s="48"/>
      <c r="T939" s="55"/>
    </row>
    <row r="940" spans="1:20" s="10" customFormat="1" ht="15.95" customHeight="1" x14ac:dyDescent="0.25">
      <c r="A940" s="76"/>
      <c r="B940" s="27" t="s">
        <v>0</v>
      </c>
      <c r="C940" s="2">
        <f t="shared" si="211"/>
        <v>0</v>
      </c>
      <c r="D940" s="1"/>
      <c r="E940" s="1"/>
      <c r="F940" s="1"/>
      <c r="G940" s="1"/>
      <c r="H940" s="1"/>
      <c r="I940" s="48"/>
      <c r="J940" s="48"/>
      <c r="K940" s="48"/>
      <c r="L940" s="48"/>
      <c r="M940" s="48"/>
      <c r="N940" s="48"/>
      <c r="O940" s="48"/>
      <c r="P940" s="38"/>
      <c r="Q940" s="48"/>
      <c r="R940" s="48"/>
      <c r="S940" s="48"/>
      <c r="T940" s="55"/>
    </row>
    <row r="941" spans="1:20" s="10" customFormat="1" ht="15.95" customHeight="1" x14ac:dyDescent="0.25">
      <c r="A941" s="76"/>
      <c r="B941" s="27" t="s">
        <v>1</v>
      </c>
      <c r="C941" s="2">
        <f>D941+E941+F941+G941+H941</f>
        <v>3129</v>
      </c>
      <c r="D941" s="1">
        <v>3129</v>
      </c>
      <c r="E941" s="1"/>
      <c r="F941" s="1"/>
      <c r="G941" s="1"/>
      <c r="H941" s="1"/>
      <c r="I941" s="48"/>
      <c r="J941" s="48"/>
      <c r="K941" s="48"/>
      <c r="L941" s="48"/>
      <c r="M941" s="48"/>
      <c r="N941" s="48"/>
      <c r="O941" s="48"/>
      <c r="P941" s="38"/>
      <c r="Q941" s="48"/>
      <c r="R941" s="48"/>
      <c r="S941" s="48"/>
      <c r="T941" s="55"/>
    </row>
    <row r="942" spans="1:20" s="10" customFormat="1" ht="15.95" customHeight="1" x14ac:dyDescent="0.25">
      <c r="A942" s="76"/>
      <c r="B942" s="27" t="s">
        <v>2</v>
      </c>
      <c r="C942" s="2">
        <f t="shared" ref="C942:C943" si="213">D942+E942+F942+G942+H942</f>
        <v>0</v>
      </c>
      <c r="D942" s="1"/>
      <c r="E942" s="1"/>
      <c r="F942" s="1"/>
      <c r="G942" s="1"/>
      <c r="H942" s="1"/>
      <c r="I942" s="48"/>
      <c r="J942" s="48"/>
      <c r="K942" s="48"/>
      <c r="L942" s="48"/>
      <c r="M942" s="48"/>
      <c r="N942" s="48"/>
      <c r="O942" s="48"/>
      <c r="P942" s="38"/>
      <c r="Q942" s="48"/>
      <c r="R942" s="48"/>
      <c r="S942" s="48"/>
      <c r="T942" s="55"/>
    </row>
    <row r="943" spans="1:20" s="10" customFormat="1" ht="15.95" customHeight="1" x14ac:dyDescent="0.25">
      <c r="A943" s="77"/>
      <c r="B943" s="27" t="s">
        <v>3</v>
      </c>
      <c r="C943" s="2">
        <f t="shared" si="213"/>
        <v>0</v>
      </c>
      <c r="D943" s="1"/>
      <c r="E943" s="1"/>
      <c r="F943" s="1"/>
      <c r="G943" s="1"/>
      <c r="H943" s="1"/>
      <c r="I943" s="48"/>
      <c r="J943" s="48"/>
      <c r="K943" s="48"/>
      <c r="L943" s="48"/>
      <c r="M943" s="48"/>
      <c r="N943" s="48"/>
      <c r="O943" s="48"/>
      <c r="P943" s="38"/>
      <c r="Q943" s="48"/>
      <c r="R943" s="48"/>
      <c r="S943" s="48"/>
      <c r="T943" s="55"/>
    </row>
    <row r="944" spans="1:20" s="10" customFormat="1" ht="15.95" customHeight="1" x14ac:dyDescent="0.25">
      <c r="A944" s="75" t="s">
        <v>678</v>
      </c>
      <c r="B944" s="115" t="s">
        <v>470</v>
      </c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6"/>
    </row>
    <row r="945" spans="1:20" s="10" customFormat="1" ht="15.95" customHeight="1" x14ac:dyDescent="0.25">
      <c r="A945" s="76"/>
      <c r="B945" s="83" t="s">
        <v>434</v>
      </c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1"/>
    </row>
    <row r="946" spans="1:20" s="10" customFormat="1" ht="45" customHeight="1" x14ac:dyDescent="0.25">
      <c r="A946" s="76"/>
      <c r="B946" s="45" t="s">
        <v>713</v>
      </c>
      <c r="C946" s="46"/>
      <c r="D946" s="46"/>
      <c r="E946" s="46"/>
      <c r="F946" s="46"/>
      <c r="G946" s="46"/>
      <c r="H946" s="47"/>
      <c r="I946" s="48"/>
      <c r="J946" s="48">
        <v>2022</v>
      </c>
      <c r="K946" s="48" t="s">
        <v>388</v>
      </c>
      <c r="L946" s="48" t="s">
        <v>674</v>
      </c>
      <c r="M946" s="48" t="s">
        <v>482</v>
      </c>
      <c r="N946" s="48" t="s">
        <v>480</v>
      </c>
      <c r="O946" s="48" t="s">
        <v>49</v>
      </c>
      <c r="P946" s="38"/>
      <c r="Q946" s="48" t="s">
        <v>29</v>
      </c>
      <c r="R946" s="48" t="s">
        <v>8</v>
      </c>
      <c r="S946" s="48" t="s">
        <v>24</v>
      </c>
      <c r="T946" s="55"/>
    </row>
    <row r="947" spans="1:20" s="10" customFormat="1" ht="15.95" customHeight="1" x14ac:dyDescent="0.25">
      <c r="A947" s="76"/>
      <c r="B947" s="27" t="s">
        <v>5</v>
      </c>
      <c r="C947" s="2">
        <f t="shared" ref="C947:C948" si="214">D947+E947+F947+G947+H947</f>
        <v>3600</v>
      </c>
      <c r="D947" s="2">
        <f t="shared" ref="D947:H947" si="215">SUM(D948:D951)</f>
        <v>3600</v>
      </c>
      <c r="E947" s="2">
        <f t="shared" si="215"/>
        <v>0</v>
      </c>
      <c r="F947" s="2">
        <f t="shared" si="215"/>
        <v>0</v>
      </c>
      <c r="G947" s="2">
        <f t="shared" si="215"/>
        <v>0</v>
      </c>
      <c r="H947" s="2">
        <f t="shared" si="215"/>
        <v>0</v>
      </c>
      <c r="I947" s="48"/>
      <c r="J947" s="48"/>
      <c r="K947" s="48"/>
      <c r="L947" s="48"/>
      <c r="M947" s="48"/>
      <c r="N947" s="48"/>
      <c r="O947" s="48"/>
      <c r="P947" s="38"/>
      <c r="Q947" s="48"/>
      <c r="R947" s="48"/>
      <c r="S947" s="48"/>
      <c r="T947" s="55"/>
    </row>
    <row r="948" spans="1:20" s="10" customFormat="1" ht="15.95" customHeight="1" x14ac:dyDescent="0.25">
      <c r="A948" s="76"/>
      <c r="B948" s="27" t="s">
        <v>0</v>
      </c>
      <c r="C948" s="2">
        <f t="shared" si="214"/>
        <v>0</v>
      </c>
      <c r="D948" s="1"/>
      <c r="E948" s="1"/>
      <c r="F948" s="1"/>
      <c r="G948" s="1"/>
      <c r="H948" s="1"/>
      <c r="I948" s="48"/>
      <c r="J948" s="48"/>
      <c r="K948" s="48"/>
      <c r="L948" s="48"/>
      <c r="M948" s="48"/>
      <c r="N948" s="48"/>
      <c r="O948" s="48"/>
      <c r="P948" s="38"/>
      <c r="Q948" s="48"/>
      <c r="R948" s="48"/>
      <c r="S948" s="48"/>
      <c r="T948" s="55"/>
    </row>
    <row r="949" spans="1:20" s="10" customFormat="1" ht="15.95" customHeight="1" x14ac:dyDescent="0.25">
      <c r="A949" s="76"/>
      <c r="B949" s="27" t="s">
        <v>1</v>
      </c>
      <c r="C949" s="2">
        <f>D949+E949+F949+G949+H949</f>
        <v>3600</v>
      </c>
      <c r="D949" s="1">
        <v>3600</v>
      </c>
      <c r="E949" s="1"/>
      <c r="F949" s="1"/>
      <c r="G949" s="1"/>
      <c r="H949" s="1"/>
      <c r="I949" s="48"/>
      <c r="J949" s="48"/>
      <c r="K949" s="48"/>
      <c r="L949" s="48"/>
      <c r="M949" s="48"/>
      <c r="N949" s="48"/>
      <c r="O949" s="48"/>
      <c r="P949" s="38"/>
      <c r="Q949" s="48"/>
      <c r="R949" s="48"/>
      <c r="S949" s="48"/>
      <c r="T949" s="55"/>
    </row>
    <row r="950" spans="1:20" s="10" customFormat="1" ht="15.95" customHeight="1" x14ac:dyDescent="0.25">
      <c r="A950" s="76"/>
      <c r="B950" s="27" t="s">
        <v>2</v>
      </c>
      <c r="C950" s="2">
        <f t="shared" ref="C950:C951" si="216">D950+E950+F950+G950+H950</f>
        <v>0</v>
      </c>
      <c r="D950" s="1"/>
      <c r="E950" s="1"/>
      <c r="F950" s="1"/>
      <c r="G950" s="1"/>
      <c r="H950" s="1"/>
      <c r="I950" s="48"/>
      <c r="J950" s="48"/>
      <c r="K950" s="48"/>
      <c r="L950" s="48"/>
      <c r="M950" s="48"/>
      <c r="N950" s="48"/>
      <c r="O950" s="48"/>
      <c r="P950" s="38"/>
      <c r="Q950" s="48"/>
      <c r="R950" s="48"/>
      <c r="S950" s="48"/>
      <c r="T950" s="55"/>
    </row>
    <row r="951" spans="1:20" s="10" customFormat="1" ht="15.95" customHeight="1" x14ac:dyDescent="0.25">
      <c r="A951" s="77"/>
      <c r="B951" s="27" t="s">
        <v>3</v>
      </c>
      <c r="C951" s="2">
        <f t="shared" si="216"/>
        <v>0</v>
      </c>
      <c r="D951" s="1"/>
      <c r="E951" s="1"/>
      <c r="F951" s="1"/>
      <c r="G951" s="1"/>
      <c r="H951" s="1"/>
      <c r="I951" s="48"/>
      <c r="J951" s="48"/>
      <c r="K951" s="48"/>
      <c r="L951" s="48"/>
      <c r="M951" s="48"/>
      <c r="N951" s="48"/>
      <c r="O951" s="48"/>
      <c r="P951" s="38"/>
      <c r="Q951" s="48"/>
      <c r="R951" s="48"/>
      <c r="S951" s="48"/>
      <c r="T951" s="55"/>
    </row>
    <row r="952" spans="1:20" s="10" customFormat="1" ht="15.95" customHeight="1" x14ac:dyDescent="0.25">
      <c r="A952" s="75" t="s">
        <v>679</v>
      </c>
      <c r="B952" s="115" t="s">
        <v>470</v>
      </c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6"/>
    </row>
    <row r="953" spans="1:20" s="10" customFormat="1" ht="15.95" customHeight="1" x14ac:dyDescent="0.25">
      <c r="A953" s="76"/>
      <c r="B953" s="83" t="s">
        <v>434</v>
      </c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1"/>
    </row>
    <row r="954" spans="1:20" s="10" customFormat="1" ht="45" customHeight="1" x14ac:dyDescent="0.25">
      <c r="A954" s="76"/>
      <c r="B954" s="45" t="s">
        <v>721</v>
      </c>
      <c r="C954" s="46"/>
      <c r="D954" s="46"/>
      <c r="E954" s="46"/>
      <c r="F954" s="46"/>
      <c r="G954" s="46"/>
      <c r="H954" s="47"/>
      <c r="I954" s="48"/>
      <c r="J954" s="48">
        <v>2022</v>
      </c>
      <c r="K954" s="48" t="s">
        <v>388</v>
      </c>
      <c r="L954" s="48"/>
      <c r="M954" s="48" t="s">
        <v>482</v>
      </c>
      <c r="N954" s="48" t="s">
        <v>480</v>
      </c>
      <c r="O954" s="48" t="s">
        <v>49</v>
      </c>
      <c r="P954" s="38"/>
      <c r="Q954" s="48" t="s">
        <v>29</v>
      </c>
      <c r="R954" s="48" t="s">
        <v>8</v>
      </c>
      <c r="S954" s="48" t="s">
        <v>24</v>
      </c>
      <c r="T954" s="55"/>
    </row>
    <row r="955" spans="1:20" s="10" customFormat="1" ht="15.95" customHeight="1" x14ac:dyDescent="0.25">
      <c r="A955" s="76"/>
      <c r="B955" s="27" t="s">
        <v>5</v>
      </c>
      <c r="C955" s="2">
        <f t="shared" ref="C955:C956" si="217">D955+E955+F955+G955+H955</f>
        <v>4800</v>
      </c>
      <c r="D955" s="2">
        <f t="shared" ref="D955:H955" si="218">SUM(D956:D959)</f>
        <v>4800</v>
      </c>
      <c r="E955" s="2">
        <f t="shared" si="218"/>
        <v>0</v>
      </c>
      <c r="F955" s="2">
        <f t="shared" si="218"/>
        <v>0</v>
      </c>
      <c r="G955" s="2">
        <f t="shared" si="218"/>
        <v>0</v>
      </c>
      <c r="H955" s="2">
        <f t="shared" si="218"/>
        <v>0</v>
      </c>
      <c r="I955" s="48"/>
      <c r="J955" s="48"/>
      <c r="K955" s="48"/>
      <c r="L955" s="48"/>
      <c r="M955" s="48"/>
      <c r="N955" s="48"/>
      <c r="O955" s="48"/>
      <c r="P955" s="38"/>
      <c r="Q955" s="48"/>
      <c r="R955" s="48"/>
      <c r="S955" s="48"/>
      <c r="T955" s="55"/>
    </row>
    <row r="956" spans="1:20" s="10" customFormat="1" ht="15.95" customHeight="1" x14ac:dyDescent="0.25">
      <c r="A956" s="76"/>
      <c r="B956" s="27" t="s">
        <v>0</v>
      </c>
      <c r="C956" s="2">
        <f t="shared" si="217"/>
        <v>0</v>
      </c>
      <c r="D956" s="1"/>
      <c r="E956" s="1"/>
      <c r="F956" s="1"/>
      <c r="G956" s="1"/>
      <c r="H956" s="1"/>
      <c r="I956" s="48"/>
      <c r="J956" s="48"/>
      <c r="K956" s="48"/>
      <c r="L956" s="48"/>
      <c r="M956" s="48"/>
      <c r="N956" s="48"/>
      <c r="O956" s="48"/>
      <c r="P956" s="38"/>
      <c r="Q956" s="48"/>
      <c r="R956" s="48"/>
      <c r="S956" s="48"/>
      <c r="T956" s="55"/>
    </row>
    <row r="957" spans="1:20" s="10" customFormat="1" ht="15.95" customHeight="1" x14ac:dyDescent="0.25">
      <c r="A957" s="76"/>
      <c r="B957" s="27" t="s">
        <v>1</v>
      </c>
      <c r="C957" s="2">
        <f>D957+E957+F957+G957+H957</f>
        <v>4800</v>
      </c>
      <c r="D957" s="1">
        <v>4800</v>
      </c>
      <c r="E957" s="1"/>
      <c r="F957" s="1"/>
      <c r="G957" s="1"/>
      <c r="H957" s="1"/>
      <c r="I957" s="48"/>
      <c r="J957" s="48"/>
      <c r="K957" s="48"/>
      <c r="L957" s="48"/>
      <c r="M957" s="48"/>
      <c r="N957" s="48"/>
      <c r="O957" s="48"/>
      <c r="P957" s="38"/>
      <c r="Q957" s="48"/>
      <c r="R957" s="48"/>
      <c r="S957" s="48"/>
      <c r="T957" s="55"/>
    </row>
    <row r="958" spans="1:20" s="10" customFormat="1" ht="15.95" customHeight="1" x14ac:dyDescent="0.25">
      <c r="A958" s="76"/>
      <c r="B958" s="27" t="s">
        <v>2</v>
      </c>
      <c r="C958" s="2">
        <f t="shared" ref="C958:C959" si="219">D958+E958+F958+G958+H958</f>
        <v>0</v>
      </c>
      <c r="D958" s="1"/>
      <c r="E958" s="1"/>
      <c r="F958" s="1"/>
      <c r="G958" s="1"/>
      <c r="H958" s="1"/>
      <c r="I958" s="48"/>
      <c r="J958" s="48"/>
      <c r="K958" s="48"/>
      <c r="L958" s="48"/>
      <c r="M958" s="48"/>
      <c r="N958" s="48"/>
      <c r="O958" s="48"/>
      <c r="P958" s="38"/>
      <c r="Q958" s="48"/>
      <c r="R958" s="48"/>
      <c r="S958" s="48"/>
      <c r="T958" s="55"/>
    </row>
    <row r="959" spans="1:20" s="10" customFormat="1" ht="15.95" customHeight="1" x14ac:dyDescent="0.25">
      <c r="A959" s="77"/>
      <c r="B959" s="27" t="s">
        <v>3</v>
      </c>
      <c r="C959" s="2">
        <f t="shared" si="219"/>
        <v>0</v>
      </c>
      <c r="D959" s="1"/>
      <c r="E959" s="1"/>
      <c r="F959" s="1"/>
      <c r="G959" s="1"/>
      <c r="H959" s="1"/>
      <c r="I959" s="48"/>
      <c r="J959" s="48"/>
      <c r="K959" s="48"/>
      <c r="L959" s="48"/>
      <c r="M959" s="48"/>
      <c r="N959" s="48"/>
      <c r="O959" s="48"/>
      <c r="P959" s="38"/>
      <c r="Q959" s="48"/>
      <c r="R959" s="48"/>
      <c r="S959" s="48"/>
      <c r="T959" s="55"/>
    </row>
    <row r="960" spans="1:20" s="10" customFormat="1" ht="15.95" customHeight="1" x14ac:dyDescent="0.25">
      <c r="A960" s="75" t="s">
        <v>681</v>
      </c>
      <c r="B960" s="115" t="s">
        <v>470</v>
      </c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6"/>
    </row>
    <row r="961" spans="1:20" s="10" customFormat="1" ht="15.95" customHeight="1" x14ac:dyDescent="0.25">
      <c r="A961" s="76"/>
      <c r="B961" s="83" t="s">
        <v>434</v>
      </c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1"/>
    </row>
    <row r="962" spans="1:20" s="10" customFormat="1" ht="45" customHeight="1" x14ac:dyDescent="0.25">
      <c r="A962" s="76"/>
      <c r="B962" s="45" t="s">
        <v>714</v>
      </c>
      <c r="C962" s="46"/>
      <c r="D962" s="46"/>
      <c r="E962" s="46"/>
      <c r="F962" s="46"/>
      <c r="G962" s="46"/>
      <c r="H962" s="47"/>
      <c r="I962" s="48"/>
      <c r="J962" s="48">
        <v>2022</v>
      </c>
      <c r="K962" s="48" t="s">
        <v>388</v>
      </c>
      <c r="L962" s="48" t="s">
        <v>677</v>
      </c>
      <c r="M962" s="48" t="s">
        <v>482</v>
      </c>
      <c r="N962" s="48" t="s">
        <v>480</v>
      </c>
      <c r="O962" s="48" t="s">
        <v>49</v>
      </c>
      <c r="P962" s="38"/>
      <c r="Q962" s="48" t="s">
        <v>29</v>
      </c>
      <c r="R962" s="48" t="s">
        <v>8</v>
      </c>
      <c r="S962" s="48" t="s">
        <v>24</v>
      </c>
      <c r="T962" s="55"/>
    </row>
    <row r="963" spans="1:20" s="10" customFormat="1" ht="15.95" customHeight="1" x14ac:dyDescent="0.25">
      <c r="A963" s="76"/>
      <c r="B963" s="27" t="s">
        <v>5</v>
      </c>
      <c r="C963" s="2">
        <f t="shared" ref="C963:C964" si="220">D963+E963+F963+G963+H963</f>
        <v>11700</v>
      </c>
      <c r="D963" s="2">
        <f t="shared" ref="D963:H963" si="221">SUM(D964:D967)</f>
        <v>11700</v>
      </c>
      <c r="E963" s="2">
        <f t="shared" si="221"/>
        <v>0</v>
      </c>
      <c r="F963" s="2">
        <f t="shared" si="221"/>
        <v>0</v>
      </c>
      <c r="G963" s="2">
        <f t="shared" si="221"/>
        <v>0</v>
      </c>
      <c r="H963" s="2">
        <f t="shared" si="221"/>
        <v>0</v>
      </c>
      <c r="I963" s="48"/>
      <c r="J963" s="48"/>
      <c r="K963" s="48"/>
      <c r="L963" s="48"/>
      <c r="M963" s="48"/>
      <c r="N963" s="48"/>
      <c r="O963" s="48"/>
      <c r="P963" s="38"/>
      <c r="Q963" s="48"/>
      <c r="R963" s="48"/>
      <c r="S963" s="48"/>
      <c r="T963" s="55"/>
    </row>
    <row r="964" spans="1:20" s="10" customFormat="1" ht="15.95" customHeight="1" x14ac:dyDescent="0.25">
      <c r="A964" s="76"/>
      <c r="B964" s="27" t="s">
        <v>0</v>
      </c>
      <c r="C964" s="2">
        <f t="shared" si="220"/>
        <v>0</v>
      </c>
      <c r="D964" s="1"/>
      <c r="E964" s="1"/>
      <c r="F964" s="1"/>
      <c r="G964" s="1"/>
      <c r="H964" s="1"/>
      <c r="I964" s="48"/>
      <c r="J964" s="48"/>
      <c r="K964" s="48"/>
      <c r="L964" s="48"/>
      <c r="M964" s="48"/>
      <c r="N964" s="48"/>
      <c r="O964" s="48"/>
      <c r="P964" s="38"/>
      <c r="Q964" s="48"/>
      <c r="R964" s="48"/>
      <c r="S964" s="48"/>
      <c r="T964" s="55"/>
    </row>
    <row r="965" spans="1:20" s="10" customFormat="1" ht="15.95" customHeight="1" x14ac:dyDescent="0.25">
      <c r="A965" s="76"/>
      <c r="B965" s="27" t="s">
        <v>1</v>
      </c>
      <c r="C965" s="2">
        <f>D965+E965+F965+G965+H965</f>
        <v>11700</v>
      </c>
      <c r="D965" s="1">
        <f>21700-10000</f>
        <v>11700</v>
      </c>
      <c r="E965" s="1"/>
      <c r="F965" s="1"/>
      <c r="G965" s="1"/>
      <c r="H965" s="1"/>
      <c r="I965" s="48"/>
      <c r="J965" s="48"/>
      <c r="K965" s="48"/>
      <c r="L965" s="48"/>
      <c r="M965" s="48"/>
      <c r="N965" s="48"/>
      <c r="O965" s="48"/>
      <c r="P965" s="38"/>
      <c r="Q965" s="48"/>
      <c r="R965" s="48"/>
      <c r="S965" s="48"/>
      <c r="T965" s="55"/>
    </row>
    <row r="966" spans="1:20" s="10" customFormat="1" ht="15.95" customHeight="1" x14ac:dyDescent="0.25">
      <c r="A966" s="76"/>
      <c r="B966" s="27" t="s">
        <v>2</v>
      </c>
      <c r="C966" s="2">
        <f t="shared" ref="C966:C967" si="222">D966+E966+F966+G966+H966</f>
        <v>0</v>
      </c>
      <c r="D966" s="1"/>
      <c r="E966" s="1"/>
      <c r="F966" s="1"/>
      <c r="G966" s="1"/>
      <c r="H966" s="1"/>
      <c r="I966" s="48"/>
      <c r="J966" s="48"/>
      <c r="K966" s="48"/>
      <c r="L966" s="48"/>
      <c r="M966" s="48"/>
      <c r="N966" s="48"/>
      <c r="O966" s="48"/>
      <c r="P966" s="38"/>
      <c r="Q966" s="48"/>
      <c r="R966" s="48"/>
      <c r="S966" s="48"/>
      <c r="T966" s="55"/>
    </row>
    <row r="967" spans="1:20" s="10" customFormat="1" ht="15.95" customHeight="1" x14ac:dyDescent="0.25">
      <c r="A967" s="77"/>
      <c r="B967" s="27" t="s">
        <v>3</v>
      </c>
      <c r="C967" s="2">
        <f t="shared" si="222"/>
        <v>0</v>
      </c>
      <c r="D967" s="1"/>
      <c r="E967" s="1"/>
      <c r="F967" s="1"/>
      <c r="G967" s="1"/>
      <c r="H967" s="1"/>
      <c r="I967" s="48"/>
      <c r="J967" s="48"/>
      <c r="K967" s="48"/>
      <c r="L967" s="48"/>
      <c r="M967" s="48"/>
      <c r="N967" s="48"/>
      <c r="O967" s="48"/>
      <c r="P967" s="38"/>
      <c r="Q967" s="48"/>
      <c r="R967" s="48"/>
      <c r="S967" s="48"/>
      <c r="T967" s="55"/>
    </row>
    <row r="968" spans="1:20" s="10" customFormat="1" ht="15.95" customHeight="1" x14ac:dyDescent="0.25">
      <c r="A968" s="75" t="s">
        <v>683</v>
      </c>
      <c r="B968" s="115" t="s">
        <v>470</v>
      </c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6"/>
    </row>
    <row r="969" spans="1:20" s="10" customFormat="1" ht="15.95" customHeight="1" x14ac:dyDescent="0.25">
      <c r="A969" s="76"/>
      <c r="B969" s="83" t="s">
        <v>434</v>
      </c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1"/>
    </row>
    <row r="970" spans="1:20" s="10" customFormat="1" ht="45" customHeight="1" x14ac:dyDescent="0.25">
      <c r="A970" s="76"/>
      <c r="B970" s="45" t="s">
        <v>715</v>
      </c>
      <c r="C970" s="46"/>
      <c r="D970" s="46"/>
      <c r="E970" s="46"/>
      <c r="F970" s="46"/>
      <c r="G970" s="46"/>
      <c r="H970" s="47"/>
      <c r="I970" s="48"/>
      <c r="J970" s="48">
        <v>2022</v>
      </c>
      <c r="K970" s="48" t="s">
        <v>388</v>
      </c>
      <c r="L970" s="48"/>
      <c r="M970" s="48" t="s">
        <v>482</v>
      </c>
      <c r="N970" s="48" t="s">
        <v>480</v>
      </c>
      <c r="O970" s="48" t="s">
        <v>49</v>
      </c>
      <c r="P970" s="38"/>
      <c r="Q970" s="48" t="s">
        <v>29</v>
      </c>
      <c r="R970" s="48" t="s">
        <v>8</v>
      </c>
      <c r="S970" s="48" t="s">
        <v>24</v>
      </c>
      <c r="T970" s="55"/>
    </row>
    <row r="971" spans="1:20" s="10" customFormat="1" ht="15.95" customHeight="1" x14ac:dyDescent="0.25">
      <c r="A971" s="76"/>
      <c r="B971" s="27" t="s">
        <v>5</v>
      </c>
      <c r="C971" s="2">
        <f t="shared" ref="C971:C972" si="223">D971+E971+F971+G971+H971</f>
        <v>8990</v>
      </c>
      <c r="D971" s="2">
        <f t="shared" ref="D971:H971" si="224">SUM(D972:D975)</f>
        <v>8990</v>
      </c>
      <c r="E971" s="2">
        <f t="shared" si="224"/>
        <v>0</v>
      </c>
      <c r="F971" s="2">
        <f t="shared" si="224"/>
        <v>0</v>
      </c>
      <c r="G971" s="2">
        <f t="shared" si="224"/>
        <v>0</v>
      </c>
      <c r="H971" s="2">
        <f t="shared" si="224"/>
        <v>0</v>
      </c>
      <c r="I971" s="48"/>
      <c r="J971" s="48"/>
      <c r="K971" s="48"/>
      <c r="L971" s="48"/>
      <c r="M971" s="48"/>
      <c r="N971" s="48"/>
      <c r="O971" s="48"/>
      <c r="P971" s="38"/>
      <c r="Q971" s="48"/>
      <c r="R971" s="48"/>
      <c r="S971" s="48"/>
      <c r="T971" s="55"/>
    </row>
    <row r="972" spans="1:20" s="10" customFormat="1" ht="15.95" customHeight="1" x14ac:dyDescent="0.25">
      <c r="A972" s="76"/>
      <c r="B972" s="27" t="s">
        <v>0</v>
      </c>
      <c r="C972" s="2">
        <f t="shared" si="223"/>
        <v>0</v>
      </c>
      <c r="D972" s="1"/>
      <c r="E972" s="1"/>
      <c r="F972" s="1"/>
      <c r="G972" s="1"/>
      <c r="H972" s="1"/>
      <c r="I972" s="48"/>
      <c r="J972" s="48"/>
      <c r="K972" s="48"/>
      <c r="L972" s="48"/>
      <c r="M972" s="48"/>
      <c r="N972" s="48"/>
      <c r="O972" s="48"/>
      <c r="P972" s="38"/>
      <c r="Q972" s="48"/>
      <c r="R972" s="48"/>
      <c r="S972" s="48"/>
      <c r="T972" s="55"/>
    </row>
    <row r="973" spans="1:20" s="10" customFormat="1" ht="15.95" customHeight="1" x14ac:dyDescent="0.25">
      <c r="A973" s="76"/>
      <c r="B973" s="27" t="s">
        <v>1</v>
      </c>
      <c r="C973" s="2">
        <f>D973+E973+F973+G973+H973</f>
        <v>8990</v>
      </c>
      <c r="D973" s="1">
        <v>8990</v>
      </c>
      <c r="E973" s="1"/>
      <c r="F973" s="1"/>
      <c r="G973" s="1"/>
      <c r="H973" s="1"/>
      <c r="I973" s="48"/>
      <c r="J973" s="48"/>
      <c r="K973" s="48"/>
      <c r="L973" s="48"/>
      <c r="M973" s="48"/>
      <c r="N973" s="48"/>
      <c r="O973" s="48"/>
      <c r="P973" s="38"/>
      <c r="Q973" s="48"/>
      <c r="R973" s="48"/>
      <c r="S973" s="48"/>
      <c r="T973" s="55"/>
    </row>
    <row r="974" spans="1:20" s="10" customFormat="1" ht="15.95" customHeight="1" x14ac:dyDescent="0.25">
      <c r="A974" s="76"/>
      <c r="B974" s="27" t="s">
        <v>2</v>
      </c>
      <c r="C974" s="2">
        <f t="shared" ref="C974:C975" si="225">D974+E974+F974+G974+H974</f>
        <v>0</v>
      </c>
      <c r="D974" s="1"/>
      <c r="E974" s="1"/>
      <c r="F974" s="1"/>
      <c r="G974" s="1"/>
      <c r="H974" s="1"/>
      <c r="I974" s="48"/>
      <c r="J974" s="48"/>
      <c r="K974" s="48"/>
      <c r="L974" s="48"/>
      <c r="M974" s="48"/>
      <c r="N974" s="48"/>
      <c r="O974" s="48"/>
      <c r="P974" s="38"/>
      <c r="Q974" s="48"/>
      <c r="R974" s="48"/>
      <c r="S974" s="48"/>
      <c r="T974" s="55"/>
    </row>
    <row r="975" spans="1:20" s="10" customFormat="1" ht="15.95" customHeight="1" x14ac:dyDescent="0.25">
      <c r="A975" s="77"/>
      <c r="B975" s="27" t="s">
        <v>3</v>
      </c>
      <c r="C975" s="2">
        <f t="shared" si="225"/>
        <v>0</v>
      </c>
      <c r="D975" s="1"/>
      <c r="E975" s="1"/>
      <c r="F975" s="1"/>
      <c r="G975" s="1"/>
      <c r="H975" s="1"/>
      <c r="I975" s="48"/>
      <c r="J975" s="48"/>
      <c r="K975" s="48"/>
      <c r="L975" s="48"/>
      <c r="M975" s="48"/>
      <c r="N975" s="48"/>
      <c r="O975" s="48"/>
      <c r="P975" s="38"/>
      <c r="Q975" s="48"/>
      <c r="R975" s="48"/>
      <c r="S975" s="48"/>
      <c r="T975" s="55"/>
    </row>
    <row r="976" spans="1:20" s="10" customFormat="1" ht="15.95" customHeight="1" x14ac:dyDescent="0.25">
      <c r="A976" s="75" t="s">
        <v>684</v>
      </c>
      <c r="B976" s="115" t="s">
        <v>470</v>
      </c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6"/>
    </row>
    <row r="977" spans="1:20" s="10" customFormat="1" ht="15.95" customHeight="1" x14ac:dyDescent="0.25">
      <c r="A977" s="76"/>
      <c r="B977" s="83" t="s">
        <v>434</v>
      </c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1"/>
    </row>
    <row r="978" spans="1:20" s="10" customFormat="1" ht="45" customHeight="1" x14ac:dyDescent="0.25">
      <c r="A978" s="76"/>
      <c r="B978" s="45" t="s">
        <v>716</v>
      </c>
      <c r="C978" s="46"/>
      <c r="D978" s="46"/>
      <c r="E978" s="46"/>
      <c r="F978" s="46"/>
      <c r="G978" s="46"/>
      <c r="H978" s="47"/>
      <c r="I978" s="48"/>
      <c r="J978" s="48">
        <v>2022</v>
      </c>
      <c r="K978" s="48" t="s">
        <v>388</v>
      </c>
      <c r="L978" s="48" t="s">
        <v>680</v>
      </c>
      <c r="M978" s="48" t="s">
        <v>482</v>
      </c>
      <c r="N978" s="48" t="s">
        <v>480</v>
      </c>
      <c r="O978" s="48" t="s">
        <v>49</v>
      </c>
      <c r="P978" s="38"/>
      <c r="Q978" s="48" t="s">
        <v>29</v>
      </c>
      <c r="R978" s="48" t="s">
        <v>8</v>
      </c>
      <c r="S978" s="48" t="s">
        <v>24</v>
      </c>
      <c r="T978" s="55"/>
    </row>
    <row r="979" spans="1:20" s="10" customFormat="1" ht="15.95" customHeight="1" x14ac:dyDescent="0.25">
      <c r="A979" s="76"/>
      <c r="B979" s="27" t="s">
        <v>5</v>
      </c>
      <c r="C979" s="2">
        <f t="shared" ref="C979:C980" si="226">D979+E979+F979+G979+H979</f>
        <v>19000</v>
      </c>
      <c r="D979" s="2">
        <f t="shared" ref="D979:H979" si="227">SUM(D980:D983)</f>
        <v>19000</v>
      </c>
      <c r="E979" s="2">
        <f t="shared" si="227"/>
        <v>0</v>
      </c>
      <c r="F979" s="2">
        <f t="shared" si="227"/>
        <v>0</v>
      </c>
      <c r="G979" s="2">
        <f t="shared" si="227"/>
        <v>0</v>
      </c>
      <c r="H979" s="2">
        <f t="shared" si="227"/>
        <v>0</v>
      </c>
      <c r="I979" s="48"/>
      <c r="J979" s="48"/>
      <c r="K979" s="48"/>
      <c r="L979" s="48"/>
      <c r="M979" s="48"/>
      <c r="N979" s="48"/>
      <c r="O979" s="48"/>
      <c r="P979" s="38"/>
      <c r="Q979" s="48"/>
      <c r="R979" s="48"/>
      <c r="S979" s="48"/>
      <c r="T979" s="55"/>
    </row>
    <row r="980" spans="1:20" s="10" customFormat="1" ht="15.95" customHeight="1" x14ac:dyDescent="0.25">
      <c r="A980" s="76"/>
      <c r="B980" s="27" t="s">
        <v>0</v>
      </c>
      <c r="C980" s="2">
        <f t="shared" si="226"/>
        <v>0</v>
      </c>
      <c r="D980" s="1"/>
      <c r="E980" s="1"/>
      <c r="F980" s="1"/>
      <c r="G980" s="1"/>
      <c r="H980" s="1"/>
      <c r="I980" s="48"/>
      <c r="J980" s="48"/>
      <c r="K980" s="48"/>
      <c r="L980" s="48"/>
      <c r="M980" s="48"/>
      <c r="N980" s="48"/>
      <c r="O980" s="48"/>
      <c r="P980" s="38"/>
      <c r="Q980" s="48"/>
      <c r="R980" s="48"/>
      <c r="S980" s="48"/>
      <c r="T980" s="55"/>
    </row>
    <row r="981" spans="1:20" s="10" customFormat="1" ht="15.95" customHeight="1" x14ac:dyDescent="0.25">
      <c r="A981" s="76"/>
      <c r="B981" s="27" t="s">
        <v>1</v>
      </c>
      <c r="C981" s="2">
        <f>D981+E981+F981+G981+H981</f>
        <v>19000</v>
      </c>
      <c r="D981" s="1">
        <v>19000</v>
      </c>
      <c r="E981" s="1"/>
      <c r="F981" s="1"/>
      <c r="G981" s="1"/>
      <c r="H981" s="1"/>
      <c r="I981" s="48"/>
      <c r="J981" s="48"/>
      <c r="K981" s="48"/>
      <c r="L981" s="48"/>
      <c r="M981" s="48"/>
      <c r="N981" s="48"/>
      <c r="O981" s="48"/>
      <c r="P981" s="38"/>
      <c r="Q981" s="48"/>
      <c r="R981" s="48"/>
      <c r="S981" s="48"/>
      <c r="T981" s="55"/>
    </row>
    <row r="982" spans="1:20" s="10" customFormat="1" ht="15.95" customHeight="1" x14ac:dyDescent="0.25">
      <c r="A982" s="76"/>
      <c r="B982" s="27" t="s">
        <v>2</v>
      </c>
      <c r="C982" s="2">
        <f t="shared" ref="C982:C983" si="228">D982+E982+F982+G982+H982</f>
        <v>0</v>
      </c>
      <c r="D982" s="1"/>
      <c r="E982" s="1"/>
      <c r="F982" s="1"/>
      <c r="G982" s="1"/>
      <c r="H982" s="1"/>
      <c r="I982" s="48"/>
      <c r="J982" s="48"/>
      <c r="K982" s="48"/>
      <c r="L982" s="48"/>
      <c r="M982" s="48"/>
      <c r="N982" s="48"/>
      <c r="O982" s="48"/>
      <c r="P982" s="38"/>
      <c r="Q982" s="48"/>
      <c r="R982" s="48"/>
      <c r="S982" s="48"/>
      <c r="T982" s="55"/>
    </row>
    <row r="983" spans="1:20" s="10" customFormat="1" ht="15.95" customHeight="1" x14ac:dyDescent="0.25">
      <c r="A983" s="77"/>
      <c r="B983" s="27" t="s">
        <v>3</v>
      </c>
      <c r="C983" s="2">
        <f t="shared" si="228"/>
        <v>0</v>
      </c>
      <c r="D983" s="1"/>
      <c r="E983" s="1"/>
      <c r="F983" s="1"/>
      <c r="G983" s="1"/>
      <c r="H983" s="1"/>
      <c r="I983" s="48"/>
      <c r="J983" s="48"/>
      <c r="K983" s="48"/>
      <c r="L983" s="48"/>
      <c r="M983" s="48"/>
      <c r="N983" s="48"/>
      <c r="O983" s="48"/>
      <c r="P983" s="38"/>
      <c r="Q983" s="48"/>
      <c r="R983" s="48"/>
      <c r="S983" s="48"/>
      <c r="T983" s="55"/>
    </row>
    <row r="984" spans="1:20" s="10" customFormat="1" ht="15.95" customHeight="1" x14ac:dyDescent="0.25">
      <c r="A984" s="75" t="s">
        <v>686</v>
      </c>
      <c r="B984" s="115" t="s">
        <v>470</v>
      </c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6"/>
    </row>
    <row r="985" spans="1:20" s="10" customFormat="1" ht="15.95" customHeight="1" x14ac:dyDescent="0.25">
      <c r="A985" s="76"/>
      <c r="B985" s="83" t="s">
        <v>434</v>
      </c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1"/>
    </row>
    <row r="986" spans="1:20" s="10" customFormat="1" ht="45" customHeight="1" x14ac:dyDescent="0.25">
      <c r="A986" s="76"/>
      <c r="B986" s="45" t="s">
        <v>712</v>
      </c>
      <c r="C986" s="46"/>
      <c r="D986" s="46"/>
      <c r="E986" s="46"/>
      <c r="F986" s="46"/>
      <c r="G986" s="46"/>
      <c r="H986" s="47"/>
      <c r="I986" s="48"/>
      <c r="J986" s="48">
        <v>2022</v>
      </c>
      <c r="K986" s="48" t="s">
        <v>388</v>
      </c>
      <c r="L986" s="48" t="s">
        <v>682</v>
      </c>
      <c r="M986" s="48" t="s">
        <v>482</v>
      </c>
      <c r="N986" s="48" t="s">
        <v>480</v>
      </c>
      <c r="O986" s="48" t="s">
        <v>49</v>
      </c>
      <c r="P986" s="38"/>
      <c r="Q986" s="48" t="s">
        <v>29</v>
      </c>
      <c r="R986" s="48" t="s">
        <v>8</v>
      </c>
      <c r="S986" s="48" t="s">
        <v>24</v>
      </c>
      <c r="T986" s="55"/>
    </row>
    <row r="987" spans="1:20" s="10" customFormat="1" ht="15.95" customHeight="1" x14ac:dyDescent="0.25">
      <c r="A987" s="76"/>
      <c r="B987" s="27" t="s">
        <v>5</v>
      </c>
      <c r="C987" s="2">
        <f t="shared" ref="C987:C988" si="229">D987+E987+F987+G987+H987</f>
        <v>4410</v>
      </c>
      <c r="D987" s="2">
        <f t="shared" ref="D987:H987" si="230">SUM(D988:D991)</f>
        <v>4410</v>
      </c>
      <c r="E987" s="2">
        <f t="shared" si="230"/>
        <v>0</v>
      </c>
      <c r="F987" s="2">
        <f t="shared" si="230"/>
        <v>0</v>
      </c>
      <c r="G987" s="2">
        <f t="shared" si="230"/>
        <v>0</v>
      </c>
      <c r="H987" s="2">
        <f t="shared" si="230"/>
        <v>0</v>
      </c>
      <c r="I987" s="48"/>
      <c r="J987" s="48"/>
      <c r="K987" s="48"/>
      <c r="L987" s="48"/>
      <c r="M987" s="48"/>
      <c r="N987" s="48"/>
      <c r="O987" s="48"/>
      <c r="P987" s="38"/>
      <c r="Q987" s="48"/>
      <c r="R987" s="48"/>
      <c r="S987" s="48"/>
      <c r="T987" s="55"/>
    </row>
    <row r="988" spans="1:20" s="10" customFormat="1" ht="15.95" customHeight="1" x14ac:dyDescent="0.25">
      <c r="A988" s="76"/>
      <c r="B988" s="27" t="s">
        <v>0</v>
      </c>
      <c r="C988" s="2">
        <f t="shared" si="229"/>
        <v>0</v>
      </c>
      <c r="D988" s="1"/>
      <c r="E988" s="1"/>
      <c r="F988" s="1"/>
      <c r="G988" s="1"/>
      <c r="H988" s="1"/>
      <c r="I988" s="48"/>
      <c r="J988" s="48"/>
      <c r="K988" s="48"/>
      <c r="L988" s="48"/>
      <c r="M988" s="48"/>
      <c r="N988" s="48"/>
      <c r="O988" s="48"/>
      <c r="P988" s="38"/>
      <c r="Q988" s="48"/>
      <c r="R988" s="48"/>
      <c r="S988" s="48"/>
      <c r="T988" s="55"/>
    </row>
    <row r="989" spans="1:20" s="10" customFormat="1" ht="15.95" customHeight="1" x14ac:dyDescent="0.25">
      <c r="A989" s="76"/>
      <c r="B989" s="27" t="s">
        <v>1</v>
      </c>
      <c r="C989" s="2">
        <f>D989+E989+F989+G989+H989</f>
        <v>4410</v>
      </c>
      <c r="D989" s="1">
        <v>4410</v>
      </c>
      <c r="E989" s="1"/>
      <c r="F989" s="1"/>
      <c r="G989" s="1"/>
      <c r="H989" s="1"/>
      <c r="I989" s="48"/>
      <c r="J989" s="48"/>
      <c r="K989" s="48"/>
      <c r="L989" s="48"/>
      <c r="M989" s="48"/>
      <c r="N989" s="48"/>
      <c r="O989" s="48"/>
      <c r="P989" s="38"/>
      <c r="Q989" s="48"/>
      <c r="R989" s="48"/>
      <c r="S989" s="48"/>
      <c r="T989" s="55"/>
    </row>
    <row r="990" spans="1:20" s="10" customFormat="1" ht="15.95" customHeight="1" x14ac:dyDescent="0.25">
      <c r="A990" s="76"/>
      <c r="B990" s="27" t="s">
        <v>2</v>
      </c>
      <c r="C990" s="2">
        <f t="shared" ref="C990:C991" si="231">D990+E990+F990+G990+H990</f>
        <v>0</v>
      </c>
      <c r="D990" s="1"/>
      <c r="E990" s="1"/>
      <c r="F990" s="1"/>
      <c r="G990" s="1"/>
      <c r="H990" s="1"/>
      <c r="I990" s="48"/>
      <c r="J990" s="48"/>
      <c r="K990" s="48"/>
      <c r="L990" s="48"/>
      <c r="M990" s="48"/>
      <c r="N990" s="48"/>
      <c r="O990" s="48"/>
      <c r="P990" s="38"/>
      <c r="Q990" s="48"/>
      <c r="R990" s="48"/>
      <c r="S990" s="48"/>
      <c r="T990" s="55"/>
    </row>
    <row r="991" spans="1:20" s="10" customFormat="1" ht="15.95" customHeight="1" x14ac:dyDescent="0.25">
      <c r="A991" s="77"/>
      <c r="B991" s="27" t="s">
        <v>3</v>
      </c>
      <c r="C991" s="2">
        <f t="shared" si="231"/>
        <v>0</v>
      </c>
      <c r="D991" s="1"/>
      <c r="E991" s="1"/>
      <c r="F991" s="1"/>
      <c r="G991" s="1"/>
      <c r="H991" s="1"/>
      <c r="I991" s="48"/>
      <c r="J991" s="48"/>
      <c r="K991" s="48"/>
      <c r="L991" s="48"/>
      <c r="M991" s="48"/>
      <c r="N991" s="48"/>
      <c r="O991" s="48"/>
      <c r="P991" s="38"/>
      <c r="Q991" s="48"/>
      <c r="R991" s="48"/>
      <c r="S991" s="48"/>
      <c r="T991" s="55"/>
    </row>
    <row r="992" spans="1:20" s="10" customFormat="1" ht="15.95" customHeight="1" x14ac:dyDescent="0.25">
      <c r="A992" s="75" t="s">
        <v>688</v>
      </c>
      <c r="B992" s="115" t="s">
        <v>470</v>
      </c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6"/>
    </row>
    <row r="993" spans="1:20" s="10" customFormat="1" ht="15.95" customHeight="1" x14ac:dyDescent="0.25">
      <c r="A993" s="76"/>
      <c r="B993" s="83" t="s">
        <v>434</v>
      </c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1"/>
    </row>
    <row r="994" spans="1:20" s="10" customFormat="1" ht="45" customHeight="1" x14ac:dyDescent="0.25">
      <c r="A994" s="76"/>
      <c r="B994" s="45" t="s">
        <v>717</v>
      </c>
      <c r="C994" s="46"/>
      <c r="D994" s="46"/>
      <c r="E994" s="46"/>
      <c r="F994" s="46"/>
      <c r="G994" s="46"/>
      <c r="H994" s="47"/>
      <c r="I994" s="48"/>
      <c r="J994" s="48">
        <v>2022</v>
      </c>
      <c r="K994" s="48" t="s">
        <v>388</v>
      </c>
      <c r="L994" s="48" t="s">
        <v>685</v>
      </c>
      <c r="M994" s="48" t="s">
        <v>482</v>
      </c>
      <c r="N994" s="48" t="s">
        <v>480</v>
      </c>
      <c r="O994" s="48" t="s">
        <v>49</v>
      </c>
      <c r="P994" s="38"/>
      <c r="Q994" s="48" t="s">
        <v>29</v>
      </c>
      <c r="R994" s="48" t="s">
        <v>8</v>
      </c>
      <c r="S994" s="48" t="s">
        <v>24</v>
      </c>
      <c r="T994" s="55"/>
    </row>
    <row r="995" spans="1:20" s="10" customFormat="1" ht="15.95" customHeight="1" x14ac:dyDescent="0.25">
      <c r="A995" s="76"/>
      <c r="B995" s="27" t="s">
        <v>5</v>
      </c>
      <c r="C995" s="2">
        <f t="shared" ref="C995:C996" si="232">D995+E995+F995+G995+H995</f>
        <v>14938.3</v>
      </c>
      <c r="D995" s="2">
        <f t="shared" ref="D995:H995" si="233">SUM(D996:D999)</f>
        <v>14938.3</v>
      </c>
      <c r="E995" s="2">
        <f t="shared" si="233"/>
        <v>0</v>
      </c>
      <c r="F995" s="2">
        <f t="shared" si="233"/>
        <v>0</v>
      </c>
      <c r="G995" s="2">
        <f t="shared" si="233"/>
        <v>0</v>
      </c>
      <c r="H995" s="2">
        <f t="shared" si="233"/>
        <v>0</v>
      </c>
      <c r="I995" s="48"/>
      <c r="J995" s="48"/>
      <c r="K995" s="48"/>
      <c r="L995" s="48"/>
      <c r="M995" s="48"/>
      <c r="N995" s="48"/>
      <c r="O995" s="48"/>
      <c r="P995" s="38"/>
      <c r="Q995" s="48"/>
      <c r="R995" s="48"/>
      <c r="S995" s="48"/>
      <c r="T995" s="55"/>
    </row>
    <row r="996" spans="1:20" s="10" customFormat="1" ht="15.95" customHeight="1" x14ac:dyDescent="0.25">
      <c r="A996" s="76"/>
      <c r="B996" s="27" t="s">
        <v>0</v>
      </c>
      <c r="C996" s="2">
        <f t="shared" si="232"/>
        <v>0</v>
      </c>
      <c r="D996" s="1"/>
      <c r="E996" s="1"/>
      <c r="F996" s="1"/>
      <c r="G996" s="1"/>
      <c r="H996" s="1"/>
      <c r="I996" s="48"/>
      <c r="J996" s="48"/>
      <c r="K996" s="48"/>
      <c r="L996" s="48"/>
      <c r="M996" s="48"/>
      <c r="N996" s="48"/>
      <c r="O996" s="48"/>
      <c r="P996" s="38"/>
      <c r="Q996" s="48"/>
      <c r="R996" s="48"/>
      <c r="S996" s="48"/>
      <c r="T996" s="55"/>
    </row>
    <row r="997" spans="1:20" s="10" customFormat="1" ht="15.95" customHeight="1" x14ac:dyDescent="0.25">
      <c r="A997" s="76"/>
      <c r="B997" s="27" t="s">
        <v>1</v>
      </c>
      <c r="C997" s="2">
        <f>D997+E997+F997+G997+H997</f>
        <v>14938.3</v>
      </c>
      <c r="D997" s="1">
        <v>14938.3</v>
      </c>
      <c r="E997" s="1"/>
      <c r="F997" s="1"/>
      <c r="G997" s="1"/>
      <c r="H997" s="1"/>
      <c r="I997" s="48"/>
      <c r="J997" s="48"/>
      <c r="K997" s="48"/>
      <c r="L997" s="48"/>
      <c r="M997" s="48"/>
      <c r="N997" s="48"/>
      <c r="O997" s="48"/>
      <c r="P997" s="38"/>
      <c r="Q997" s="48"/>
      <c r="R997" s="48"/>
      <c r="S997" s="48"/>
      <c r="T997" s="55"/>
    </row>
    <row r="998" spans="1:20" s="10" customFormat="1" ht="15.95" customHeight="1" x14ac:dyDescent="0.25">
      <c r="A998" s="76"/>
      <c r="B998" s="27" t="s">
        <v>2</v>
      </c>
      <c r="C998" s="2">
        <f t="shared" ref="C998:C999" si="234">D998+E998+F998+G998+H998</f>
        <v>0</v>
      </c>
      <c r="D998" s="1"/>
      <c r="E998" s="1"/>
      <c r="F998" s="1"/>
      <c r="G998" s="1"/>
      <c r="H998" s="1"/>
      <c r="I998" s="48"/>
      <c r="J998" s="48"/>
      <c r="K998" s="48"/>
      <c r="L998" s="48"/>
      <c r="M998" s="48"/>
      <c r="N998" s="48"/>
      <c r="O998" s="48"/>
      <c r="P998" s="38"/>
      <c r="Q998" s="48"/>
      <c r="R998" s="48"/>
      <c r="S998" s="48"/>
      <c r="T998" s="55"/>
    </row>
    <row r="999" spans="1:20" s="10" customFormat="1" ht="15.95" customHeight="1" x14ac:dyDescent="0.25">
      <c r="A999" s="77"/>
      <c r="B999" s="27" t="s">
        <v>3</v>
      </c>
      <c r="C999" s="2">
        <f t="shared" si="234"/>
        <v>0</v>
      </c>
      <c r="D999" s="1"/>
      <c r="E999" s="1"/>
      <c r="F999" s="1"/>
      <c r="G999" s="1"/>
      <c r="H999" s="1"/>
      <c r="I999" s="48"/>
      <c r="J999" s="48"/>
      <c r="K999" s="48"/>
      <c r="L999" s="48"/>
      <c r="M999" s="48"/>
      <c r="N999" s="48"/>
      <c r="O999" s="48"/>
      <c r="P999" s="38"/>
      <c r="Q999" s="48"/>
      <c r="R999" s="48"/>
      <c r="S999" s="48"/>
      <c r="T999" s="55"/>
    </row>
    <row r="1000" spans="1:20" s="10" customFormat="1" ht="15.95" customHeight="1" x14ac:dyDescent="0.25">
      <c r="A1000" s="75" t="s">
        <v>689</v>
      </c>
      <c r="B1000" s="115" t="s">
        <v>470</v>
      </c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6"/>
    </row>
    <row r="1001" spans="1:20" s="10" customFormat="1" ht="15.95" customHeight="1" x14ac:dyDescent="0.25">
      <c r="A1001" s="76"/>
      <c r="B1001" s="83" t="s">
        <v>434</v>
      </c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1"/>
    </row>
    <row r="1002" spans="1:20" s="10" customFormat="1" ht="45" customHeight="1" x14ac:dyDescent="0.25">
      <c r="A1002" s="76"/>
      <c r="B1002" s="45" t="s">
        <v>718</v>
      </c>
      <c r="C1002" s="46"/>
      <c r="D1002" s="46"/>
      <c r="E1002" s="46"/>
      <c r="F1002" s="46"/>
      <c r="G1002" s="46"/>
      <c r="H1002" s="47"/>
      <c r="I1002" s="48"/>
      <c r="J1002" s="48">
        <v>2022</v>
      </c>
      <c r="K1002" s="48" t="s">
        <v>388</v>
      </c>
      <c r="L1002" s="48" t="s">
        <v>687</v>
      </c>
      <c r="M1002" s="48" t="s">
        <v>482</v>
      </c>
      <c r="N1002" s="48" t="s">
        <v>480</v>
      </c>
      <c r="O1002" s="48" t="s">
        <v>49</v>
      </c>
      <c r="P1002" s="38"/>
      <c r="Q1002" s="48" t="s">
        <v>29</v>
      </c>
      <c r="R1002" s="48" t="s">
        <v>8</v>
      </c>
      <c r="S1002" s="48" t="s">
        <v>24</v>
      </c>
      <c r="T1002" s="55"/>
    </row>
    <row r="1003" spans="1:20" s="10" customFormat="1" ht="15.95" customHeight="1" x14ac:dyDescent="0.25">
      <c r="A1003" s="76"/>
      <c r="B1003" s="27" t="s">
        <v>5</v>
      </c>
      <c r="C1003" s="2">
        <f t="shared" ref="C1003:C1004" si="235">D1003+E1003+F1003+G1003+H1003</f>
        <v>3769.7</v>
      </c>
      <c r="D1003" s="2">
        <f t="shared" ref="D1003:H1003" si="236">SUM(D1004:D1007)</f>
        <v>3769.7</v>
      </c>
      <c r="E1003" s="2">
        <f t="shared" si="236"/>
        <v>0</v>
      </c>
      <c r="F1003" s="2">
        <f t="shared" si="236"/>
        <v>0</v>
      </c>
      <c r="G1003" s="2">
        <f t="shared" si="236"/>
        <v>0</v>
      </c>
      <c r="H1003" s="2">
        <f t="shared" si="236"/>
        <v>0</v>
      </c>
      <c r="I1003" s="48"/>
      <c r="J1003" s="48"/>
      <c r="K1003" s="48"/>
      <c r="L1003" s="48"/>
      <c r="M1003" s="48"/>
      <c r="N1003" s="48"/>
      <c r="O1003" s="48"/>
      <c r="P1003" s="38"/>
      <c r="Q1003" s="48"/>
      <c r="R1003" s="48"/>
      <c r="S1003" s="48"/>
      <c r="T1003" s="55"/>
    </row>
    <row r="1004" spans="1:20" s="10" customFormat="1" ht="15.95" customHeight="1" x14ac:dyDescent="0.25">
      <c r="A1004" s="76"/>
      <c r="B1004" s="27" t="s">
        <v>0</v>
      </c>
      <c r="C1004" s="2">
        <f t="shared" si="235"/>
        <v>0</v>
      </c>
      <c r="D1004" s="1"/>
      <c r="E1004" s="1"/>
      <c r="F1004" s="1"/>
      <c r="G1004" s="1"/>
      <c r="H1004" s="1"/>
      <c r="I1004" s="48"/>
      <c r="J1004" s="48"/>
      <c r="K1004" s="48"/>
      <c r="L1004" s="48"/>
      <c r="M1004" s="48"/>
      <c r="N1004" s="48"/>
      <c r="O1004" s="48"/>
      <c r="P1004" s="38"/>
      <c r="Q1004" s="48"/>
      <c r="R1004" s="48"/>
      <c r="S1004" s="48"/>
      <c r="T1004" s="55"/>
    </row>
    <row r="1005" spans="1:20" s="10" customFormat="1" ht="15.95" customHeight="1" x14ac:dyDescent="0.25">
      <c r="A1005" s="76"/>
      <c r="B1005" s="27" t="s">
        <v>1</v>
      </c>
      <c r="C1005" s="2">
        <f>D1005+E1005+F1005+G1005+H1005</f>
        <v>3769.7</v>
      </c>
      <c r="D1005" s="1">
        <v>3769.7</v>
      </c>
      <c r="E1005" s="1"/>
      <c r="F1005" s="1"/>
      <c r="G1005" s="1"/>
      <c r="H1005" s="1"/>
      <c r="I1005" s="48"/>
      <c r="J1005" s="48"/>
      <c r="K1005" s="48"/>
      <c r="L1005" s="48"/>
      <c r="M1005" s="48"/>
      <c r="N1005" s="48"/>
      <c r="O1005" s="48"/>
      <c r="P1005" s="38"/>
      <c r="Q1005" s="48"/>
      <c r="R1005" s="48"/>
      <c r="S1005" s="48"/>
      <c r="T1005" s="55"/>
    </row>
    <row r="1006" spans="1:20" s="10" customFormat="1" ht="15.95" customHeight="1" x14ac:dyDescent="0.25">
      <c r="A1006" s="76"/>
      <c r="B1006" s="27" t="s">
        <v>2</v>
      </c>
      <c r="C1006" s="2">
        <f t="shared" ref="C1006:C1007" si="237">D1006+E1006+F1006+G1006+H1006</f>
        <v>0</v>
      </c>
      <c r="D1006" s="1"/>
      <c r="E1006" s="1"/>
      <c r="F1006" s="1"/>
      <c r="G1006" s="1"/>
      <c r="H1006" s="1"/>
      <c r="I1006" s="48"/>
      <c r="J1006" s="48"/>
      <c r="K1006" s="48"/>
      <c r="L1006" s="48"/>
      <c r="M1006" s="48"/>
      <c r="N1006" s="48"/>
      <c r="O1006" s="48"/>
      <c r="P1006" s="38"/>
      <c r="Q1006" s="48"/>
      <c r="R1006" s="48"/>
      <c r="S1006" s="48"/>
      <c r="T1006" s="55"/>
    </row>
    <row r="1007" spans="1:20" s="10" customFormat="1" ht="15.95" customHeight="1" x14ac:dyDescent="0.25">
      <c r="A1007" s="77"/>
      <c r="B1007" s="27" t="s">
        <v>3</v>
      </c>
      <c r="C1007" s="2">
        <f t="shared" si="237"/>
        <v>0</v>
      </c>
      <c r="D1007" s="1"/>
      <c r="E1007" s="1"/>
      <c r="F1007" s="1"/>
      <c r="G1007" s="1"/>
      <c r="H1007" s="1"/>
      <c r="I1007" s="48"/>
      <c r="J1007" s="48"/>
      <c r="K1007" s="48"/>
      <c r="L1007" s="48"/>
      <c r="M1007" s="48"/>
      <c r="N1007" s="48"/>
      <c r="O1007" s="48"/>
      <c r="P1007" s="38"/>
      <c r="Q1007" s="48"/>
      <c r="R1007" s="48"/>
      <c r="S1007" s="48"/>
      <c r="T1007" s="55"/>
    </row>
    <row r="1008" spans="1:20" s="10" customFormat="1" ht="15.95" customHeight="1" x14ac:dyDescent="0.25">
      <c r="A1008" s="75" t="s">
        <v>690</v>
      </c>
      <c r="B1008" s="115" t="s">
        <v>470</v>
      </c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6"/>
    </row>
    <row r="1009" spans="1:20" s="10" customFormat="1" ht="15.95" customHeight="1" x14ac:dyDescent="0.25">
      <c r="A1009" s="76"/>
      <c r="B1009" s="83" t="s">
        <v>434</v>
      </c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1"/>
    </row>
    <row r="1010" spans="1:20" s="10" customFormat="1" ht="45" customHeight="1" x14ac:dyDescent="0.25">
      <c r="A1010" s="76"/>
      <c r="B1010" s="45" t="s">
        <v>719</v>
      </c>
      <c r="C1010" s="46"/>
      <c r="D1010" s="46"/>
      <c r="E1010" s="46"/>
      <c r="F1010" s="46"/>
      <c r="G1010" s="46"/>
      <c r="H1010" s="47"/>
      <c r="I1010" s="48"/>
      <c r="J1010" s="48">
        <v>2022</v>
      </c>
      <c r="K1010" s="48" t="s">
        <v>388</v>
      </c>
      <c r="L1010" s="48" t="s">
        <v>687</v>
      </c>
      <c r="M1010" s="48" t="s">
        <v>482</v>
      </c>
      <c r="N1010" s="48" t="s">
        <v>480</v>
      </c>
      <c r="O1010" s="48" t="s">
        <v>49</v>
      </c>
      <c r="P1010" s="38"/>
      <c r="Q1010" s="48" t="s">
        <v>29</v>
      </c>
      <c r="R1010" s="48" t="s">
        <v>8</v>
      </c>
      <c r="S1010" s="48" t="s">
        <v>24</v>
      </c>
      <c r="T1010" s="55"/>
    </row>
    <row r="1011" spans="1:20" s="10" customFormat="1" ht="15.95" customHeight="1" x14ac:dyDescent="0.25">
      <c r="A1011" s="76"/>
      <c r="B1011" s="27" t="s">
        <v>5</v>
      </c>
      <c r="C1011" s="2">
        <f t="shared" ref="C1011:C1012" si="238">D1011+E1011+F1011+G1011+H1011</f>
        <v>3744</v>
      </c>
      <c r="D1011" s="2">
        <f t="shared" ref="D1011:H1011" si="239">SUM(D1012:D1015)</f>
        <v>3744</v>
      </c>
      <c r="E1011" s="2">
        <f t="shared" si="239"/>
        <v>0</v>
      </c>
      <c r="F1011" s="2">
        <f t="shared" si="239"/>
        <v>0</v>
      </c>
      <c r="G1011" s="2">
        <f t="shared" si="239"/>
        <v>0</v>
      </c>
      <c r="H1011" s="2">
        <f t="shared" si="239"/>
        <v>0</v>
      </c>
      <c r="I1011" s="48"/>
      <c r="J1011" s="48"/>
      <c r="K1011" s="48"/>
      <c r="L1011" s="48"/>
      <c r="M1011" s="48"/>
      <c r="N1011" s="48"/>
      <c r="O1011" s="48"/>
      <c r="P1011" s="38"/>
      <c r="Q1011" s="48"/>
      <c r="R1011" s="48"/>
      <c r="S1011" s="48"/>
      <c r="T1011" s="55"/>
    </row>
    <row r="1012" spans="1:20" s="10" customFormat="1" ht="15.95" customHeight="1" x14ac:dyDescent="0.25">
      <c r="A1012" s="76"/>
      <c r="B1012" s="27" t="s">
        <v>0</v>
      </c>
      <c r="C1012" s="2">
        <f t="shared" si="238"/>
        <v>0</v>
      </c>
      <c r="D1012" s="1"/>
      <c r="E1012" s="1"/>
      <c r="F1012" s="1"/>
      <c r="G1012" s="1"/>
      <c r="H1012" s="1"/>
      <c r="I1012" s="48"/>
      <c r="J1012" s="48"/>
      <c r="K1012" s="48"/>
      <c r="L1012" s="48"/>
      <c r="M1012" s="48"/>
      <c r="N1012" s="48"/>
      <c r="O1012" s="48"/>
      <c r="P1012" s="38"/>
      <c r="Q1012" s="48"/>
      <c r="R1012" s="48"/>
      <c r="S1012" s="48"/>
      <c r="T1012" s="55"/>
    </row>
    <row r="1013" spans="1:20" s="10" customFormat="1" ht="15.95" customHeight="1" x14ac:dyDescent="0.25">
      <c r="A1013" s="76"/>
      <c r="B1013" s="27" t="s">
        <v>1</v>
      </c>
      <c r="C1013" s="2">
        <f>D1013+E1013+F1013+G1013+H1013</f>
        <v>3744</v>
      </c>
      <c r="D1013" s="1">
        <v>3744</v>
      </c>
      <c r="E1013" s="1"/>
      <c r="F1013" s="1"/>
      <c r="G1013" s="1"/>
      <c r="H1013" s="1"/>
      <c r="I1013" s="48"/>
      <c r="J1013" s="48"/>
      <c r="K1013" s="48"/>
      <c r="L1013" s="48"/>
      <c r="M1013" s="48"/>
      <c r="N1013" s="48"/>
      <c r="O1013" s="48"/>
      <c r="P1013" s="38"/>
      <c r="Q1013" s="48"/>
      <c r="R1013" s="48"/>
      <c r="S1013" s="48"/>
      <c r="T1013" s="55"/>
    </row>
    <row r="1014" spans="1:20" s="10" customFormat="1" ht="15.95" customHeight="1" x14ac:dyDescent="0.25">
      <c r="A1014" s="76"/>
      <c r="B1014" s="27" t="s">
        <v>2</v>
      </c>
      <c r="C1014" s="2">
        <f t="shared" ref="C1014:C1015" si="240">D1014+E1014+F1014+G1014+H1014</f>
        <v>0</v>
      </c>
      <c r="D1014" s="1"/>
      <c r="E1014" s="1"/>
      <c r="F1014" s="1"/>
      <c r="G1014" s="1"/>
      <c r="H1014" s="1"/>
      <c r="I1014" s="48"/>
      <c r="J1014" s="48"/>
      <c r="K1014" s="48"/>
      <c r="L1014" s="48"/>
      <c r="M1014" s="48"/>
      <c r="N1014" s="48"/>
      <c r="O1014" s="48"/>
      <c r="P1014" s="38"/>
      <c r="Q1014" s="48"/>
      <c r="R1014" s="48"/>
      <c r="S1014" s="48"/>
      <c r="T1014" s="55"/>
    </row>
    <row r="1015" spans="1:20" s="10" customFormat="1" ht="15.95" customHeight="1" x14ac:dyDescent="0.25">
      <c r="A1015" s="77"/>
      <c r="B1015" s="27" t="s">
        <v>3</v>
      </c>
      <c r="C1015" s="2">
        <f t="shared" si="240"/>
        <v>0</v>
      </c>
      <c r="D1015" s="1"/>
      <c r="E1015" s="1"/>
      <c r="F1015" s="1"/>
      <c r="G1015" s="1"/>
      <c r="H1015" s="1"/>
      <c r="I1015" s="48"/>
      <c r="J1015" s="48"/>
      <c r="K1015" s="48"/>
      <c r="L1015" s="48"/>
      <c r="M1015" s="48"/>
      <c r="N1015" s="48"/>
      <c r="O1015" s="48"/>
      <c r="P1015" s="38"/>
      <c r="Q1015" s="48"/>
      <c r="R1015" s="48"/>
      <c r="S1015" s="48"/>
      <c r="T1015" s="55"/>
    </row>
    <row r="1016" spans="1:20" s="10" customFormat="1" ht="15.95" customHeight="1" x14ac:dyDescent="0.25">
      <c r="A1016" s="75" t="s">
        <v>691</v>
      </c>
      <c r="B1016" s="115" t="s">
        <v>470</v>
      </c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6"/>
    </row>
    <row r="1017" spans="1:20" s="10" customFormat="1" ht="15.95" customHeight="1" x14ac:dyDescent="0.25">
      <c r="A1017" s="76"/>
      <c r="B1017" s="83" t="s">
        <v>434</v>
      </c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1"/>
    </row>
    <row r="1018" spans="1:20" s="10" customFormat="1" ht="45" customHeight="1" x14ac:dyDescent="0.25">
      <c r="A1018" s="76"/>
      <c r="B1018" s="45" t="s">
        <v>692</v>
      </c>
      <c r="C1018" s="46"/>
      <c r="D1018" s="46"/>
      <c r="E1018" s="46"/>
      <c r="F1018" s="46"/>
      <c r="G1018" s="46"/>
      <c r="H1018" s="47"/>
      <c r="I1018" s="48"/>
      <c r="J1018" s="48">
        <v>2023</v>
      </c>
      <c r="K1018" s="48" t="s">
        <v>388</v>
      </c>
      <c r="L1018" s="48"/>
      <c r="M1018" s="48" t="s">
        <v>482</v>
      </c>
      <c r="N1018" s="48" t="s">
        <v>480</v>
      </c>
      <c r="O1018" s="48" t="s">
        <v>49</v>
      </c>
      <c r="P1018" s="38"/>
      <c r="Q1018" s="48" t="s">
        <v>29</v>
      </c>
      <c r="R1018" s="48" t="s">
        <v>8</v>
      </c>
      <c r="S1018" s="48" t="s">
        <v>24</v>
      </c>
      <c r="T1018" s="55"/>
    </row>
    <row r="1019" spans="1:20" s="10" customFormat="1" ht="15.95" customHeight="1" x14ac:dyDescent="0.25">
      <c r="A1019" s="76"/>
      <c r="B1019" s="27" t="s">
        <v>5</v>
      </c>
      <c r="C1019" s="2">
        <f t="shared" ref="C1019:C1020" si="241">D1019+E1019+F1019+G1019+H1019</f>
        <v>15000</v>
      </c>
      <c r="D1019" s="2">
        <f t="shared" ref="D1019:H1019" si="242">SUM(D1020:D1023)</f>
        <v>0</v>
      </c>
      <c r="E1019" s="2">
        <f t="shared" si="242"/>
        <v>15000</v>
      </c>
      <c r="F1019" s="2">
        <f t="shared" si="242"/>
        <v>0</v>
      </c>
      <c r="G1019" s="2">
        <f t="shared" si="242"/>
        <v>0</v>
      </c>
      <c r="H1019" s="2">
        <f t="shared" si="242"/>
        <v>0</v>
      </c>
      <c r="I1019" s="48"/>
      <c r="J1019" s="48"/>
      <c r="K1019" s="48"/>
      <c r="L1019" s="48"/>
      <c r="M1019" s="48"/>
      <c r="N1019" s="48"/>
      <c r="O1019" s="48"/>
      <c r="P1019" s="38"/>
      <c r="Q1019" s="48"/>
      <c r="R1019" s="48"/>
      <c r="S1019" s="48"/>
      <c r="T1019" s="55"/>
    </row>
    <row r="1020" spans="1:20" s="10" customFormat="1" ht="15.95" customHeight="1" x14ac:dyDescent="0.25">
      <c r="A1020" s="76"/>
      <c r="B1020" s="27" t="s">
        <v>0</v>
      </c>
      <c r="C1020" s="2">
        <f t="shared" si="241"/>
        <v>0</v>
      </c>
      <c r="D1020" s="1"/>
      <c r="E1020" s="1"/>
      <c r="F1020" s="1"/>
      <c r="G1020" s="1"/>
      <c r="H1020" s="1"/>
      <c r="I1020" s="48"/>
      <c r="J1020" s="48"/>
      <c r="K1020" s="48"/>
      <c r="L1020" s="48"/>
      <c r="M1020" s="48"/>
      <c r="N1020" s="48"/>
      <c r="O1020" s="48"/>
      <c r="P1020" s="38"/>
      <c r="Q1020" s="48"/>
      <c r="R1020" s="48"/>
      <c r="S1020" s="48"/>
      <c r="T1020" s="55"/>
    </row>
    <row r="1021" spans="1:20" s="10" customFormat="1" ht="15.95" customHeight="1" x14ac:dyDescent="0.25">
      <c r="A1021" s="76"/>
      <c r="B1021" s="27" t="s">
        <v>1</v>
      </c>
      <c r="C1021" s="2">
        <f>D1021+E1021+F1021+G1021+H1021</f>
        <v>15000</v>
      </c>
      <c r="D1021" s="1">
        <v>0</v>
      </c>
      <c r="E1021" s="1">
        <v>15000</v>
      </c>
      <c r="F1021" s="1"/>
      <c r="G1021" s="1"/>
      <c r="H1021" s="1"/>
      <c r="I1021" s="48"/>
      <c r="J1021" s="48"/>
      <c r="K1021" s="48"/>
      <c r="L1021" s="48"/>
      <c r="M1021" s="48"/>
      <c r="N1021" s="48"/>
      <c r="O1021" s="48"/>
      <c r="P1021" s="38"/>
      <c r="Q1021" s="48"/>
      <c r="R1021" s="48"/>
      <c r="S1021" s="48"/>
      <c r="T1021" s="55"/>
    </row>
    <row r="1022" spans="1:20" s="10" customFormat="1" ht="15.95" customHeight="1" x14ac:dyDescent="0.25">
      <c r="A1022" s="76"/>
      <c r="B1022" s="27" t="s">
        <v>2</v>
      </c>
      <c r="C1022" s="2">
        <f t="shared" ref="C1022:C1023" si="243">D1022+E1022+F1022+G1022+H1022</f>
        <v>0</v>
      </c>
      <c r="D1022" s="1"/>
      <c r="E1022" s="1"/>
      <c r="F1022" s="1"/>
      <c r="G1022" s="1"/>
      <c r="H1022" s="1"/>
      <c r="I1022" s="48"/>
      <c r="J1022" s="48"/>
      <c r="K1022" s="48"/>
      <c r="L1022" s="48"/>
      <c r="M1022" s="48"/>
      <c r="N1022" s="48"/>
      <c r="O1022" s="48"/>
      <c r="P1022" s="38"/>
      <c r="Q1022" s="48"/>
      <c r="R1022" s="48"/>
      <c r="S1022" s="48"/>
      <c r="T1022" s="55"/>
    </row>
    <row r="1023" spans="1:20" s="10" customFormat="1" ht="15.95" customHeight="1" x14ac:dyDescent="0.25">
      <c r="A1023" s="77"/>
      <c r="B1023" s="27" t="s">
        <v>3</v>
      </c>
      <c r="C1023" s="2">
        <f t="shared" si="243"/>
        <v>0</v>
      </c>
      <c r="D1023" s="1"/>
      <c r="E1023" s="1"/>
      <c r="F1023" s="1"/>
      <c r="G1023" s="1"/>
      <c r="H1023" s="1"/>
      <c r="I1023" s="48"/>
      <c r="J1023" s="48"/>
      <c r="K1023" s="48"/>
      <c r="L1023" s="48"/>
      <c r="M1023" s="48"/>
      <c r="N1023" s="48"/>
      <c r="O1023" s="48"/>
      <c r="P1023" s="38"/>
      <c r="Q1023" s="48"/>
      <c r="R1023" s="48"/>
      <c r="S1023" s="48"/>
      <c r="T1023" s="55"/>
    </row>
    <row r="1024" spans="1:20" s="10" customFormat="1" ht="15.95" customHeight="1" x14ac:dyDescent="0.25">
      <c r="A1024" s="75" t="s">
        <v>693</v>
      </c>
      <c r="B1024" s="115" t="s">
        <v>470</v>
      </c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6"/>
    </row>
    <row r="1025" spans="1:20" s="10" customFormat="1" ht="15.95" customHeight="1" x14ac:dyDescent="0.25">
      <c r="A1025" s="76"/>
      <c r="B1025" s="83" t="s">
        <v>434</v>
      </c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1"/>
    </row>
    <row r="1026" spans="1:20" s="10" customFormat="1" ht="45" customHeight="1" x14ac:dyDescent="0.25">
      <c r="A1026" s="76"/>
      <c r="B1026" s="45" t="s">
        <v>694</v>
      </c>
      <c r="C1026" s="46"/>
      <c r="D1026" s="46"/>
      <c r="E1026" s="46"/>
      <c r="F1026" s="46"/>
      <c r="G1026" s="46"/>
      <c r="H1026" s="47"/>
      <c r="I1026" s="48"/>
      <c r="J1026" s="48">
        <v>2023</v>
      </c>
      <c r="K1026" s="48" t="s">
        <v>388</v>
      </c>
      <c r="L1026" s="48" t="s">
        <v>695</v>
      </c>
      <c r="M1026" s="48" t="s">
        <v>482</v>
      </c>
      <c r="N1026" s="48" t="s">
        <v>480</v>
      </c>
      <c r="O1026" s="48" t="s">
        <v>49</v>
      </c>
      <c r="P1026" s="38"/>
      <c r="Q1026" s="48" t="s">
        <v>29</v>
      </c>
      <c r="R1026" s="48" t="s">
        <v>8</v>
      </c>
      <c r="S1026" s="48" t="s">
        <v>24</v>
      </c>
      <c r="T1026" s="55"/>
    </row>
    <row r="1027" spans="1:20" s="10" customFormat="1" ht="15.95" customHeight="1" x14ac:dyDescent="0.25">
      <c r="A1027" s="76"/>
      <c r="B1027" s="27" t="s">
        <v>5</v>
      </c>
      <c r="C1027" s="2">
        <f t="shared" ref="C1027:C1028" si="244">D1027+E1027+F1027+G1027+H1027</f>
        <v>5000</v>
      </c>
      <c r="D1027" s="2">
        <f t="shared" ref="D1027:H1027" si="245">SUM(D1028:D1031)</f>
        <v>0</v>
      </c>
      <c r="E1027" s="2">
        <f t="shared" si="245"/>
        <v>5000</v>
      </c>
      <c r="F1027" s="2">
        <f t="shared" si="245"/>
        <v>0</v>
      </c>
      <c r="G1027" s="2">
        <f t="shared" si="245"/>
        <v>0</v>
      </c>
      <c r="H1027" s="2">
        <f t="shared" si="245"/>
        <v>0</v>
      </c>
      <c r="I1027" s="48"/>
      <c r="J1027" s="48"/>
      <c r="K1027" s="48"/>
      <c r="L1027" s="48"/>
      <c r="M1027" s="48"/>
      <c r="N1027" s="48"/>
      <c r="O1027" s="48"/>
      <c r="P1027" s="38"/>
      <c r="Q1027" s="48"/>
      <c r="R1027" s="48"/>
      <c r="S1027" s="48"/>
      <c r="T1027" s="55"/>
    </row>
    <row r="1028" spans="1:20" s="10" customFormat="1" ht="15.95" customHeight="1" x14ac:dyDescent="0.25">
      <c r="A1028" s="76"/>
      <c r="B1028" s="27" t="s">
        <v>0</v>
      </c>
      <c r="C1028" s="2">
        <f t="shared" si="244"/>
        <v>0</v>
      </c>
      <c r="D1028" s="1"/>
      <c r="E1028" s="1"/>
      <c r="F1028" s="1"/>
      <c r="G1028" s="1"/>
      <c r="H1028" s="1"/>
      <c r="I1028" s="48"/>
      <c r="J1028" s="48"/>
      <c r="K1028" s="48"/>
      <c r="L1028" s="48"/>
      <c r="M1028" s="48"/>
      <c r="N1028" s="48"/>
      <c r="O1028" s="48"/>
      <c r="P1028" s="38"/>
      <c r="Q1028" s="48"/>
      <c r="R1028" s="48"/>
      <c r="S1028" s="48"/>
      <c r="T1028" s="55"/>
    </row>
    <row r="1029" spans="1:20" s="10" customFormat="1" ht="15.95" customHeight="1" x14ac:dyDescent="0.25">
      <c r="A1029" s="76"/>
      <c r="B1029" s="27" t="s">
        <v>1</v>
      </c>
      <c r="C1029" s="2">
        <f>D1029+E1029+F1029+G1029+H1029</f>
        <v>5000</v>
      </c>
      <c r="D1029" s="1">
        <v>0</v>
      </c>
      <c r="E1029" s="1">
        <v>5000</v>
      </c>
      <c r="F1029" s="1"/>
      <c r="G1029" s="1"/>
      <c r="H1029" s="1"/>
      <c r="I1029" s="48"/>
      <c r="J1029" s="48"/>
      <c r="K1029" s="48"/>
      <c r="L1029" s="48"/>
      <c r="M1029" s="48"/>
      <c r="N1029" s="48"/>
      <c r="O1029" s="48"/>
      <c r="P1029" s="38"/>
      <c r="Q1029" s="48"/>
      <c r="R1029" s="48"/>
      <c r="S1029" s="48"/>
      <c r="T1029" s="55"/>
    </row>
    <row r="1030" spans="1:20" s="10" customFormat="1" ht="15.95" customHeight="1" x14ac:dyDescent="0.25">
      <c r="A1030" s="76"/>
      <c r="B1030" s="27" t="s">
        <v>2</v>
      </c>
      <c r="C1030" s="2">
        <f t="shared" ref="C1030:C1031" si="246">D1030+E1030+F1030+G1030+H1030</f>
        <v>0</v>
      </c>
      <c r="D1030" s="1"/>
      <c r="E1030" s="1"/>
      <c r="F1030" s="1"/>
      <c r="G1030" s="1"/>
      <c r="H1030" s="1"/>
      <c r="I1030" s="48"/>
      <c r="J1030" s="48"/>
      <c r="K1030" s="48"/>
      <c r="L1030" s="48"/>
      <c r="M1030" s="48"/>
      <c r="N1030" s="48"/>
      <c r="O1030" s="48"/>
      <c r="P1030" s="38"/>
      <c r="Q1030" s="48"/>
      <c r="R1030" s="48"/>
      <c r="S1030" s="48"/>
      <c r="T1030" s="55"/>
    </row>
    <row r="1031" spans="1:20" s="10" customFormat="1" ht="15.95" customHeight="1" x14ac:dyDescent="0.25">
      <c r="A1031" s="77"/>
      <c r="B1031" s="27" t="s">
        <v>3</v>
      </c>
      <c r="C1031" s="2">
        <f t="shared" si="246"/>
        <v>0</v>
      </c>
      <c r="D1031" s="1"/>
      <c r="E1031" s="1"/>
      <c r="F1031" s="1"/>
      <c r="G1031" s="1"/>
      <c r="H1031" s="1"/>
      <c r="I1031" s="48"/>
      <c r="J1031" s="48"/>
      <c r="K1031" s="48"/>
      <c r="L1031" s="48"/>
      <c r="M1031" s="48"/>
      <c r="N1031" s="48"/>
      <c r="O1031" s="48"/>
      <c r="P1031" s="38"/>
      <c r="Q1031" s="48"/>
      <c r="R1031" s="48"/>
      <c r="S1031" s="48"/>
      <c r="T1031" s="55"/>
    </row>
    <row r="1032" spans="1:20" s="10" customFormat="1" ht="15.95" customHeight="1" x14ac:dyDescent="0.25">
      <c r="A1032" s="75" t="s">
        <v>696</v>
      </c>
      <c r="B1032" s="115" t="s">
        <v>470</v>
      </c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6"/>
    </row>
    <row r="1033" spans="1:20" s="10" customFormat="1" ht="15.95" customHeight="1" x14ac:dyDescent="0.25">
      <c r="A1033" s="76"/>
      <c r="B1033" s="83" t="s">
        <v>434</v>
      </c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1"/>
    </row>
    <row r="1034" spans="1:20" s="10" customFormat="1" ht="45" customHeight="1" x14ac:dyDescent="0.25">
      <c r="A1034" s="76"/>
      <c r="B1034" s="45" t="s">
        <v>697</v>
      </c>
      <c r="C1034" s="46"/>
      <c r="D1034" s="46"/>
      <c r="E1034" s="46"/>
      <c r="F1034" s="46"/>
      <c r="G1034" s="46"/>
      <c r="H1034" s="47"/>
      <c r="I1034" s="48"/>
      <c r="J1034" s="48">
        <v>2023</v>
      </c>
      <c r="K1034" s="48" t="s">
        <v>388</v>
      </c>
      <c r="L1034" s="48"/>
      <c r="M1034" s="48" t="s">
        <v>482</v>
      </c>
      <c r="N1034" s="48" t="s">
        <v>480</v>
      </c>
      <c r="O1034" s="48" t="s">
        <v>49</v>
      </c>
      <c r="P1034" s="38"/>
      <c r="Q1034" s="48" t="s">
        <v>29</v>
      </c>
      <c r="R1034" s="48" t="s">
        <v>8</v>
      </c>
      <c r="S1034" s="48" t="s">
        <v>24</v>
      </c>
      <c r="T1034" s="55"/>
    </row>
    <row r="1035" spans="1:20" s="10" customFormat="1" ht="15.95" customHeight="1" x14ac:dyDescent="0.25">
      <c r="A1035" s="76"/>
      <c r="B1035" s="27" t="s">
        <v>5</v>
      </c>
      <c r="C1035" s="2">
        <f t="shared" ref="C1035:C1036" si="247">D1035+E1035+F1035+G1035+H1035</f>
        <v>8500</v>
      </c>
      <c r="D1035" s="2">
        <f t="shared" ref="D1035:H1035" si="248">SUM(D1036:D1039)</f>
        <v>0</v>
      </c>
      <c r="E1035" s="2">
        <f t="shared" si="248"/>
        <v>8500</v>
      </c>
      <c r="F1035" s="2">
        <f t="shared" si="248"/>
        <v>0</v>
      </c>
      <c r="G1035" s="2">
        <f t="shared" si="248"/>
        <v>0</v>
      </c>
      <c r="H1035" s="2">
        <f t="shared" si="248"/>
        <v>0</v>
      </c>
      <c r="I1035" s="48"/>
      <c r="J1035" s="48"/>
      <c r="K1035" s="48"/>
      <c r="L1035" s="48"/>
      <c r="M1035" s="48"/>
      <c r="N1035" s="48"/>
      <c r="O1035" s="48"/>
      <c r="P1035" s="38"/>
      <c r="Q1035" s="48"/>
      <c r="R1035" s="48"/>
      <c r="S1035" s="48"/>
      <c r="T1035" s="55"/>
    </row>
    <row r="1036" spans="1:20" s="10" customFormat="1" ht="15.95" customHeight="1" x14ac:dyDescent="0.25">
      <c r="A1036" s="76"/>
      <c r="B1036" s="27" t="s">
        <v>0</v>
      </c>
      <c r="C1036" s="2">
        <f t="shared" si="247"/>
        <v>0</v>
      </c>
      <c r="D1036" s="1"/>
      <c r="E1036" s="1"/>
      <c r="F1036" s="1"/>
      <c r="G1036" s="1"/>
      <c r="H1036" s="1"/>
      <c r="I1036" s="48"/>
      <c r="J1036" s="48"/>
      <c r="K1036" s="48"/>
      <c r="L1036" s="48"/>
      <c r="M1036" s="48"/>
      <c r="N1036" s="48"/>
      <c r="O1036" s="48"/>
      <c r="P1036" s="38"/>
      <c r="Q1036" s="48"/>
      <c r="R1036" s="48"/>
      <c r="S1036" s="48"/>
      <c r="T1036" s="55"/>
    </row>
    <row r="1037" spans="1:20" s="10" customFormat="1" ht="15.95" customHeight="1" x14ac:dyDescent="0.25">
      <c r="A1037" s="76"/>
      <c r="B1037" s="27" t="s">
        <v>1</v>
      </c>
      <c r="C1037" s="2">
        <f>D1037+E1037+F1037+G1037+H1037</f>
        <v>8500</v>
      </c>
      <c r="D1037" s="1">
        <v>0</v>
      </c>
      <c r="E1037" s="1">
        <v>8500</v>
      </c>
      <c r="F1037" s="1"/>
      <c r="G1037" s="1"/>
      <c r="H1037" s="1"/>
      <c r="I1037" s="48"/>
      <c r="J1037" s="48"/>
      <c r="K1037" s="48"/>
      <c r="L1037" s="48"/>
      <c r="M1037" s="48"/>
      <c r="N1037" s="48"/>
      <c r="O1037" s="48"/>
      <c r="P1037" s="38"/>
      <c r="Q1037" s="48"/>
      <c r="R1037" s="48"/>
      <c r="S1037" s="48"/>
      <c r="T1037" s="55"/>
    </row>
    <row r="1038" spans="1:20" s="10" customFormat="1" ht="15.95" customHeight="1" x14ac:dyDescent="0.25">
      <c r="A1038" s="76"/>
      <c r="B1038" s="27" t="s">
        <v>2</v>
      </c>
      <c r="C1038" s="2">
        <f t="shared" ref="C1038:C1039" si="249">D1038+E1038+F1038+G1038+H1038</f>
        <v>0</v>
      </c>
      <c r="D1038" s="1"/>
      <c r="E1038" s="1"/>
      <c r="F1038" s="1"/>
      <c r="G1038" s="1"/>
      <c r="H1038" s="1"/>
      <c r="I1038" s="48"/>
      <c r="J1038" s="48"/>
      <c r="K1038" s="48"/>
      <c r="L1038" s="48"/>
      <c r="M1038" s="48"/>
      <c r="N1038" s="48"/>
      <c r="O1038" s="48"/>
      <c r="P1038" s="38"/>
      <c r="Q1038" s="48"/>
      <c r="R1038" s="48"/>
      <c r="S1038" s="48"/>
      <c r="T1038" s="55"/>
    </row>
    <row r="1039" spans="1:20" s="10" customFormat="1" ht="15.95" customHeight="1" x14ac:dyDescent="0.25">
      <c r="A1039" s="77"/>
      <c r="B1039" s="27" t="s">
        <v>3</v>
      </c>
      <c r="C1039" s="2">
        <f t="shared" si="249"/>
        <v>0</v>
      </c>
      <c r="D1039" s="1"/>
      <c r="E1039" s="1"/>
      <c r="F1039" s="1"/>
      <c r="G1039" s="1"/>
      <c r="H1039" s="1"/>
      <c r="I1039" s="48"/>
      <c r="J1039" s="48"/>
      <c r="K1039" s="48"/>
      <c r="L1039" s="48"/>
      <c r="M1039" s="48"/>
      <c r="N1039" s="48"/>
      <c r="O1039" s="48"/>
      <c r="P1039" s="38"/>
      <c r="Q1039" s="48"/>
      <c r="R1039" s="48"/>
      <c r="S1039" s="48"/>
      <c r="T1039" s="55"/>
    </row>
    <row r="1040" spans="1:20" s="10" customFormat="1" ht="15.95" customHeight="1" x14ac:dyDescent="0.25">
      <c r="A1040" s="75" t="s">
        <v>698</v>
      </c>
      <c r="B1040" s="115" t="s">
        <v>470</v>
      </c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6"/>
    </row>
    <row r="1041" spans="1:20" s="10" customFormat="1" ht="15.95" customHeight="1" x14ac:dyDescent="0.25">
      <c r="A1041" s="76"/>
      <c r="B1041" s="83" t="s">
        <v>434</v>
      </c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1"/>
    </row>
    <row r="1042" spans="1:20" s="10" customFormat="1" ht="45" customHeight="1" x14ac:dyDescent="0.25">
      <c r="A1042" s="76"/>
      <c r="B1042" s="45" t="s">
        <v>720</v>
      </c>
      <c r="C1042" s="46"/>
      <c r="D1042" s="46"/>
      <c r="E1042" s="46"/>
      <c r="F1042" s="46"/>
      <c r="G1042" s="46"/>
      <c r="H1042" s="47"/>
      <c r="I1042" s="48"/>
      <c r="J1042" s="48">
        <v>2023</v>
      </c>
      <c r="K1042" s="48" t="s">
        <v>388</v>
      </c>
      <c r="L1042" s="48" t="s">
        <v>699</v>
      </c>
      <c r="M1042" s="48" t="s">
        <v>482</v>
      </c>
      <c r="N1042" s="48" t="s">
        <v>480</v>
      </c>
      <c r="O1042" s="48" t="s">
        <v>49</v>
      </c>
      <c r="P1042" s="38"/>
      <c r="Q1042" s="48" t="s">
        <v>29</v>
      </c>
      <c r="R1042" s="48" t="s">
        <v>8</v>
      </c>
      <c r="S1042" s="48" t="s">
        <v>24</v>
      </c>
      <c r="T1042" s="55"/>
    </row>
    <row r="1043" spans="1:20" s="10" customFormat="1" ht="15.95" customHeight="1" x14ac:dyDescent="0.25">
      <c r="A1043" s="76"/>
      <c r="B1043" s="27" t="s">
        <v>5</v>
      </c>
      <c r="C1043" s="2">
        <f t="shared" ref="C1043:C1044" si="250">D1043+E1043+F1043+G1043+H1043</f>
        <v>35142.3868</v>
      </c>
      <c r="D1043" s="2">
        <f t="shared" ref="D1043:H1043" si="251">SUM(D1044:D1047)</f>
        <v>0</v>
      </c>
      <c r="E1043" s="2">
        <f t="shared" si="251"/>
        <v>35142.3868</v>
      </c>
      <c r="F1043" s="2">
        <f t="shared" si="251"/>
        <v>0</v>
      </c>
      <c r="G1043" s="2">
        <f t="shared" si="251"/>
        <v>0</v>
      </c>
      <c r="H1043" s="2">
        <f t="shared" si="251"/>
        <v>0</v>
      </c>
      <c r="I1043" s="48"/>
      <c r="J1043" s="48"/>
      <c r="K1043" s="48"/>
      <c r="L1043" s="48"/>
      <c r="M1043" s="48"/>
      <c r="N1043" s="48"/>
      <c r="O1043" s="48"/>
      <c r="P1043" s="38"/>
      <c r="Q1043" s="48"/>
      <c r="R1043" s="48"/>
      <c r="S1043" s="48"/>
      <c r="T1043" s="55"/>
    </row>
    <row r="1044" spans="1:20" s="10" customFormat="1" ht="15.95" customHeight="1" x14ac:dyDescent="0.25">
      <c r="A1044" s="76"/>
      <c r="B1044" s="27" t="s">
        <v>0</v>
      </c>
      <c r="C1044" s="2">
        <f t="shared" si="250"/>
        <v>0</v>
      </c>
      <c r="D1044" s="1"/>
      <c r="E1044" s="1"/>
      <c r="F1044" s="1"/>
      <c r="G1044" s="1"/>
      <c r="H1044" s="1"/>
      <c r="I1044" s="48"/>
      <c r="J1044" s="48"/>
      <c r="K1044" s="48"/>
      <c r="L1044" s="48"/>
      <c r="M1044" s="48"/>
      <c r="N1044" s="48"/>
      <c r="O1044" s="48"/>
      <c r="P1044" s="38"/>
      <c r="Q1044" s="48"/>
      <c r="R1044" s="48"/>
      <c r="S1044" s="48"/>
      <c r="T1044" s="55"/>
    </row>
    <row r="1045" spans="1:20" s="10" customFormat="1" ht="15.95" customHeight="1" x14ac:dyDescent="0.25">
      <c r="A1045" s="76"/>
      <c r="B1045" s="27" t="s">
        <v>1</v>
      </c>
      <c r="C1045" s="2">
        <f>D1045+E1045+F1045+G1045+H1045</f>
        <v>35142.3868</v>
      </c>
      <c r="D1045" s="1">
        <v>0</v>
      </c>
      <c r="E1045" s="1">
        <f>55142.3868-20000</f>
        <v>35142.3868</v>
      </c>
      <c r="F1045" s="1"/>
      <c r="G1045" s="1"/>
      <c r="H1045" s="1"/>
      <c r="I1045" s="48"/>
      <c r="J1045" s="48"/>
      <c r="K1045" s="48"/>
      <c r="L1045" s="48"/>
      <c r="M1045" s="48"/>
      <c r="N1045" s="48"/>
      <c r="O1045" s="48"/>
      <c r="P1045" s="38"/>
      <c r="Q1045" s="48"/>
      <c r="R1045" s="48"/>
      <c r="S1045" s="48"/>
      <c r="T1045" s="55"/>
    </row>
    <row r="1046" spans="1:20" s="10" customFormat="1" ht="15.95" customHeight="1" x14ac:dyDescent="0.25">
      <c r="A1046" s="76"/>
      <c r="B1046" s="27" t="s">
        <v>2</v>
      </c>
      <c r="C1046" s="2">
        <f t="shared" ref="C1046:C1047" si="252">D1046+E1046+F1046+G1046+H1046</f>
        <v>0</v>
      </c>
      <c r="D1046" s="1"/>
      <c r="E1046" s="1"/>
      <c r="F1046" s="1"/>
      <c r="G1046" s="1"/>
      <c r="H1046" s="1"/>
      <c r="I1046" s="48"/>
      <c r="J1046" s="48"/>
      <c r="K1046" s="48"/>
      <c r="L1046" s="48"/>
      <c r="M1046" s="48"/>
      <c r="N1046" s="48"/>
      <c r="O1046" s="48"/>
      <c r="P1046" s="38"/>
      <c r="Q1046" s="48"/>
      <c r="R1046" s="48"/>
      <c r="S1046" s="48"/>
      <c r="T1046" s="55"/>
    </row>
    <row r="1047" spans="1:20" s="10" customFormat="1" ht="15.95" customHeight="1" x14ac:dyDescent="0.25">
      <c r="A1047" s="77"/>
      <c r="B1047" s="27" t="s">
        <v>3</v>
      </c>
      <c r="C1047" s="2">
        <f t="shared" si="252"/>
        <v>0</v>
      </c>
      <c r="D1047" s="1"/>
      <c r="E1047" s="1"/>
      <c r="F1047" s="1"/>
      <c r="G1047" s="1"/>
      <c r="H1047" s="1"/>
      <c r="I1047" s="48"/>
      <c r="J1047" s="48"/>
      <c r="K1047" s="48"/>
      <c r="L1047" s="48"/>
      <c r="M1047" s="48"/>
      <c r="N1047" s="48"/>
      <c r="O1047" s="48"/>
      <c r="P1047" s="38"/>
      <c r="Q1047" s="48"/>
      <c r="R1047" s="48"/>
      <c r="S1047" s="48"/>
      <c r="T1047" s="55"/>
    </row>
    <row r="1048" spans="1:20" s="10" customFormat="1" ht="15.95" customHeight="1" x14ac:dyDescent="0.25">
      <c r="A1048" s="75" t="s">
        <v>700</v>
      </c>
      <c r="B1048" s="115" t="s">
        <v>470</v>
      </c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6"/>
    </row>
    <row r="1049" spans="1:20" s="10" customFormat="1" ht="15.95" customHeight="1" x14ac:dyDescent="0.25">
      <c r="A1049" s="76"/>
      <c r="B1049" s="83" t="s">
        <v>434</v>
      </c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1"/>
    </row>
    <row r="1050" spans="1:20" s="10" customFormat="1" ht="45" customHeight="1" x14ac:dyDescent="0.25">
      <c r="A1050" s="76"/>
      <c r="B1050" s="45" t="s">
        <v>701</v>
      </c>
      <c r="C1050" s="46"/>
      <c r="D1050" s="46"/>
      <c r="E1050" s="46"/>
      <c r="F1050" s="46"/>
      <c r="G1050" s="46"/>
      <c r="H1050" s="47"/>
      <c r="I1050" s="48"/>
      <c r="J1050" s="48">
        <v>2023</v>
      </c>
      <c r="K1050" s="48" t="s">
        <v>388</v>
      </c>
      <c r="L1050" s="48" t="s">
        <v>702</v>
      </c>
      <c r="M1050" s="48" t="s">
        <v>482</v>
      </c>
      <c r="N1050" s="48" t="s">
        <v>480</v>
      </c>
      <c r="O1050" s="48" t="s">
        <v>49</v>
      </c>
      <c r="P1050" s="38"/>
      <c r="Q1050" s="48" t="s">
        <v>29</v>
      </c>
      <c r="R1050" s="48" t="s">
        <v>8</v>
      </c>
      <c r="S1050" s="48" t="s">
        <v>24</v>
      </c>
      <c r="T1050" s="55"/>
    </row>
    <row r="1051" spans="1:20" s="10" customFormat="1" ht="15.95" customHeight="1" x14ac:dyDescent="0.25">
      <c r="A1051" s="76"/>
      <c r="B1051" s="27" t="s">
        <v>5</v>
      </c>
      <c r="C1051" s="2">
        <f t="shared" ref="C1051:C1052" si="253">D1051+E1051+F1051+G1051+H1051</f>
        <v>11000</v>
      </c>
      <c r="D1051" s="2">
        <f t="shared" ref="D1051:H1051" si="254">SUM(D1052:D1055)</f>
        <v>0</v>
      </c>
      <c r="E1051" s="2">
        <f t="shared" si="254"/>
        <v>11000</v>
      </c>
      <c r="F1051" s="2">
        <f t="shared" si="254"/>
        <v>0</v>
      </c>
      <c r="G1051" s="2">
        <f t="shared" si="254"/>
        <v>0</v>
      </c>
      <c r="H1051" s="2">
        <f t="shared" si="254"/>
        <v>0</v>
      </c>
      <c r="I1051" s="48"/>
      <c r="J1051" s="48"/>
      <c r="K1051" s="48"/>
      <c r="L1051" s="48"/>
      <c r="M1051" s="48"/>
      <c r="N1051" s="48"/>
      <c r="O1051" s="48"/>
      <c r="P1051" s="38"/>
      <c r="Q1051" s="48"/>
      <c r="R1051" s="48"/>
      <c r="S1051" s="48"/>
      <c r="T1051" s="55"/>
    </row>
    <row r="1052" spans="1:20" s="10" customFormat="1" ht="15.95" customHeight="1" x14ac:dyDescent="0.25">
      <c r="A1052" s="76"/>
      <c r="B1052" s="27" t="s">
        <v>0</v>
      </c>
      <c r="C1052" s="2">
        <f t="shared" si="253"/>
        <v>0</v>
      </c>
      <c r="D1052" s="1"/>
      <c r="E1052" s="1"/>
      <c r="F1052" s="1"/>
      <c r="G1052" s="1"/>
      <c r="H1052" s="1"/>
      <c r="I1052" s="48"/>
      <c r="J1052" s="48"/>
      <c r="K1052" s="48"/>
      <c r="L1052" s="48"/>
      <c r="M1052" s="48"/>
      <c r="N1052" s="48"/>
      <c r="O1052" s="48"/>
      <c r="P1052" s="38"/>
      <c r="Q1052" s="48"/>
      <c r="R1052" s="48"/>
      <c r="S1052" s="48"/>
      <c r="T1052" s="55"/>
    </row>
    <row r="1053" spans="1:20" s="10" customFormat="1" ht="15.95" customHeight="1" x14ac:dyDescent="0.25">
      <c r="A1053" s="76"/>
      <c r="B1053" s="27" t="s">
        <v>1</v>
      </c>
      <c r="C1053" s="2">
        <f>D1053+E1053+F1053+G1053+H1053</f>
        <v>11000</v>
      </c>
      <c r="D1053" s="1">
        <v>0</v>
      </c>
      <c r="E1053" s="1">
        <v>11000</v>
      </c>
      <c r="F1053" s="1"/>
      <c r="G1053" s="1"/>
      <c r="H1053" s="1"/>
      <c r="I1053" s="48"/>
      <c r="J1053" s="48"/>
      <c r="K1053" s="48"/>
      <c r="L1053" s="48"/>
      <c r="M1053" s="48"/>
      <c r="N1053" s="48"/>
      <c r="O1053" s="48"/>
      <c r="P1053" s="38"/>
      <c r="Q1053" s="48"/>
      <c r="R1053" s="48"/>
      <c r="S1053" s="48"/>
      <c r="T1053" s="55"/>
    </row>
    <row r="1054" spans="1:20" s="10" customFormat="1" ht="15.95" customHeight="1" x14ac:dyDescent="0.25">
      <c r="A1054" s="76"/>
      <c r="B1054" s="27" t="s">
        <v>2</v>
      </c>
      <c r="C1054" s="2">
        <f t="shared" ref="C1054:C1055" si="255">D1054+E1054+F1054+G1054+H1054</f>
        <v>0</v>
      </c>
      <c r="D1054" s="1"/>
      <c r="E1054" s="1"/>
      <c r="F1054" s="1"/>
      <c r="G1054" s="1"/>
      <c r="H1054" s="1"/>
      <c r="I1054" s="48"/>
      <c r="J1054" s="48"/>
      <c r="K1054" s="48"/>
      <c r="L1054" s="48"/>
      <c r="M1054" s="48"/>
      <c r="N1054" s="48"/>
      <c r="O1054" s="48"/>
      <c r="P1054" s="38"/>
      <c r="Q1054" s="48"/>
      <c r="R1054" s="48"/>
      <c r="S1054" s="48"/>
      <c r="T1054" s="55"/>
    </row>
    <row r="1055" spans="1:20" s="10" customFormat="1" ht="15.95" customHeight="1" x14ac:dyDescent="0.25">
      <c r="A1055" s="77"/>
      <c r="B1055" s="27" t="s">
        <v>3</v>
      </c>
      <c r="C1055" s="2">
        <f t="shared" si="255"/>
        <v>0</v>
      </c>
      <c r="D1055" s="1"/>
      <c r="E1055" s="1"/>
      <c r="F1055" s="1"/>
      <c r="G1055" s="1"/>
      <c r="H1055" s="1"/>
      <c r="I1055" s="48"/>
      <c r="J1055" s="48"/>
      <c r="K1055" s="48"/>
      <c r="L1055" s="48"/>
      <c r="M1055" s="48"/>
      <c r="N1055" s="48"/>
      <c r="O1055" s="48"/>
      <c r="P1055" s="38"/>
      <c r="Q1055" s="48"/>
      <c r="R1055" s="48"/>
      <c r="S1055" s="48"/>
      <c r="T1055" s="55"/>
    </row>
    <row r="1056" spans="1:20" s="10" customFormat="1" ht="15.95" customHeight="1" x14ac:dyDescent="0.25">
      <c r="A1056" s="75" t="s">
        <v>703</v>
      </c>
      <c r="B1056" s="115" t="s">
        <v>470</v>
      </c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6"/>
    </row>
    <row r="1057" spans="1:20" s="10" customFormat="1" ht="15.95" customHeight="1" x14ac:dyDescent="0.25">
      <c r="A1057" s="76"/>
      <c r="B1057" s="83" t="s">
        <v>434</v>
      </c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1"/>
    </row>
    <row r="1058" spans="1:20" s="10" customFormat="1" ht="39.950000000000003" customHeight="1" x14ac:dyDescent="0.25">
      <c r="A1058" s="76"/>
      <c r="B1058" s="45" t="s">
        <v>704</v>
      </c>
      <c r="C1058" s="46"/>
      <c r="D1058" s="46"/>
      <c r="E1058" s="46"/>
      <c r="F1058" s="46"/>
      <c r="G1058" s="46"/>
      <c r="H1058" s="47"/>
      <c r="I1058" s="48"/>
      <c r="J1058" s="48">
        <v>2023</v>
      </c>
      <c r="K1058" s="48" t="s">
        <v>388</v>
      </c>
      <c r="L1058" s="48" t="s">
        <v>194</v>
      </c>
      <c r="M1058" s="48" t="s">
        <v>482</v>
      </c>
      <c r="N1058" s="48" t="s">
        <v>480</v>
      </c>
      <c r="O1058" s="48" t="s">
        <v>49</v>
      </c>
      <c r="P1058" s="38"/>
      <c r="Q1058" s="48" t="s">
        <v>29</v>
      </c>
      <c r="R1058" s="48" t="s">
        <v>8</v>
      </c>
      <c r="S1058" s="48" t="s">
        <v>24</v>
      </c>
      <c r="T1058" s="55"/>
    </row>
    <row r="1059" spans="1:20" s="10" customFormat="1" ht="15.95" customHeight="1" x14ac:dyDescent="0.25">
      <c r="A1059" s="76"/>
      <c r="B1059" s="27" t="s">
        <v>5</v>
      </c>
      <c r="C1059" s="2">
        <f t="shared" ref="C1059:C1060" si="256">D1059+E1059+F1059+G1059+H1059</f>
        <v>1700</v>
      </c>
      <c r="D1059" s="2">
        <f t="shared" ref="D1059:H1059" si="257">SUM(D1060:D1063)</f>
        <v>0</v>
      </c>
      <c r="E1059" s="2">
        <f t="shared" si="257"/>
        <v>1700</v>
      </c>
      <c r="F1059" s="2">
        <f t="shared" si="257"/>
        <v>0</v>
      </c>
      <c r="G1059" s="2">
        <f t="shared" si="257"/>
        <v>0</v>
      </c>
      <c r="H1059" s="2">
        <f t="shared" si="257"/>
        <v>0</v>
      </c>
      <c r="I1059" s="48"/>
      <c r="J1059" s="48"/>
      <c r="K1059" s="48"/>
      <c r="L1059" s="48"/>
      <c r="M1059" s="48"/>
      <c r="N1059" s="48"/>
      <c r="O1059" s="48"/>
      <c r="P1059" s="38"/>
      <c r="Q1059" s="48"/>
      <c r="R1059" s="48"/>
      <c r="S1059" s="48"/>
      <c r="T1059" s="55"/>
    </row>
    <row r="1060" spans="1:20" s="10" customFormat="1" ht="15.95" customHeight="1" x14ac:dyDescent="0.25">
      <c r="A1060" s="76"/>
      <c r="B1060" s="27" t="s">
        <v>0</v>
      </c>
      <c r="C1060" s="2">
        <f t="shared" si="256"/>
        <v>0</v>
      </c>
      <c r="D1060" s="1"/>
      <c r="E1060" s="1"/>
      <c r="F1060" s="1"/>
      <c r="G1060" s="1"/>
      <c r="H1060" s="1"/>
      <c r="I1060" s="48"/>
      <c r="J1060" s="48"/>
      <c r="K1060" s="48"/>
      <c r="L1060" s="48"/>
      <c r="M1060" s="48"/>
      <c r="N1060" s="48"/>
      <c r="O1060" s="48"/>
      <c r="P1060" s="38"/>
      <c r="Q1060" s="48"/>
      <c r="R1060" s="48"/>
      <c r="S1060" s="48"/>
      <c r="T1060" s="55"/>
    </row>
    <row r="1061" spans="1:20" s="10" customFormat="1" ht="15.95" customHeight="1" x14ac:dyDescent="0.25">
      <c r="A1061" s="76"/>
      <c r="B1061" s="27" t="s">
        <v>1</v>
      </c>
      <c r="C1061" s="2">
        <f>D1061+E1061+F1061+G1061+H1061</f>
        <v>1700</v>
      </c>
      <c r="D1061" s="1">
        <v>0</v>
      </c>
      <c r="E1061" s="1">
        <v>1700</v>
      </c>
      <c r="F1061" s="1"/>
      <c r="G1061" s="1"/>
      <c r="H1061" s="1"/>
      <c r="I1061" s="48"/>
      <c r="J1061" s="48"/>
      <c r="K1061" s="48"/>
      <c r="L1061" s="48"/>
      <c r="M1061" s="48"/>
      <c r="N1061" s="48"/>
      <c r="O1061" s="48"/>
      <c r="P1061" s="38"/>
      <c r="Q1061" s="48"/>
      <c r="R1061" s="48"/>
      <c r="S1061" s="48"/>
      <c r="T1061" s="55"/>
    </row>
    <row r="1062" spans="1:20" s="10" customFormat="1" ht="15.95" customHeight="1" x14ac:dyDescent="0.25">
      <c r="A1062" s="76"/>
      <c r="B1062" s="27" t="s">
        <v>2</v>
      </c>
      <c r="C1062" s="2">
        <f t="shared" ref="C1062:C1063" si="258">D1062+E1062+F1062+G1062+H1062</f>
        <v>0</v>
      </c>
      <c r="D1062" s="1"/>
      <c r="E1062" s="1"/>
      <c r="F1062" s="1"/>
      <c r="G1062" s="1"/>
      <c r="H1062" s="1"/>
      <c r="I1062" s="48"/>
      <c r="J1062" s="48"/>
      <c r="K1062" s="48"/>
      <c r="L1062" s="48"/>
      <c r="M1062" s="48"/>
      <c r="N1062" s="48"/>
      <c r="O1062" s="48"/>
      <c r="P1062" s="38"/>
      <c r="Q1062" s="48"/>
      <c r="R1062" s="48"/>
      <c r="S1062" s="48"/>
      <c r="T1062" s="55"/>
    </row>
    <row r="1063" spans="1:20" s="10" customFormat="1" ht="15.95" customHeight="1" x14ac:dyDescent="0.25">
      <c r="A1063" s="77"/>
      <c r="B1063" s="27" t="s">
        <v>3</v>
      </c>
      <c r="C1063" s="2">
        <f t="shared" si="258"/>
        <v>0</v>
      </c>
      <c r="D1063" s="1"/>
      <c r="E1063" s="1"/>
      <c r="F1063" s="1"/>
      <c r="G1063" s="1"/>
      <c r="H1063" s="1"/>
      <c r="I1063" s="48"/>
      <c r="J1063" s="48"/>
      <c r="K1063" s="48"/>
      <c r="L1063" s="48"/>
      <c r="M1063" s="48"/>
      <c r="N1063" s="48"/>
      <c r="O1063" s="48"/>
      <c r="P1063" s="38"/>
      <c r="Q1063" s="48"/>
      <c r="R1063" s="48"/>
      <c r="S1063" s="48"/>
      <c r="T1063" s="55"/>
    </row>
    <row r="1064" spans="1:20" s="10" customFormat="1" ht="15.95" customHeight="1" x14ac:dyDescent="0.25">
      <c r="A1064" s="75" t="s">
        <v>705</v>
      </c>
      <c r="B1064" s="115" t="s">
        <v>470</v>
      </c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6"/>
    </row>
    <row r="1065" spans="1:20" s="10" customFormat="1" ht="15.95" customHeight="1" x14ac:dyDescent="0.25">
      <c r="A1065" s="76"/>
      <c r="B1065" s="83" t="s">
        <v>434</v>
      </c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1"/>
    </row>
    <row r="1066" spans="1:20" s="10" customFormat="1" ht="39.950000000000003" customHeight="1" x14ac:dyDescent="0.25">
      <c r="A1066" s="76"/>
      <c r="B1066" s="45" t="s">
        <v>706</v>
      </c>
      <c r="C1066" s="46"/>
      <c r="D1066" s="46"/>
      <c r="E1066" s="46"/>
      <c r="F1066" s="46"/>
      <c r="G1066" s="46"/>
      <c r="H1066" s="47"/>
      <c r="I1066" s="48"/>
      <c r="J1066" s="48">
        <v>2023</v>
      </c>
      <c r="K1066" s="48" t="s">
        <v>388</v>
      </c>
      <c r="L1066" s="48" t="s">
        <v>707</v>
      </c>
      <c r="M1066" s="48" t="s">
        <v>482</v>
      </c>
      <c r="N1066" s="48" t="s">
        <v>480</v>
      </c>
      <c r="O1066" s="48" t="s">
        <v>49</v>
      </c>
      <c r="P1066" s="38"/>
      <c r="Q1066" s="48" t="s">
        <v>29</v>
      </c>
      <c r="R1066" s="48" t="s">
        <v>8</v>
      </c>
      <c r="S1066" s="48" t="s">
        <v>24</v>
      </c>
      <c r="T1066" s="55"/>
    </row>
    <row r="1067" spans="1:20" s="10" customFormat="1" ht="15.95" customHeight="1" x14ac:dyDescent="0.25">
      <c r="A1067" s="76"/>
      <c r="B1067" s="27" t="s">
        <v>5</v>
      </c>
      <c r="C1067" s="2">
        <f t="shared" ref="C1067:C1068" si="259">D1067+E1067+F1067+G1067+H1067</f>
        <v>2200</v>
      </c>
      <c r="D1067" s="2">
        <f t="shared" ref="D1067:H1067" si="260">SUM(D1068:D1071)</f>
        <v>0</v>
      </c>
      <c r="E1067" s="2">
        <f t="shared" si="260"/>
        <v>2200</v>
      </c>
      <c r="F1067" s="2">
        <f t="shared" si="260"/>
        <v>0</v>
      </c>
      <c r="G1067" s="2">
        <f t="shared" si="260"/>
        <v>0</v>
      </c>
      <c r="H1067" s="2">
        <f t="shared" si="260"/>
        <v>0</v>
      </c>
      <c r="I1067" s="48"/>
      <c r="J1067" s="48"/>
      <c r="K1067" s="48"/>
      <c r="L1067" s="48"/>
      <c r="M1067" s="48"/>
      <c r="N1067" s="48"/>
      <c r="O1067" s="48"/>
      <c r="P1067" s="38"/>
      <c r="Q1067" s="48"/>
      <c r="R1067" s="48"/>
      <c r="S1067" s="48"/>
      <c r="T1067" s="55"/>
    </row>
    <row r="1068" spans="1:20" s="10" customFormat="1" ht="15.95" customHeight="1" x14ac:dyDescent="0.25">
      <c r="A1068" s="76"/>
      <c r="B1068" s="27" t="s">
        <v>0</v>
      </c>
      <c r="C1068" s="2">
        <f t="shared" si="259"/>
        <v>0</v>
      </c>
      <c r="D1068" s="1"/>
      <c r="E1068" s="1"/>
      <c r="F1068" s="1"/>
      <c r="G1068" s="1"/>
      <c r="H1068" s="1"/>
      <c r="I1068" s="48"/>
      <c r="J1068" s="48"/>
      <c r="K1068" s="48"/>
      <c r="L1068" s="48"/>
      <c r="M1068" s="48"/>
      <c r="N1068" s="48"/>
      <c r="O1068" s="48"/>
      <c r="P1068" s="38"/>
      <c r="Q1068" s="48"/>
      <c r="R1068" s="48"/>
      <c r="S1068" s="48"/>
      <c r="T1068" s="55"/>
    </row>
    <row r="1069" spans="1:20" s="10" customFormat="1" ht="15.95" customHeight="1" x14ac:dyDescent="0.25">
      <c r="A1069" s="76"/>
      <c r="B1069" s="27" t="s">
        <v>1</v>
      </c>
      <c r="C1069" s="2">
        <f>D1069+E1069+F1069+G1069+H1069</f>
        <v>2200</v>
      </c>
      <c r="D1069" s="1">
        <v>0</v>
      </c>
      <c r="E1069" s="1">
        <v>2200</v>
      </c>
      <c r="F1069" s="1"/>
      <c r="G1069" s="1"/>
      <c r="H1069" s="1"/>
      <c r="I1069" s="48"/>
      <c r="J1069" s="48"/>
      <c r="K1069" s="48"/>
      <c r="L1069" s="48"/>
      <c r="M1069" s="48"/>
      <c r="N1069" s="48"/>
      <c r="O1069" s="48"/>
      <c r="P1069" s="38"/>
      <c r="Q1069" s="48"/>
      <c r="R1069" s="48"/>
      <c r="S1069" s="48"/>
      <c r="T1069" s="55"/>
    </row>
    <row r="1070" spans="1:20" s="10" customFormat="1" ht="15.95" customHeight="1" x14ac:dyDescent="0.25">
      <c r="A1070" s="76"/>
      <c r="B1070" s="27" t="s">
        <v>2</v>
      </c>
      <c r="C1070" s="2">
        <f t="shared" ref="C1070:C1071" si="261">D1070+E1070+F1070+G1070+H1070</f>
        <v>0</v>
      </c>
      <c r="D1070" s="1"/>
      <c r="E1070" s="1"/>
      <c r="F1070" s="1"/>
      <c r="G1070" s="1"/>
      <c r="H1070" s="1"/>
      <c r="I1070" s="48"/>
      <c r="J1070" s="48"/>
      <c r="K1070" s="48"/>
      <c r="L1070" s="48"/>
      <c r="M1070" s="48"/>
      <c r="N1070" s="48"/>
      <c r="O1070" s="48"/>
      <c r="P1070" s="38"/>
      <c r="Q1070" s="48"/>
      <c r="R1070" s="48"/>
      <c r="S1070" s="48"/>
      <c r="T1070" s="55"/>
    </row>
    <row r="1071" spans="1:20" s="10" customFormat="1" ht="15.95" customHeight="1" x14ac:dyDescent="0.25">
      <c r="A1071" s="77"/>
      <c r="B1071" s="27" t="s">
        <v>3</v>
      </c>
      <c r="C1071" s="2">
        <f t="shared" si="261"/>
        <v>0</v>
      </c>
      <c r="D1071" s="1"/>
      <c r="E1071" s="1"/>
      <c r="F1071" s="1"/>
      <c r="G1071" s="1"/>
      <c r="H1071" s="1"/>
      <c r="I1071" s="48"/>
      <c r="J1071" s="48"/>
      <c r="K1071" s="48"/>
      <c r="L1071" s="48"/>
      <c r="M1071" s="48"/>
      <c r="N1071" s="48"/>
      <c r="O1071" s="48"/>
      <c r="P1071" s="38"/>
      <c r="Q1071" s="48"/>
      <c r="R1071" s="48"/>
      <c r="S1071" s="48"/>
      <c r="T1071" s="55"/>
    </row>
    <row r="1072" spans="1:20" s="10" customFormat="1" ht="15.95" customHeight="1" x14ac:dyDescent="0.25">
      <c r="A1072" s="75" t="s">
        <v>708</v>
      </c>
      <c r="B1072" s="156" t="s">
        <v>470</v>
      </c>
      <c r="C1072" s="157"/>
      <c r="D1072" s="157"/>
      <c r="E1072" s="157"/>
      <c r="F1072" s="157"/>
      <c r="G1072" s="157"/>
      <c r="H1072" s="157"/>
      <c r="I1072" s="157"/>
      <c r="J1072" s="157"/>
      <c r="K1072" s="157"/>
      <c r="L1072" s="157"/>
      <c r="M1072" s="157"/>
      <c r="N1072" s="157"/>
      <c r="O1072" s="157"/>
      <c r="P1072" s="157"/>
      <c r="Q1072" s="157"/>
      <c r="R1072" s="157"/>
      <c r="S1072" s="157"/>
      <c r="T1072" s="158"/>
    </row>
    <row r="1073" spans="1:20" s="10" customFormat="1" ht="15.95" customHeight="1" x14ac:dyDescent="0.25">
      <c r="A1073" s="76"/>
      <c r="B1073" s="42" t="s">
        <v>434</v>
      </c>
      <c r="C1073" s="126"/>
      <c r="D1073" s="126"/>
      <c r="E1073" s="126"/>
      <c r="F1073" s="126"/>
      <c r="G1073" s="126"/>
      <c r="H1073" s="126"/>
      <c r="I1073" s="126"/>
      <c r="J1073" s="126"/>
      <c r="K1073" s="126"/>
      <c r="L1073" s="126"/>
      <c r="M1073" s="126"/>
      <c r="N1073" s="126"/>
      <c r="O1073" s="126"/>
      <c r="P1073" s="126"/>
      <c r="Q1073" s="126"/>
      <c r="R1073" s="126"/>
      <c r="S1073" s="126"/>
      <c r="T1073" s="127"/>
    </row>
    <row r="1074" spans="1:20" s="10" customFormat="1" ht="39.950000000000003" customHeight="1" x14ac:dyDescent="0.25">
      <c r="A1074" s="76"/>
      <c r="B1074" s="45" t="s">
        <v>709</v>
      </c>
      <c r="C1074" s="46"/>
      <c r="D1074" s="46"/>
      <c r="E1074" s="46"/>
      <c r="F1074" s="46"/>
      <c r="G1074" s="46"/>
      <c r="H1074" s="47"/>
      <c r="I1074" s="39"/>
      <c r="J1074" s="39">
        <v>2023</v>
      </c>
      <c r="K1074" s="39" t="s">
        <v>40</v>
      </c>
      <c r="L1074" s="39"/>
      <c r="M1074" s="39" t="s">
        <v>710</v>
      </c>
      <c r="N1074" s="39" t="s">
        <v>711</v>
      </c>
      <c r="O1074" s="39" t="s">
        <v>710</v>
      </c>
      <c r="P1074" s="84"/>
      <c r="Q1074" s="39" t="s">
        <v>7</v>
      </c>
      <c r="R1074" s="39" t="s">
        <v>710</v>
      </c>
      <c r="S1074" s="39" t="s">
        <v>24</v>
      </c>
      <c r="T1074" s="110"/>
    </row>
    <row r="1075" spans="1:20" s="10" customFormat="1" ht="15.95" customHeight="1" x14ac:dyDescent="0.25">
      <c r="A1075" s="76"/>
      <c r="B1075" s="27" t="s">
        <v>5</v>
      </c>
      <c r="C1075" s="2">
        <f t="shared" ref="C1075:C1076" si="262">D1075+E1075+F1075+G1075+H1075</f>
        <v>7507.7839999999997</v>
      </c>
      <c r="D1075" s="2">
        <f>SUM(D1076:D1079)</f>
        <v>0</v>
      </c>
      <c r="E1075" s="2">
        <f>SUM(E1076:E1079)</f>
        <v>7507.7839999999997</v>
      </c>
      <c r="F1075" s="2">
        <f>SUM(F1076:F1079)</f>
        <v>0</v>
      </c>
      <c r="G1075" s="2">
        <f>SUM(G1076:G1079)</f>
        <v>0</v>
      </c>
      <c r="H1075" s="2">
        <f>SUM(H1076:H1079)</f>
        <v>0</v>
      </c>
      <c r="I1075" s="40"/>
      <c r="J1075" s="40"/>
      <c r="K1075" s="40"/>
      <c r="L1075" s="40"/>
      <c r="M1075" s="40"/>
      <c r="N1075" s="40"/>
      <c r="O1075" s="40"/>
      <c r="P1075" s="85"/>
      <c r="Q1075" s="40"/>
      <c r="R1075" s="40"/>
      <c r="S1075" s="40"/>
      <c r="T1075" s="111"/>
    </row>
    <row r="1076" spans="1:20" s="10" customFormat="1" ht="15.95" customHeight="1" x14ac:dyDescent="0.25">
      <c r="A1076" s="76"/>
      <c r="B1076" s="27" t="s">
        <v>0</v>
      </c>
      <c r="C1076" s="2">
        <f t="shared" si="262"/>
        <v>0</v>
      </c>
      <c r="D1076" s="1"/>
      <c r="E1076" s="1"/>
      <c r="F1076" s="1"/>
      <c r="G1076" s="1"/>
      <c r="H1076" s="1"/>
      <c r="I1076" s="40"/>
      <c r="J1076" s="40"/>
      <c r="K1076" s="40"/>
      <c r="L1076" s="40"/>
      <c r="M1076" s="40"/>
      <c r="N1076" s="40"/>
      <c r="O1076" s="40"/>
      <c r="P1076" s="85"/>
      <c r="Q1076" s="40"/>
      <c r="R1076" s="40"/>
      <c r="S1076" s="40"/>
      <c r="T1076" s="111"/>
    </row>
    <row r="1077" spans="1:20" s="10" customFormat="1" ht="15.95" customHeight="1" x14ac:dyDescent="0.25">
      <c r="A1077" s="76"/>
      <c r="B1077" s="27" t="s">
        <v>1</v>
      </c>
      <c r="C1077" s="2">
        <f>D1077+E1077+F1077+G1077+H1077</f>
        <v>7507.7839999999997</v>
      </c>
      <c r="D1077" s="1">
        <v>0</v>
      </c>
      <c r="E1077" s="1">
        <v>7507.7839999999997</v>
      </c>
      <c r="F1077" s="1"/>
      <c r="G1077" s="1"/>
      <c r="H1077" s="1"/>
      <c r="I1077" s="40"/>
      <c r="J1077" s="40"/>
      <c r="K1077" s="40"/>
      <c r="L1077" s="40"/>
      <c r="M1077" s="40"/>
      <c r="N1077" s="40"/>
      <c r="O1077" s="40"/>
      <c r="P1077" s="85"/>
      <c r="Q1077" s="40"/>
      <c r="R1077" s="40"/>
      <c r="S1077" s="40"/>
      <c r="T1077" s="111"/>
    </row>
    <row r="1078" spans="1:20" s="10" customFormat="1" ht="15.95" customHeight="1" x14ac:dyDescent="0.25">
      <c r="A1078" s="76"/>
      <c r="B1078" s="27" t="s">
        <v>2</v>
      </c>
      <c r="C1078" s="2">
        <f t="shared" ref="C1078:C1079" si="263">D1078+E1078+F1078+G1078+H1078</f>
        <v>0</v>
      </c>
      <c r="D1078" s="1"/>
      <c r="E1078" s="1"/>
      <c r="F1078" s="1"/>
      <c r="G1078" s="1"/>
      <c r="H1078" s="1"/>
      <c r="I1078" s="40"/>
      <c r="J1078" s="40"/>
      <c r="K1078" s="40"/>
      <c r="L1078" s="40"/>
      <c r="M1078" s="40"/>
      <c r="N1078" s="40"/>
      <c r="O1078" s="40"/>
      <c r="P1078" s="85"/>
      <c r="Q1078" s="40"/>
      <c r="R1078" s="40"/>
      <c r="S1078" s="40"/>
      <c r="T1078" s="111"/>
    </row>
    <row r="1079" spans="1:20" s="10" customFormat="1" ht="15.95" customHeight="1" x14ac:dyDescent="0.25">
      <c r="A1079" s="77"/>
      <c r="B1079" s="27" t="s">
        <v>3</v>
      </c>
      <c r="C1079" s="2">
        <f t="shared" si="263"/>
        <v>0</v>
      </c>
      <c r="D1079" s="1"/>
      <c r="E1079" s="1"/>
      <c r="F1079" s="1"/>
      <c r="G1079" s="1"/>
      <c r="H1079" s="1"/>
      <c r="I1079" s="41"/>
      <c r="J1079" s="41"/>
      <c r="K1079" s="41"/>
      <c r="L1079" s="41"/>
      <c r="M1079" s="41"/>
      <c r="N1079" s="41"/>
      <c r="O1079" s="41"/>
      <c r="P1079" s="86"/>
      <c r="Q1079" s="41"/>
      <c r="R1079" s="41"/>
      <c r="S1079" s="41"/>
      <c r="T1079" s="112"/>
    </row>
    <row r="1080" spans="1:20" s="10" customFormat="1" ht="15.95" customHeight="1" x14ac:dyDescent="0.25">
      <c r="A1080" s="75" t="s">
        <v>824</v>
      </c>
      <c r="B1080" s="156" t="s">
        <v>470</v>
      </c>
      <c r="C1080" s="157"/>
      <c r="D1080" s="157"/>
      <c r="E1080" s="157"/>
      <c r="F1080" s="157"/>
      <c r="G1080" s="157"/>
      <c r="H1080" s="157"/>
      <c r="I1080" s="157"/>
      <c r="J1080" s="157"/>
      <c r="K1080" s="157"/>
      <c r="L1080" s="157"/>
      <c r="M1080" s="157"/>
      <c r="N1080" s="157"/>
      <c r="O1080" s="157"/>
      <c r="P1080" s="157"/>
      <c r="Q1080" s="157"/>
      <c r="R1080" s="157"/>
      <c r="S1080" s="157"/>
      <c r="T1080" s="158"/>
    </row>
    <row r="1081" spans="1:20" s="10" customFormat="1" ht="15.95" customHeight="1" x14ac:dyDescent="0.25">
      <c r="A1081" s="76"/>
      <c r="B1081" s="42" t="s">
        <v>282</v>
      </c>
      <c r="C1081" s="126"/>
      <c r="D1081" s="126"/>
      <c r="E1081" s="126"/>
      <c r="F1081" s="126"/>
      <c r="G1081" s="126"/>
      <c r="H1081" s="126"/>
      <c r="I1081" s="126"/>
      <c r="J1081" s="126"/>
      <c r="K1081" s="126"/>
      <c r="L1081" s="126"/>
      <c r="M1081" s="126"/>
      <c r="N1081" s="126"/>
      <c r="O1081" s="126"/>
      <c r="P1081" s="126"/>
      <c r="Q1081" s="126"/>
      <c r="R1081" s="126"/>
      <c r="S1081" s="126"/>
      <c r="T1081" s="127"/>
    </row>
    <row r="1082" spans="1:20" s="10" customFormat="1" ht="39.950000000000003" customHeight="1" x14ac:dyDescent="0.25">
      <c r="A1082" s="76"/>
      <c r="B1082" s="52" t="s">
        <v>830</v>
      </c>
      <c r="C1082" s="53"/>
      <c r="D1082" s="53"/>
      <c r="E1082" s="53"/>
      <c r="F1082" s="53"/>
      <c r="G1082" s="53"/>
      <c r="H1082" s="54"/>
      <c r="I1082" s="39"/>
      <c r="J1082" s="39">
        <v>2023</v>
      </c>
      <c r="K1082" s="39" t="s">
        <v>388</v>
      </c>
      <c r="L1082" s="39" t="s">
        <v>831</v>
      </c>
      <c r="M1082" s="39" t="s">
        <v>480</v>
      </c>
      <c r="N1082" s="39" t="s">
        <v>480</v>
      </c>
      <c r="O1082" s="39" t="s">
        <v>49</v>
      </c>
      <c r="P1082" s="84"/>
      <c r="Q1082" s="39" t="s">
        <v>29</v>
      </c>
      <c r="R1082" s="39" t="s">
        <v>48</v>
      </c>
      <c r="S1082" s="39" t="s">
        <v>24</v>
      </c>
      <c r="T1082" s="110"/>
    </row>
    <row r="1083" spans="1:20" s="10" customFormat="1" ht="15.95" customHeight="1" x14ac:dyDescent="0.25">
      <c r="A1083" s="76"/>
      <c r="B1083" s="33" t="s">
        <v>5</v>
      </c>
      <c r="C1083" s="2">
        <f>SUM(C1084:C1087)</f>
        <v>20000</v>
      </c>
      <c r="D1083" s="2">
        <f t="shared" ref="D1083:H1083" si="264">SUM(D1084:D1087)</f>
        <v>0</v>
      </c>
      <c r="E1083" s="2">
        <f t="shared" si="264"/>
        <v>20000</v>
      </c>
      <c r="F1083" s="2">
        <f t="shared" si="264"/>
        <v>0</v>
      </c>
      <c r="G1083" s="2">
        <f t="shared" si="264"/>
        <v>0</v>
      </c>
      <c r="H1083" s="2">
        <f t="shared" si="264"/>
        <v>0</v>
      </c>
      <c r="I1083" s="40"/>
      <c r="J1083" s="40"/>
      <c r="K1083" s="40"/>
      <c r="L1083" s="40"/>
      <c r="M1083" s="40"/>
      <c r="N1083" s="40"/>
      <c r="O1083" s="40"/>
      <c r="P1083" s="85"/>
      <c r="Q1083" s="40"/>
      <c r="R1083" s="40"/>
      <c r="S1083" s="40"/>
      <c r="T1083" s="111"/>
    </row>
    <row r="1084" spans="1:20" s="10" customFormat="1" ht="15.95" customHeight="1" x14ac:dyDescent="0.25">
      <c r="A1084" s="76"/>
      <c r="B1084" s="33" t="s">
        <v>0</v>
      </c>
      <c r="C1084" s="2">
        <f>SUM(D1084:H1084)</f>
        <v>0</v>
      </c>
      <c r="D1084" s="1"/>
      <c r="E1084" s="1"/>
      <c r="F1084" s="1"/>
      <c r="G1084" s="1"/>
      <c r="H1084" s="1"/>
      <c r="I1084" s="40"/>
      <c r="J1084" s="40"/>
      <c r="K1084" s="40"/>
      <c r="L1084" s="40"/>
      <c r="M1084" s="40"/>
      <c r="N1084" s="40"/>
      <c r="O1084" s="40"/>
      <c r="P1084" s="85"/>
      <c r="Q1084" s="40"/>
      <c r="R1084" s="40"/>
      <c r="S1084" s="40"/>
      <c r="T1084" s="111"/>
    </row>
    <row r="1085" spans="1:20" s="10" customFormat="1" ht="15.95" customHeight="1" x14ac:dyDescent="0.25">
      <c r="A1085" s="76"/>
      <c r="B1085" s="33" t="s">
        <v>1</v>
      </c>
      <c r="C1085" s="2">
        <f t="shared" ref="C1085:C1087" si="265">SUM(D1085:H1085)</f>
        <v>20000</v>
      </c>
      <c r="D1085" s="1"/>
      <c r="E1085" s="1">
        <v>20000</v>
      </c>
      <c r="F1085" s="1">
        <v>0</v>
      </c>
      <c r="G1085" s="1">
        <v>0</v>
      </c>
      <c r="H1085" s="1">
        <v>0</v>
      </c>
      <c r="I1085" s="40"/>
      <c r="J1085" s="40"/>
      <c r="K1085" s="40"/>
      <c r="L1085" s="40"/>
      <c r="M1085" s="40"/>
      <c r="N1085" s="40"/>
      <c r="O1085" s="40"/>
      <c r="P1085" s="85"/>
      <c r="Q1085" s="40"/>
      <c r="R1085" s="40"/>
      <c r="S1085" s="40"/>
      <c r="T1085" s="111"/>
    </row>
    <row r="1086" spans="1:20" s="10" customFormat="1" ht="15.95" customHeight="1" x14ac:dyDescent="0.25">
      <c r="A1086" s="76"/>
      <c r="B1086" s="33" t="s">
        <v>2</v>
      </c>
      <c r="C1086" s="2">
        <f t="shared" si="265"/>
        <v>0</v>
      </c>
      <c r="D1086" s="2"/>
      <c r="E1086" s="1"/>
      <c r="F1086" s="1"/>
      <c r="G1086" s="1"/>
      <c r="H1086" s="1"/>
      <c r="I1086" s="40"/>
      <c r="J1086" s="40"/>
      <c r="K1086" s="40"/>
      <c r="L1086" s="40"/>
      <c r="M1086" s="40"/>
      <c r="N1086" s="40"/>
      <c r="O1086" s="40"/>
      <c r="P1086" s="85"/>
      <c r="Q1086" s="40"/>
      <c r="R1086" s="40"/>
      <c r="S1086" s="40"/>
      <c r="T1086" s="111"/>
    </row>
    <row r="1087" spans="1:20" s="10" customFormat="1" ht="15.95" customHeight="1" x14ac:dyDescent="0.25">
      <c r="A1087" s="77"/>
      <c r="B1087" s="33" t="s">
        <v>3</v>
      </c>
      <c r="C1087" s="2">
        <f t="shared" si="265"/>
        <v>0</v>
      </c>
      <c r="D1087" s="1"/>
      <c r="E1087" s="1"/>
      <c r="F1087" s="1"/>
      <c r="G1087" s="1"/>
      <c r="H1087" s="1"/>
      <c r="I1087" s="41"/>
      <c r="J1087" s="41"/>
      <c r="K1087" s="41"/>
      <c r="L1087" s="41"/>
      <c r="M1087" s="41"/>
      <c r="N1087" s="41"/>
      <c r="O1087" s="41"/>
      <c r="P1087" s="86"/>
      <c r="Q1087" s="41"/>
      <c r="R1087" s="41"/>
      <c r="S1087" s="41"/>
      <c r="T1087" s="112"/>
    </row>
    <row r="1088" spans="1:20" ht="15.95" customHeight="1" x14ac:dyDescent="0.2">
      <c r="A1088" s="89" t="s">
        <v>68</v>
      </c>
      <c r="B1088" s="50" t="s">
        <v>91</v>
      </c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1"/>
    </row>
    <row r="1089" spans="1:20" ht="15.95" customHeight="1" x14ac:dyDescent="0.2">
      <c r="A1089" s="89"/>
      <c r="B1089" s="31" t="s">
        <v>5</v>
      </c>
      <c r="C1089" s="3">
        <f t="shared" ref="C1089:D1089" si="266">SUM(C1090:C1093)</f>
        <v>13025360.338260002</v>
      </c>
      <c r="D1089" s="3">
        <f t="shared" si="266"/>
        <v>4315793.8948599994</v>
      </c>
      <c r="E1089" s="3">
        <f>SUM(E1090:E1093)</f>
        <v>2484951.8964</v>
      </c>
      <c r="F1089" s="3">
        <f t="shared" ref="F1089:H1089" si="267">SUM(F1090:F1093)</f>
        <v>2514245.6189999999</v>
      </c>
      <c r="G1089" s="3">
        <f t="shared" si="267"/>
        <v>2831041.088</v>
      </c>
      <c r="H1089" s="3">
        <f t="shared" si="267"/>
        <v>879327.84000000008</v>
      </c>
      <c r="I1089" s="117"/>
      <c r="J1089" s="117"/>
      <c r="K1089" s="117"/>
      <c r="L1089" s="117"/>
      <c r="M1089" s="117"/>
      <c r="N1089" s="117"/>
      <c r="O1089" s="117"/>
      <c r="P1089" s="117"/>
      <c r="Q1089" s="117"/>
      <c r="R1089" s="117"/>
      <c r="S1089" s="117"/>
      <c r="T1089" s="118"/>
    </row>
    <row r="1090" spans="1:20" ht="15.95" customHeight="1" x14ac:dyDescent="0.2">
      <c r="A1090" s="89"/>
      <c r="B1090" s="31" t="s">
        <v>0</v>
      </c>
      <c r="C1090" s="3">
        <f>D1090+E1090+F1090+H1090+G1090</f>
        <v>7152468.2460000003</v>
      </c>
      <c r="D1090" s="3">
        <f>D1098+D1106+D1114+D1130+D1138+D1146+D1122+D1154+D1162+D1170+D1178+D1186+D1194+D1202+D1210+D1218+D1226+D1234+D1250+D1258+D1266+D1274+D1282+D1290+D1242+D1298</f>
        <v>3358341.0999999996</v>
      </c>
      <c r="E1090" s="3">
        <f t="shared" ref="E1090:H1090" si="268">E1098+E1106+E1114+E1130+E1138+E1146+E1122+E1154+E1162+E1170+E1178+E1186+E1194+E1202+E1210+E1218+E1226+E1234+E1250+E1258+E1266+E1274+E1282+E1290+E1242+E1298</f>
        <v>1659011.946</v>
      </c>
      <c r="F1090" s="3">
        <f t="shared" si="268"/>
        <v>2135115.2000000002</v>
      </c>
      <c r="G1090" s="3">
        <f t="shared" si="268"/>
        <v>0</v>
      </c>
      <c r="H1090" s="3">
        <f t="shared" si="268"/>
        <v>0</v>
      </c>
      <c r="I1090" s="117"/>
      <c r="J1090" s="117"/>
      <c r="K1090" s="117"/>
      <c r="L1090" s="117"/>
      <c r="M1090" s="117"/>
      <c r="N1090" s="117"/>
      <c r="O1090" s="117"/>
      <c r="P1090" s="117"/>
      <c r="Q1090" s="117"/>
      <c r="R1090" s="117"/>
      <c r="S1090" s="117"/>
      <c r="T1090" s="118"/>
    </row>
    <row r="1091" spans="1:20" ht="15.95" customHeight="1" x14ac:dyDescent="0.2">
      <c r="A1091" s="89"/>
      <c r="B1091" s="31" t="s">
        <v>1</v>
      </c>
      <c r="C1091" s="3">
        <f>D1091+E1091+F1091+H1091+G1091</f>
        <v>5792953.1977200005</v>
      </c>
      <c r="D1091" s="3">
        <f t="shared" ref="D1091:H1093" si="269">D1099+D1107+D1115+D1131+D1139+D1147+D1123+D1155+D1163+D1171+D1179+D1187+D1195+D1203+D1211+D1219+D1227+D1235+D1251+D1259+D1267+D1275+D1283+D1291+D1243+D1299</f>
        <v>957452.79485999991</v>
      </c>
      <c r="E1091" s="3">
        <f t="shared" si="269"/>
        <v>825939.95040000009</v>
      </c>
      <c r="F1091" s="3">
        <f t="shared" si="269"/>
        <v>379130.41899999999</v>
      </c>
      <c r="G1091" s="3">
        <f t="shared" si="269"/>
        <v>2831041.088</v>
      </c>
      <c r="H1091" s="3">
        <f t="shared" si="269"/>
        <v>799388.94546000008</v>
      </c>
      <c r="I1091" s="117"/>
      <c r="J1091" s="117"/>
      <c r="K1091" s="117"/>
      <c r="L1091" s="117"/>
      <c r="M1091" s="117"/>
      <c r="N1091" s="117"/>
      <c r="O1091" s="117"/>
      <c r="P1091" s="117"/>
      <c r="Q1091" s="117"/>
      <c r="R1091" s="117"/>
      <c r="S1091" s="117"/>
      <c r="T1091" s="118"/>
    </row>
    <row r="1092" spans="1:20" ht="15.95" customHeight="1" x14ac:dyDescent="0.2">
      <c r="A1092" s="89"/>
      <c r="B1092" s="31" t="s">
        <v>2</v>
      </c>
      <c r="C1092" s="3">
        <f>D1092+E1092+F1092+H1092+G1092</f>
        <v>79938.894540000008</v>
      </c>
      <c r="D1092" s="3">
        <f t="shared" si="269"/>
        <v>0</v>
      </c>
      <c r="E1092" s="3">
        <f t="shared" si="269"/>
        <v>0</v>
      </c>
      <c r="F1092" s="3">
        <f t="shared" si="269"/>
        <v>0</v>
      </c>
      <c r="G1092" s="3">
        <f t="shared" si="269"/>
        <v>0</v>
      </c>
      <c r="H1092" s="3">
        <f t="shared" si="269"/>
        <v>79938.894540000008</v>
      </c>
      <c r="I1092" s="117"/>
      <c r="J1092" s="117"/>
      <c r="K1092" s="117"/>
      <c r="L1092" s="117"/>
      <c r="M1092" s="117"/>
      <c r="N1092" s="117"/>
      <c r="O1092" s="117"/>
      <c r="P1092" s="117"/>
      <c r="Q1092" s="117"/>
      <c r="R1092" s="117"/>
      <c r="S1092" s="117"/>
      <c r="T1092" s="118"/>
    </row>
    <row r="1093" spans="1:20" ht="15.95" customHeight="1" x14ac:dyDescent="0.2">
      <c r="A1093" s="89"/>
      <c r="B1093" s="31" t="s">
        <v>3</v>
      </c>
      <c r="C1093" s="3">
        <f>D1093+E1093+F1093+H1093+G1093</f>
        <v>0</v>
      </c>
      <c r="D1093" s="3">
        <f t="shared" si="269"/>
        <v>0</v>
      </c>
      <c r="E1093" s="3">
        <f t="shared" si="269"/>
        <v>0</v>
      </c>
      <c r="F1093" s="3">
        <f t="shared" si="269"/>
        <v>0</v>
      </c>
      <c r="G1093" s="3">
        <f t="shared" si="269"/>
        <v>0</v>
      </c>
      <c r="H1093" s="3">
        <f t="shared" si="269"/>
        <v>0</v>
      </c>
      <c r="I1093" s="117"/>
      <c r="J1093" s="117"/>
      <c r="K1093" s="117"/>
      <c r="L1093" s="117"/>
      <c r="M1093" s="117"/>
      <c r="N1093" s="117"/>
      <c r="O1093" s="117"/>
      <c r="P1093" s="117"/>
      <c r="Q1093" s="117"/>
      <c r="R1093" s="117"/>
      <c r="S1093" s="117"/>
      <c r="T1093" s="118"/>
    </row>
    <row r="1094" spans="1:20" ht="15.95" customHeight="1" x14ac:dyDescent="0.2">
      <c r="A1094" s="34" t="s">
        <v>127</v>
      </c>
      <c r="B1094" s="78" t="s">
        <v>70</v>
      </c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8"/>
      <c r="O1094" s="78"/>
      <c r="P1094" s="78"/>
      <c r="Q1094" s="78"/>
      <c r="R1094" s="78"/>
      <c r="S1094" s="78"/>
      <c r="T1094" s="79"/>
    </row>
    <row r="1095" spans="1:20" ht="15.95" customHeight="1" x14ac:dyDescent="0.2">
      <c r="A1095" s="34" t="s">
        <v>57</v>
      </c>
      <c r="B1095" s="50" t="s">
        <v>92</v>
      </c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1"/>
    </row>
    <row r="1096" spans="1:20" ht="39.950000000000003" customHeight="1" x14ac:dyDescent="0.2">
      <c r="A1096" s="34"/>
      <c r="B1096" s="80" t="s">
        <v>279</v>
      </c>
      <c r="C1096" s="80"/>
      <c r="D1096" s="80"/>
      <c r="E1096" s="80"/>
      <c r="F1096" s="80"/>
      <c r="G1096" s="80"/>
      <c r="H1096" s="80"/>
      <c r="I1096" s="48" t="s">
        <v>390</v>
      </c>
      <c r="J1096" s="48" t="s">
        <v>20</v>
      </c>
      <c r="K1096" s="39" t="s">
        <v>35</v>
      </c>
      <c r="L1096" s="48" t="s">
        <v>280</v>
      </c>
      <c r="M1096" s="48" t="s">
        <v>71</v>
      </c>
      <c r="N1096" s="48" t="s">
        <v>70</v>
      </c>
      <c r="O1096" s="48" t="s">
        <v>71</v>
      </c>
      <c r="P1096" s="38" t="s">
        <v>391</v>
      </c>
      <c r="Q1096" s="48" t="s">
        <v>29</v>
      </c>
      <c r="R1096" s="48" t="s">
        <v>33</v>
      </c>
      <c r="S1096" s="48" t="s">
        <v>30</v>
      </c>
      <c r="T1096" s="55" t="s">
        <v>281</v>
      </c>
    </row>
    <row r="1097" spans="1:20" ht="15.95" customHeight="1" x14ac:dyDescent="0.2">
      <c r="A1097" s="34"/>
      <c r="B1097" s="25" t="s">
        <v>5</v>
      </c>
      <c r="C1097" s="2">
        <f>D1097+E1097+F1097+G1097+H1097</f>
        <v>991169.93299999996</v>
      </c>
      <c r="D1097" s="1">
        <f t="shared" ref="D1097:H1097" si="270">SUM(D1098:D1101)</f>
        <v>358430.8</v>
      </c>
      <c r="E1097" s="1">
        <f t="shared" si="270"/>
        <v>632739.13300000003</v>
      </c>
      <c r="F1097" s="1">
        <f t="shared" si="270"/>
        <v>0</v>
      </c>
      <c r="G1097" s="1">
        <f t="shared" si="270"/>
        <v>0</v>
      </c>
      <c r="H1097" s="1">
        <f t="shared" si="270"/>
        <v>0</v>
      </c>
      <c r="I1097" s="48"/>
      <c r="J1097" s="48"/>
      <c r="K1097" s="40"/>
      <c r="L1097" s="48"/>
      <c r="M1097" s="48"/>
      <c r="N1097" s="48"/>
      <c r="O1097" s="48"/>
      <c r="P1097" s="38"/>
      <c r="Q1097" s="48"/>
      <c r="R1097" s="48"/>
      <c r="S1097" s="48"/>
      <c r="T1097" s="55"/>
    </row>
    <row r="1098" spans="1:20" ht="15.95" customHeight="1" x14ac:dyDescent="0.2">
      <c r="A1098" s="34"/>
      <c r="B1098" s="25" t="s">
        <v>0</v>
      </c>
      <c r="C1098" s="2">
        <f>D1098+E1098+F1098+G1098+H1098</f>
        <v>707600.8</v>
      </c>
      <c r="D1098" s="1">
        <f>0+302100.8</f>
        <v>302100.8</v>
      </c>
      <c r="E1098" s="1">
        <f>0+405500</f>
        <v>405500</v>
      </c>
      <c r="F1098" s="1"/>
      <c r="G1098" s="1"/>
      <c r="H1098" s="1"/>
      <c r="I1098" s="48"/>
      <c r="J1098" s="48"/>
      <c r="K1098" s="40"/>
      <c r="L1098" s="48"/>
      <c r="M1098" s="48"/>
      <c r="N1098" s="48"/>
      <c r="O1098" s="48"/>
      <c r="P1098" s="38"/>
      <c r="Q1098" s="48"/>
      <c r="R1098" s="48"/>
      <c r="S1098" s="48"/>
      <c r="T1098" s="55"/>
    </row>
    <row r="1099" spans="1:20" ht="15.95" customHeight="1" x14ac:dyDescent="0.2">
      <c r="A1099" s="34"/>
      <c r="B1099" s="25" t="s">
        <v>1</v>
      </c>
      <c r="C1099" s="2">
        <f>D1099+E1099+F1099+G1099+H1099</f>
        <v>283569.13300000003</v>
      </c>
      <c r="D1099" s="1">
        <v>56330</v>
      </c>
      <c r="E1099" s="1">
        <f>39422.449+187816.684</f>
        <v>227239.133</v>
      </c>
      <c r="F1099" s="1"/>
      <c r="G1099" s="1"/>
      <c r="H1099" s="1"/>
      <c r="I1099" s="48"/>
      <c r="J1099" s="48"/>
      <c r="K1099" s="40"/>
      <c r="L1099" s="48"/>
      <c r="M1099" s="48"/>
      <c r="N1099" s="48"/>
      <c r="O1099" s="48"/>
      <c r="P1099" s="38"/>
      <c r="Q1099" s="48"/>
      <c r="R1099" s="48"/>
      <c r="S1099" s="48"/>
      <c r="T1099" s="55"/>
    </row>
    <row r="1100" spans="1:20" ht="15.95" customHeight="1" x14ac:dyDescent="0.2">
      <c r="A1100" s="34"/>
      <c r="B1100" s="25" t="s">
        <v>2</v>
      </c>
      <c r="C1100" s="2">
        <f>D1100+E1100+F1100+G1100+H1100</f>
        <v>0</v>
      </c>
      <c r="D1100" s="1"/>
      <c r="E1100" s="1"/>
      <c r="F1100" s="1"/>
      <c r="G1100" s="1"/>
      <c r="H1100" s="1"/>
      <c r="I1100" s="48"/>
      <c r="J1100" s="48"/>
      <c r="K1100" s="40"/>
      <c r="L1100" s="48"/>
      <c r="M1100" s="48"/>
      <c r="N1100" s="48"/>
      <c r="O1100" s="48"/>
      <c r="P1100" s="38"/>
      <c r="Q1100" s="48"/>
      <c r="R1100" s="48"/>
      <c r="S1100" s="48"/>
      <c r="T1100" s="55"/>
    </row>
    <row r="1101" spans="1:20" ht="15.95" customHeight="1" x14ac:dyDescent="0.2">
      <c r="A1101" s="34"/>
      <c r="B1101" s="25" t="s">
        <v>3</v>
      </c>
      <c r="C1101" s="2">
        <f>D1101+E1101+F1101+G1101+H1101</f>
        <v>0</v>
      </c>
      <c r="D1101" s="1"/>
      <c r="E1101" s="1"/>
      <c r="F1101" s="1"/>
      <c r="G1101" s="1"/>
      <c r="H1101" s="1"/>
      <c r="I1101" s="48"/>
      <c r="J1101" s="48"/>
      <c r="K1101" s="41"/>
      <c r="L1101" s="48"/>
      <c r="M1101" s="48"/>
      <c r="N1101" s="48"/>
      <c r="O1101" s="48"/>
      <c r="P1101" s="38"/>
      <c r="Q1101" s="48"/>
      <c r="R1101" s="48"/>
      <c r="S1101" s="48"/>
      <c r="T1101" s="55"/>
    </row>
    <row r="1102" spans="1:20" ht="15.95" customHeight="1" x14ac:dyDescent="0.2">
      <c r="A1102" s="34" t="s">
        <v>128</v>
      </c>
      <c r="B1102" s="78" t="s">
        <v>70</v>
      </c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79"/>
    </row>
    <row r="1103" spans="1:20" ht="15.95" customHeight="1" x14ac:dyDescent="0.2">
      <c r="A1103" s="34" t="s">
        <v>57</v>
      </c>
      <c r="B1103" s="50" t="s">
        <v>92</v>
      </c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1"/>
    </row>
    <row r="1104" spans="1:20" ht="45" customHeight="1" x14ac:dyDescent="0.2">
      <c r="A1104" s="34"/>
      <c r="B1104" s="80" t="s">
        <v>766</v>
      </c>
      <c r="C1104" s="80"/>
      <c r="D1104" s="80"/>
      <c r="E1104" s="80"/>
      <c r="F1104" s="80"/>
      <c r="G1104" s="80"/>
      <c r="H1104" s="80"/>
      <c r="I1104" s="48" t="s">
        <v>42</v>
      </c>
      <c r="J1104" s="48" t="s">
        <v>19</v>
      </c>
      <c r="K1104" s="39" t="s">
        <v>35</v>
      </c>
      <c r="L1104" s="48" t="s">
        <v>767</v>
      </c>
      <c r="M1104" s="48" t="s">
        <v>71</v>
      </c>
      <c r="N1104" s="48" t="s">
        <v>70</v>
      </c>
      <c r="O1104" s="48" t="s">
        <v>71</v>
      </c>
      <c r="P1104" s="38" t="s">
        <v>779</v>
      </c>
      <c r="Q1104" s="48" t="s">
        <v>29</v>
      </c>
      <c r="R1104" s="48" t="s">
        <v>33</v>
      </c>
      <c r="S1104" s="48" t="s">
        <v>30</v>
      </c>
      <c r="T1104" s="55" t="s">
        <v>768</v>
      </c>
    </row>
    <row r="1105" spans="1:20" ht="15.95" customHeight="1" x14ac:dyDescent="0.2">
      <c r="A1105" s="34"/>
      <c r="B1105" s="25" t="s">
        <v>5</v>
      </c>
      <c r="C1105" s="2">
        <f>D1105+E1105+F1105+G1105+H1105</f>
        <v>8737402.8719999995</v>
      </c>
      <c r="D1105" s="1">
        <f t="shared" ref="D1105:H1105" si="271">SUM(D1106:D1109)</f>
        <v>2805065.3</v>
      </c>
      <c r="E1105" s="1">
        <f t="shared" si="271"/>
        <v>767872.28399999999</v>
      </c>
      <c r="F1105" s="1">
        <f t="shared" si="271"/>
        <v>2343424.2000000002</v>
      </c>
      <c r="G1105" s="1">
        <f t="shared" si="271"/>
        <v>2821041.088</v>
      </c>
      <c r="H1105" s="1">
        <f t="shared" si="271"/>
        <v>0</v>
      </c>
      <c r="I1105" s="48"/>
      <c r="J1105" s="48"/>
      <c r="K1105" s="40"/>
      <c r="L1105" s="48"/>
      <c r="M1105" s="48"/>
      <c r="N1105" s="48"/>
      <c r="O1105" s="48"/>
      <c r="P1105" s="38"/>
      <c r="Q1105" s="48"/>
      <c r="R1105" s="48"/>
      <c r="S1105" s="48"/>
      <c r="T1105" s="55"/>
    </row>
    <row r="1106" spans="1:20" ht="15.95" customHeight="1" x14ac:dyDescent="0.2">
      <c r="A1106" s="34"/>
      <c r="B1106" s="25" t="s">
        <v>0</v>
      </c>
      <c r="C1106" s="2">
        <f>D1106+E1106+F1106+G1106+H1106</f>
        <v>5534203.5</v>
      </c>
      <c r="D1106" s="1">
        <f>0+2726240.3</f>
        <v>2726240.3</v>
      </c>
      <c r="E1106" s="1">
        <f>0+672848</f>
        <v>672848</v>
      </c>
      <c r="F1106" s="1">
        <f>0+2135115.2</f>
        <v>2135115.2000000002</v>
      </c>
      <c r="G1106" s="1"/>
      <c r="H1106" s="1"/>
      <c r="I1106" s="48"/>
      <c r="J1106" s="48"/>
      <c r="K1106" s="40"/>
      <c r="L1106" s="48"/>
      <c r="M1106" s="48"/>
      <c r="N1106" s="48"/>
      <c r="O1106" s="48"/>
      <c r="P1106" s="38"/>
      <c r="Q1106" s="48"/>
      <c r="R1106" s="48"/>
      <c r="S1106" s="48"/>
      <c r="T1106" s="55"/>
    </row>
    <row r="1107" spans="1:20" ht="15.95" customHeight="1" x14ac:dyDescent="0.2">
      <c r="A1107" s="34"/>
      <c r="B1107" s="25" t="s">
        <v>1</v>
      </c>
      <c r="C1107" s="2">
        <f>D1107+E1107+F1107+G1107+H1107</f>
        <v>3203199.372</v>
      </c>
      <c r="D1107" s="1">
        <f>75000+3825</f>
        <v>78825</v>
      </c>
      <c r="E1107" s="1">
        <f>0+110250-15225.716</f>
        <v>95024.284</v>
      </c>
      <c r="F1107" s="1">
        <f>283856.805-75547.805</f>
        <v>208309</v>
      </c>
      <c r="G1107" s="1">
        <f>0+2821041.088</f>
        <v>2821041.088</v>
      </c>
      <c r="H1107" s="1"/>
      <c r="I1107" s="48"/>
      <c r="J1107" s="48"/>
      <c r="K1107" s="40"/>
      <c r="L1107" s="48"/>
      <c r="M1107" s="48"/>
      <c r="N1107" s="48"/>
      <c r="O1107" s="48"/>
      <c r="P1107" s="38"/>
      <c r="Q1107" s="48"/>
      <c r="R1107" s="48"/>
      <c r="S1107" s="48"/>
      <c r="T1107" s="55"/>
    </row>
    <row r="1108" spans="1:20" ht="15.95" customHeight="1" x14ac:dyDescent="0.2">
      <c r="A1108" s="34"/>
      <c r="B1108" s="25" t="s">
        <v>2</v>
      </c>
      <c r="C1108" s="2">
        <f>D1108+E1108+F1108+G1108+H1108</f>
        <v>0</v>
      </c>
      <c r="D1108" s="1"/>
      <c r="E1108" s="1"/>
      <c r="F1108" s="1"/>
      <c r="G1108" s="1"/>
      <c r="H1108" s="1"/>
      <c r="I1108" s="48"/>
      <c r="J1108" s="48"/>
      <c r="K1108" s="40"/>
      <c r="L1108" s="48"/>
      <c r="M1108" s="48"/>
      <c r="N1108" s="48"/>
      <c r="O1108" s="48"/>
      <c r="P1108" s="38"/>
      <c r="Q1108" s="48"/>
      <c r="R1108" s="48"/>
      <c r="S1108" s="48"/>
      <c r="T1108" s="55"/>
    </row>
    <row r="1109" spans="1:20" ht="15.95" customHeight="1" x14ac:dyDescent="0.2">
      <c r="A1109" s="34"/>
      <c r="B1109" s="25" t="s">
        <v>3</v>
      </c>
      <c r="C1109" s="2">
        <f>D1109+E1109+F1109+G1109+H1109</f>
        <v>0</v>
      </c>
      <c r="D1109" s="1"/>
      <c r="E1109" s="1"/>
      <c r="F1109" s="1"/>
      <c r="G1109" s="1"/>
      <c r="H1109" s="1"/>
      <c r="I1109" s="48"/>
      <c r="J1109" s="48"/>
      <c r="K1109" s="41"/>
      <c r="L1109" s="48"/>
      <c r="M1109" s="48"/>
      <c r="N1109" s="48"/>
      <c r="O1109" s="48"/>
      <c r="P1109" s="38"/>
      <c r="Q1109" s="48"/>
      <c r="R1109" s="48"/>
      <c r="S1109" s="48"/>
      <c r="T1109" s="55"/>
    </row>
    <row r="1110" spans="1:20" ht="15.95" customHeight="1" x14ac:dyDescent="0.2">
      <c r="A1110" s="34" t="s">
        <v>129</v>
      </c>
      <c r="B1110" s="78" t="s">
        <v>70</v>
      </c>
      <c r="C1110" s="78"/>
      <c r="D1110" s="78"/>
      <c r="E1110" s="78"/>
      <c r="F1110" s="78"/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9"/>
    </row>
    <row r="1111" spans="1:20" ht="15.95" customHeight="1" x14ac:dyDescent="0.2">
      <c r="A1111" s="34" t="s">
        <v>57</v>
      </c>
      <c r="B1111" s="50" t="s">
        <v>92</v>
      </c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1"/>
    </row>
    <row r="1112" spans="1:20" ht="45" customHeight="1" x14ac:dyDescent="0.2">
      <c r="A1112" s="34"/>
      <c r="B1112" s="80" t="s">
        <v>163</v>
      </c>
      <c r="C1112" s="80"/>
      <c r="D1112" s="80"/>
      <c r="E1112" s="80"/>
      <c r="F1112" s="80"/>
      <c r="G1112" s="80"/>
      <c r="H1112" s="80"/>
      <c r="I1112" s="48" t="s">
        <v>22</v>
      </c>
      <c r="J1112" s="87" t="s">
        <v>224</v>
      </c>
      <c r="K1112" s="39" t="s">
        <v>35</v>
      </c>
      <c r="L1112" s="87" t="s">
        <v>164</v>
      </c>
      <c r="M1112" s="87" t="s">
        <v>71</v>
      </c>
      <c r="N1112" s="48" t="s">
        <v>70</v>
      </c>
      <c r="O1112" s="87" t="s">
        <v>71</v>
      </c>
      <c r="P1112" s="141">
        <v>705742.34299999999</v>
      </c>
      <c r="Q1112" s="87" t="s">
        <v>29</v>
      </c>
      <c r="R1112" s="87" t="s">
        <v>32</v>
      </c>
      <c r="S1112" s="48" t="s">
        <v>31</v>
      </c>
      <c r="T1112" s="88" t="s">
        <v>278</v>
      </c>
    </row>
    <row r="1113" spans="1:20" ht="15.95" customHeight="1" x14ac:dyDescent="0.2">
      <c r="A1113" s="34"/>
      <c r="B1113" s="25" t="s">
        <v>5</v>
      </c>
      <c r="C1113" s="2">
        <f>D1113+E1113+F1113+G1113+H1113</f>
        <v>335718.00699999998</v>
      </c>
      <c r="D1113" s="1">
        <f t="shared" ref="D1113:H1113" si="272">SUM(D1114:D1117)</f>
        <v>335718.00699999998</v>
      </c>
      <c r="E1113" s="1">
        <f t="shared" si="272"/>
        <v>0</v>
      </c>
      <c r="F1113" s="1">
        <f t="shared" si="272"/>
        <v>0</v>
      </c>
      <c r="G1113" s="1">
        <f t="shared" si="272"/>
        <v>0</v>
      </c>
      <c r="H1113" s="1">
        <f t="shared" si="272"/>
        <v>0</v>
      </c>
      <c r="I1113" s="48"/>
      <c r="J1113" s="87"/>
      <c r="K1113" s="40"/>
      <c r="L1113" s="87"/>
      <c r="M1113" s="87"/>
      <c r="N1113" s="48"/>
      <c r="O1113" s="87"/>
      <c r="P1113" s="141"/>
      <c r="Q1113" s="87"/>
      <c r="R1113" s="87"/>
      <c r="S1113" s="48"/>
      <c r="T1113" s="88"/>
    </row>
    <row r="1114" spans="1:20" ht="15.95" customHeight="1" x14ac:dyDescent="0.2">
      <c r="A1114" s="34"/>
      <c r="B1114" s="25" t="s">
        <v>0</v>
      </c>
      <c r="C1114" s="2">
        <f>D1114+E1114+F1114+G1114+H1114</f>
        <v>0</v>
      </c>
      <c r="D1114" s="1"/>
      <c r="E1114" s="1"/>
      <c r="F1114" s="1"/>
      <c r="G1114" s="1"/>
      <c r="H1114" s="1"/>
      <c r="I1114" s="48"/>
      <c r="J1114" s="87"/>
      <c r="K1114" s="40"/>
      <c r="L1114" s="87"/>
      <c r="M1114" s="87"/>
      <c r="N1114" s="48"/>
      <c r="O1114" s="87"/>
      <c r="P1114" s="141"/>
      <c r="Q1114" s="87"/>
      <c r="R1114" s="87"/>
      <c r="S1114" s="48"/>
      <c r="T1114" s="88"/>
    </row>
    <row r="1115" spans="1:20" ht="15.95" customHeight="1" x14ac:dyDescent="0.2">
      <c r="A1115" s="34"/>
      <c r="B1115" s="25" t="s">
        <v>1</v>
      </c>
      <c r="C1115" s="2">
        <f>D1115+E1115+F1115+G1115+H1115</f>
        <v>335718.00699999998</v>
      </c>
      <c r="D1115" s="1">
        <v>335718.00699999998</v>
      </c>
      <c r="E1115" s="1"/>
      <c r="F1115" s="1"/>
      <c r="G1115" s="1"/>
      <c r="H1115" s="1"/>
      <c r="I1115" s="48"/>
      <c r="J1115" s="87"/>
      <c r="K1115" s="40"/>
      <c r="L1115" s="87"/>
      <c r="M1115" s="87"/>
      <c r="N1115" s="48"/>
      <c r="O1115" s="87"/>
      <c r="P1115" s="141"/>
      <c r="Q1115" s="87"/>
      <c r="R1115" s="87"/>
      <c r="S1115" s="48"/>
      <c r="T1115" s="88"/>
    </row>
    <row r="1116" spans="1:20" ht="15.95" customHeight="1" x14ac:dyDescent="0.2">
      <c r="A1116" s="34"/>
      <c r="B1116" s="25" t="s">
        <v>2</v>
      </c>
      <c r="C1116" s="2">
        <f>D1116+E1116+F1116+G1116+H1116</f>
        <v>0</v>
      </c>
      <c r="D1116" s="1"/>
      <c r="E1116" s="1"/>
      <c r="F1116" s="1"/>
      <c r="G1116" s="1"/>
      <c r="H1116" s="1"/>
      <c r="I1116" s="48"/>
      <c r="J1116" s="87"/>
      <c r="K1116" s="40"/>
      <c r="L1116" s="87"/>
      <c r="M1116" s="87"/>
      <c r="N1116" s="48"/>
      <c r="O1116" s="87"/>
      <c r="P1116" s="141"/>
      <c r="Q1116" s="87"/>
      <c r="R1116" s="87"/>
      <c r="S1116" s="48"/>
      <c r="T1116" s="88"/>
    </row>
    <row r="1117" spans="1:20" ht="15.95" customHeight="1" x14ac:dyDescent="0.2">
      <c r="A1117" s="34"/>
      <c r="B1117" s="25" t="s">
        <v>3</v>
      </c>
      <c r="C1117" s="2">
        <f>D1117+E1117+F1117+G1117+H1117</f>
        <v>0</v>
      </c>
      <c r="D1117" s="1"/>
      <c r="E1117" s="1"/>
      <c r="F1117" s="1"/>
      <c r="G1117" s="1"/>
      <c r="H1117" s="1"/>
      <c r="I1117" s="48"/>
      <c r="J1117" s="87"/>
      <c r="K1117" s="41"/>
      <c r="L1117" s="87"/>
      <c r="M1117" s="87"/>
      <c r="N1117" s="48"/>
      <c r="O1117" s="87"/>
      <c r="P1117" s="141"/>
      <c r="Q1117" s="87"/>
      <c r="R1117" s="87"/>
      <c r="S1117" s="48"/>
      <c r="T1117" s="88"/>
    </row>
    <row r="1118" spans="1:20" ht="15.95" customHeight="1" x14ac:dyDescent="0.2">
      <c r="A1118" s="34" t="s">
        <v>130</v>
      </c>
      <c r="B1118" s="78" t="s">
        <v>70</v>
      </c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  <c r="N1118" s="78"/>
      <c r="O1118" s="78"/>
      <c r="P1118" s="78"/>
      <c r="Q1118" s="78"/>
      <c r="R1118" s="78"/>
      <c r="S1118" s="78"/>
      <c r="T1118" s="79"/>
    </row>
    <row r="1119" spans="1:20" ht="15.95" customHeight="1" x14ac:dyDescent="0.2">
      <c r="A1119" s="34" t="s">
        <v>57</v>
      </c>
      <c r="B1119" s="50" t="s">
        <v>92</v>
      </c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1"/>
    </row>
    <row r="1120" spans="1:20" ht="45" customHeight="1" x14ac:dyDescent="0.2">
      <c r="A1120" s="34"/>
      <c r="B1120" s="80" t="s">
        <v>615</v>
      </c>
      <c r="C1120" s="80"/>
      <c r="D1120" s="80"/>
      <c r="E1120" s="80"/>
      <c r="F1120" s="80"/>
      <c r="G1120" s="80"/>
      <c r="H1120" s="80"/>
      <c r="I1120" s="48" t="s">
        <v>176</v>
      </c>
      <c r="J1120" s="87" t="s">
        <v>22</v>
      </c>
      <c r="K1120" s="39" t="s">
        <v>35</v>
      </c>
      <c r="L1120" s="87" t="s">
        <v>616</v>
      </c>
      <c r="M1120" s="87" t="s">
        <v>71</v>
      </c>
      <c r="N1120" s="48" t="s">
        <v>100</v>
      </c>
      <c r="O1120" s="87" t="s">
        <v>71</v>
      </c>
      <c r="P1120" s="141" t="s">
        <v>617</v>
      </c>
      <c r="Q1120" s="87" t="s">
        <v>29</v>
      </c>
      <c r="R1120" s="87" t="s">
        <v>32</v>
      </c>
      <c r="S1120" s="48" t="s">
        <v>571</v>
      </c>
      <c r="T1120" s="88"/>
    </row>
    <row r="1121" spans="1:54" ht="15.95" customHeight="1" x14ac:dyDescent="0.2">
      <c r="A1121" s="34"/>
      <c r="B1121" s="25" t="s">
        <v>5</v>
      </c>
      <c r="C1121" s="2">
        <f>D1121+E1121+F1121+G1121+H1121</f>
        <v>11266.472</v>
      </c>
      <c r="D1121" s="1">
        <f t="shared" ref="D1121:H1121" si="273">SUM(D1122:D1125)</f>
        <v>11266.472</v>
      </c>
      <c r="E1121" s="1">
        <f t="shared" si="273"/>
        <v>0</v>
      </c>
      <c r="F1121" s="1">
        <f t="shared" si="273"/>
        <v>0</v>
      </c>
      <c r="G1121" s="1">
        <f t="shared" si="273"/>
        <v>0</v>
      </c>
      <c r="H1121" s="1">
        <f t="shared" si="273"/>
        <v>0</v>
      </c>
      <c r="I1121" s="48"/>
      <c r="J1121" s="87"/>
      <c r="K1121" s="40"/>
      <c r="L1121" s="87"/>
      <c r="M1121" s="87"/>
      <c r="N1121" s="48"/>
      <c r="O1121" s="87"/>
      <c r="P1121" s="141"/>
      <c r="Q1121" s="87"/>
      <c r="R1121" s="87"/>
      <c r="S1121" s="48"/>
      <c r="T1121" s="88"/>
    </row>
    <row r="1122" spans="1:54" ht="15.95" customHeight="1" x14ac:dyDescent="0.2">
      <c r="A1122" s="34"/>
      <c r="B1122" s="25" t="s">
        <v>0</v>
      </c>
      <c r="C1122" s="2">
        <f>D1122+E1122+F1122+G1122+H1122</f>
        <v>0</v>
      </c>
      <c r="D1122" s="1"/>
      <c r="E1122" s="1"/>
      <c r="F1122" s="1"/>
      <c r="G1122" s="1"/>
      <c r="H1122" s="1"/>
      <c r="I1122" s="48"/>
      <c r="J1122" s="87"/>
      <c r="K1122" s="40"/>
      <c r="L1122" s="87"/>
      <c r="M1122" s="87"/>
      <c r="N1122" s="48"/>
      <c r="O1122" s="87"/>
      <c r="P1122" s="141"/>
      <c r="Q1122" s="87"/>
      <c r="R1122" s="87"/>
      <c r="S1122" s="48"/>
      <c r="T1122" s="88"/>
    </row>
    <row r="1123" spans="1:54" ht="15.95" customHeight="1" x14ac:dyDescent="0.2">
      <c r="A1123" s="34"/>
      <c r="B1123" s="25" t="s">
        <v>1</v>
      </c>
      <c r="C1123" s="2">
        <f>D1123+E1123+F1123+G1123+H1123</f>
        <v>11266.472</v>
      </c>
      <c r="D1123" s="1">
        <f>10166.472+1100</f>
        <v>11266.472</v>
      </c>
      <c r="E1123" s="1"/>
      <c r="F1123" s="1"/>
      <c r="G1123" s="1"/>
      <c r="H1123" s="1"/>
      <c r="I1123" s="48"/>
      <c r="J1123" s="87"/>
      <c r="K1123" s="40"/>
      <c r="L1123" s="87"/>
      <c r="M1123" s="87"/>
      <c r="N1123" s="48"/>
      <c r="O1123" s="87"/>
      <c r="P1123" s="141"/>
      <c r="Q1123" s="87"/>
      <c r="R1123" s="87"/>
      <c r="S1123" s="48"/>
      <c r="T1123" s="88"/>
    </row>
    <row r="1124" spans="1:54" ht="15.95" customHeight="1" x14ac:dyDescent="0.2">
      <c r="A1124" s="34"/>
      <c r="B1124" s="25" t="s">
        <v>2</v>
      </c>
      <c r="C1124" s="2">
        <f>D1124+E1124+F1124+G1124+H1124</f>
        <v>0</v>
      </c>
      <c r="D1124" s="1"/>
      <c r="E1124" s="1"/>
      <c r="F1124" s="1"/>
      <c r="G1124" s="1"/>
      <c r="H1124" s="1"/>
      <c r="I1124" s="48"/>
      <c r="J1124" s="87"/>
      <c r="K1124" s="40"/>
      <c r="L1124" s="87"/>
      <c r="M1124" s="87"/>
      <c r="N1124" s="48"/>
      <c r="O1124" s="87"/>
      <c r="P1124" s="141"/>
      <c r="Q1124" s="87"/>
      <c r="R1124" s="87"/>
      <c r="S1124" s="48"/>
      <c r="T1124" s="88"/>
    </row>
    <row r="1125" spans="1:54" ht="15.95" customHeight="1" x14ac:dyDescent="0.2">
      <c r="A1125" s="34"/>
      <c r="B1125" s="25" t="s">
        <v>3</v>
      </c>
      <c r="C1125" s="2">
        <f>D1125+E1125+F1125+G1125+H1125</f>
        <v>0</v>
      </c>
      <c r="D1125" s="1"/>
      <c r="E1125" s="1"/>
      <c r="F1125" s="1"/>
      <c r="G1125" s="1"/>
      <c r="H1125" s="1"/>
      <c r="I1125" s="48"/>
      <c r="J1125" s="87"/>
      <c r="K1125" s="41"/>
      <c r="L1125" s="87"/>
      <c r="M1125" s="87"/>
      <c r="N1125" s="48"/>
      <c r="O1125" s="87"/>
      <c r="P1125" s="141"/>
      <c r="Q1125" s="87"/>
      <c r="R1125" s="87"/>
      <c r="S1125" s="48"/>
      <c r="T1125" s="88"/>
    </row>
    <row r="1126" spans="1:54" ht="15.95" customHeight="1" x14ac:dyDescent="0.2">
      <c r="A1126" s="34" t="s">
        <v>131</v>
      </c>
      <c r="B1126" s="78" t="s">
        <v>70</v>
      </c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  <c r="N1126" s="78"/>
      <c r="O1126" s="78"/>
      <c r="P1126" s="78"/>
      <c r="Q1126" s="78"/>
      <c r="R1126" s="78"/>
      <c r="S1126" s="78"/>
      <c r="T1126" s="79"/>
    </row>
    <row r="1127" spans="1:54" ht="15.95" customHeight="1" x14ac:dyDescent="0.2">
      <c r="A1127" s="34" t="s">
        <v>57</v>
      </c>
      <c r="B1127" s="50" t="s">
        <v>93</v>
      </c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1"/>
    </row>
    <row r="1128" spans="1:54" ht="45" customHeight="1" x14ac:dyDescent="0.2">
      <c r="A1128" s="34"/>
      <c r="B1128" s="80" t="s">
        <v>225</v>
      </c>
      <c r="C1128" s="80"/>
      <c r="D1128" s="80"/>
      <c r="E1128" s="80"/>
      <c r="F1128" s="80"/>
      <c r="G1128" s="80"/>
      <c r="H1128" s="80"/>
      <c r="I1128" s="48" t="s">
        <v>23</v>
      </c>
      <c r="J1128" s="48"/>
      <c r="K1128" s="48" t="s">
        <v>54</v>
      </c>
      <c r="L1128" s="48" t="s">
        <v>277</v>
      </c>
      <c r="M1128" s="48" t="s">
        <v>70</v>
      </c>
      <c r="N1128" s="48" t="s">
        <v>100</v>
      </c>
      <c r="O1128" s="48" t="s">
        <v>100</v>
      </c>
      <c r="P1128" s="38" t="s">
        <v>392</v>
      </c>
      <c r="Q1128" s="48" t="s">
        <v>29</v>
      </c>
      <c r="R1128" s="48" t="s">
        <v>210</v>
      </c>
      <c r="S1128" s="48" t="s">
        <v>31</v>
      </c>
      <c r="T1128" s="55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3"/>
    </row>
    <row r="1129" spans="1:54" ht="15.95" customHeight="1" x14ac:dyDescent="0.2">
      <c r="A1129" s="34"/>
      <c r="B1129" s="25" t="s">
        <v>5</v>
      </c>
      <c r="C1129" s="2">
        <f>D1129+E1129+F1129+G1129+H1129</f>
        <v>330000</v>
      </c>
      <c r="D1129" s="1">
        <f t="shared" ref="D1129:H1129" si="274">SUM(D1130:D1133)</f>
        <v>165000</v>
      </c>
      <c r="E1129" s="1">
        <f t="shared" si="274"/>
        <v>165000</v>
      </c>
      <c r="F1129" s="1">
        <f t="shared" si="274"/>
        <v>0</v>
      </c>
      <c r="G1129" s="1">
        <f t="shared" si="274"/>
        <v>0</v>
      </c>
      <c r="H1129" s="1">
        <f t="shared" si="274"/>
        <v>0</v>
      </c>
      <c r="I1129" s="48"/>
      <c r="J1129" s="48"/>
      <c r="K1129" s="48"/>
      <c r="L1129" s="48"/>
      <c r="M1129" s="48"/>
      <c r="N1129" s="48"/>
      <c r="O1129" s="48"/>
      <c r="P1129" s="38"/>
      <c r="Q1129" s="48"/>
      <c r="R1129" s="48"/>
      <c r="S1129" s="48"/>
      <c r="T1129" s="55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14"/>
    </row>
    <row r="1130" spans="1:54" ht="15.95" customHeight="1" x14ac:dyDescent="0.2">
      <c r="A1130" s="34"/>
      <c r="B1130" s="25" t="s">
        <v>0</v>
      </c>
      <c r="C1130" s="2">
        <f>D1130+E1130+F1130+G1130+H1130</f>
        <v>0</v>
      </c>
      <c r="D1130" s="1"/>
      <c r="E1130" s="1"/>
      <c r="F1130" s="1"/>
      <c r="G1130" s="1"/>
      <c r="H1130" s="1"/>
      <c r="I1130" s="48"/>
      <c r="J1130" s="48"/>
      <c r="K1130" s="48"/>
      <c r="L1130" s="48"/>
      <c r="M1130" s="48"/>
      <c r="N1130" s="48"/>
      <c r="O1130" s="48"/>
      <c r="P1130" s="38"/>
      <c r="Q1130" s="48"/>
      <c r="R1130" s="48"/>
      <c r="S1130" s="48"/>
      <c r="T1130" s="55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14"/>
    </row>
    <row r="1131" spans="1:54" ht="15.95" customHeight="1" x14ac:dyDescent="0.2">
      <c r="A1131" s="34"/>
      <c r="B1131" s="25" t="s">
        <v>1</v>
      </c>
      <c r="C1131" s="2">
        <f>D1131+E1131+F1131+G1131+H1131</f>
        <v>330000</v>
      </c>
      <c r="D1131" s="1">
        <v>165000</v>
      </c>
      <c r="E1131" s="1">
        <v>165000</v>
      </c>
      <c r="F1131" s="1"/>
      <c r="G1131" s="1"/>
      <c r="H1131" s="1"/>
      <c r="I1131" s="48"/>
      <c r="J1131" s="48"/>
      <c r="K1131" s="48"/>
      <c r="L1131" s="48"/>
      <c r="M1131" s="48"/>
      <c r="N1131" s="48"/>
      <c r="O1131" s="48"/>
      <c r="P1131" s="38"/>
      <c r="Q1131" s="48"/>
      <c r="R1131" s="48"/>
      <c r="S1131" s="48"/>
      <c r="T1131" s="55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14"/>
    </row>
    <row r="1132" spans="1:54" ht="15.95" customHeight="1" x14ac:dyDescent="0.2">
      <c r="A1132" s="34"/>
      <c r="B1132" s="25" t="s">
        <v>2</v>
      </c>
      <c r="C1132" s="2">
        <f>D1132+E1132+F1132+G1132+H1132</f>
        <v>0</v>
      </c>
      <c r="D1132" s="1"/>
      <c r="E1132" s="1"/>
      <c r="F1132" s="1"/>
      <c r="G1132" s="1"/>
      <c r="H1132" s="1"/>
      <c r="I1132" s="48"/>
      <c r="J1132" s="48"/>
      <c r="K1132" s="48"/>
      <c r="L1132" s="48"/>
      <c r="M1132" s="48"/>
      <c r="N1132" s="48"/>
      <c r="O1132" s="48"/>
      <c r="P1132" s="38"/>
      <c r="Q1132" s="48"/>
      <c r="R1132" s="48"/>
      <c r="S1132" s="48"/>
      <c r="T1132" s="55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14"/>
    </row>
    <row r="1133" spans="1:54" ht="15.95" customHeight="1" x14ac:dyDescent="0.2">
      <c r="A1133" s="34"/>
      <c r="B1133" s="25" t="s">
        <v>3</v>
      </c>
      <c r="C1133" s="2">
        <f>D1133+E1133+F1133+G1133+H1133</f>
        <v>0</v>
      </c>
      <c r="D1133" s="1"/>
      <c r="E1133" s="1"/>
      <c r="F1133" s="1"/>
      <c r="G1133" s="1"/>
      <c r="H1133" s="1"/>
      <c r="I1133" s="48"/>
      <c r="J1133" s="48"/>
      <c r="K1133" s="48"/>
      <c r="L1133" s="48"/>
      <c r="M1133" s="48"/>
      <c r="N1133" s="48"/>
      <c r="O1133" s="48"/>
      <c r="P1133" s="38"/>
      <c r="Q1133" s="48"/>
      <c r="R1133" s="48"/>
      <c r="S1133" s="48"/>
      <c r="T1133" s="55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14"/>
    </row>
    <row r="1134" spans="1:54" ht="15.95" customHeight="1" x14ac:dyDescent="0.2">
      <c r="A1134" s="34" t="s">
        <v>132</v>
      </c>
      <c r="B1134" s="78" t="s">
        <v>70</v>
      </c>
      <c r="C1134" s="78"/>
      <c r="D1134" s="78"/>
      <c r="E1134" s="78"/>
      <c r="F1134" s="78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79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</row>
    <row r="1135" spans="1:54" ht="15.95" customHeight="1" x14ac:dyDescent="0.2">
      <c r="A1135" s="34" t="s">
        <v>57</v>
      </c>
      <c r="B1135" s="50" t="s">
        <v>92</v>
      </c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1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</row>
    <row r="1136" spans="1:54" ht="45" customHeight="1" x14ac:dyDescent="0.2">
      <c r="A1136" s="34"/>
      <c r="B1136" s="80" t="s">
        <v>405</v>
      </c>
      <c r="C1136" s="80"/>
      <c r="D1136" s="80"/>
      <c r="E1136" s="80"/>
      <c r="F1136" s="80"/>
      <c r="G1136" s="80"/>
      <c r="H1136" s="80"/>
      <c r="I1136" s="48" t="s">
        <v>176</v>
      </c>
      <c r="J1136" s="48" t="s">
        <v>176</v>
      </c>
      <c r="K1136" s="48" t="s">
        <v>40</v>
      </c>
      <c r="L1136" s="48"/>
      <c r="M1136" s="48" t="s">
        <v>8</v>
      </c>
      <c r="N1136" s="48" t="s">
        <v>21</v>
      </c>
      <c r="O1136" s="48" t="s">
        <v>21</v>
      </c>
      <c r="P1136" s="38" t="s">
        <v>406</v>
      </c>
      <c r="Q1136" s="48" t="s">
        <v>7</v>
      </c>
      <c r="R1136" s="48" t="s">
        <v>8</v>
      </c>
      <c r="S1136" s="48" t="s">
        <v>30</v>
      </c>
      <c r="T1136" s="55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</row>
    <row r="1137" spans="1:54" ht="15.95" customHeight="1" x14ac:dyDescent="0.2">
      <c r="A1137" s="34"/>
      <c r="B1137" s="25" t="s">
        <v>5</v>
      </c>
      <c r="C1137" s="2">
        <f>D1137+E1137+F1137+G1137+H1137</f>
        <v>189839.05</v>
      </c>
      <c r="D1137" s="1">
        <f t="shared" ref="D1137:H1137" si="275">SUM(D1138:D1141)</f>
        <v>0</v>
      </c>
      <c r="E1137" s="1">
        <f t="shared" si="275"/>
        <v>0</v>
      </c>
      <c r="F1137" s="1">
        <f t="shared" si="275"/>
        <v>0</v>
      </c>
      <c r="G1137" s="1">
        <f t="shared" si="275"/>
        <v>0</v>
      </c>
      <c r="H1137" s="1">
        <f t="shared" si="275"/>
        <v>189839.05</v>
      </c>
      <c r="I1137" s="48"/>
      <c r="J1137" s="48"/>
      <c r="K1137" s="48"/>
      <c r="L1137" s="48"/>
      <c r="M1137" s="48"/>
      <c r="N1137" s="48"/>
      <c r="O1137" s="48"/>
      <c r="P1137" s="38"/>
      <c r="Q1137" s="48"/>
      <c r="R1137" s="48"/>
      <c r="S1137" s="48"/>
      <c r="T1137" s="55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</row>
    <row r="1138" spans="1:54" ht="15.95" customHeight="1" x14ac:dyDescent="0.2">
      <c r="A1138" s="34"/>
      <c r="B1138" s="25" t="s">
        <v>0</v>
      </c>
      <c r="C1138" s="2">
        <f>D1138+E1138+F1138+G1138+H1138</f>
        <v>0</v>
      </c>
      <c r="D1138" s="1"/>
      <c r="E1138" s="1"/>
      <c r="F1138" s="1"/>
      <c r="G1138" s="1"/>
      <c r="H1138" s="1"/>
      <c r="I1138" s="48"/>
      <c r="J1138" s="48"/>
      <c r="K1138" s="48"/>
      <c r="L1138" s="48"/>
      <c r="M1138" s="48"/>
      <c r="N1138" s="48"/>
      <c r="O1138" s="48"/>
      <c r="P1138" s="38"/>
      <c r="Q1138" s="48"/>
      <c r="R1138" s="48"/>
      <c r="S1138" s="48"/>
      <c r="T1138" s="55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</row>
    <row r="1139" spans="1:54" ht="15.95" customHeight="1" x14ac:dyDescent="0.2">
      <c r="A1139" s="34"/>
      <c r="B1139" s="25" t="s">
        <v>1</v>
      </c>
      <c r="C1139" s="2">
        <f>D1139+E1139+F1139+G1139+H1139</f>
        <v>172580.95454999999</v>
      </c>
      <c r="D1139" s="1"/>
      <c r="E1139" s="1"/>
      <c r="F1139" s="1"/>
      <c r="G1139" s="1"/>
      <c r="H1139" s="1">
        <v>172580.95454999999</v>
      </c>
      <c r="I1139" s="48"/>
      <c r="J1139" s="48"/>
      <c r="K1139" s="48"/>
      <c r="L1139" s="48"/>
      <c r="M1139" s="48"/>
      <c r="N1139" s="48"/>
      <c r="O1139" s="48"/>
      <c r="P1139" s="38"/>
      <c r="Q1139" s="48"/>
      <c r="R1139" s="48"/>
      <c r="S1139" s="48"/>
      <c r="T1139" s="55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</row>
    <row r="1140" spans="1:54" ht="15.95" customHeight="1" x14ac:dyDescent="0.2">
      <c r="A1140" s="34"/>
      <c r="B1140" s="25" t="s">
        <v>2</v>
      </c>
      <c r="C1140" s="2">
        <f>D1140+E1140+F1140+G1140+H1140</f>
        <v>17258.095450000001</v>
      </c>
      <c r="D1140" s="1"/>
      <c r="E1140" s="1"/>
      <c r="F1140" s="1"/>
      <c r="G1140" s="1"/>
      <c r="H1140" s="1">
        <v>17258.095450000001</v>
      </c>
      <c r="I1140" s="48"/>
      <c r="J1140" s="48"/>
      <c r="K1140" s="48"/>
      <c r="L1140" s="48"/>
      <c r="M1140" s="48"/>
      <c r="N1140" s="48"/>
      <c r="O1140" s="48"/>
      <c r="P1140" s="38"/>
      <c r="Q1140" s="48"/>
      <c r="R1140" s="48"/>
      <c r="S1140" s="48"/>
      <c r="T1140" s="55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</row>
    <row r="1141" spans="1:54" ht="15.95" customHeight="1" x14ac:dyDescent="0.2">
      <c r="A1141" s="34"/>
      <c r="B1141" s="25" t="s">
        <v>3</v>
      </c>
      <c r="C1141" s="2">
        <f>D1141+E1141+F1141+G1141+H1141</f>
        <v>0</v>
      </c>
      <c r="D1141" s="1"/>
      <c r="E1141" s="1"/>
      <c r="F1141" s="1"/>
      <c r="G1141" s="1"/>
      <c r="H1141" s="1"/>
      <c r="I1141" s="48"/>
      <c r="J1141" s="48"/>
      <c r="K1141" s="48"/>
      <c r="L1141" s="48"/>
      <c r="M1141" s="48"/>
      <c r="N1141" s="48"/>
      <c r="O1141" s="48"/>
      <c r="P1141" s="38"/>
      <c r="Q1141" s="48"/>
      <c r="R1141" s="48"/>
      <c r="S1141" s="48"/>
      <c r="T1141" s="55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</row>
    <row r="1142" spans="1:54" ht="15.95" customHeight="1" x14ac:dyDescent="0.2">
      <c r="A1142" s="34" t="s">
        <v>547</v>
      </c>
      <c r="B1142" s="78" t="s">
        <v>70</v>
      </c>
      <c r="C1142" s="78"/>
      <c r="D1142" s="78"/>
      <c r="E1142" s="78"/>
      <c r="F1142" s="78"/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79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</row>
    <row r="1143" spans="1:54" ht="15.95" customHeight="1" x14ac:dyDescent="0.2">
      <c r="A1143" s="34" t="s">
        <v>57</v>
      </c>
      <c r="B1143" s="50" t="s">
        <v>92</v>
      </c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1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</row>
    <row r="1144" spans="1:54" ht="45" customHeight="1" x14ac:dyDescent="0.2">
      <c r="A1144" s="34"/>
      <c r="B1144" s="80" t="s">
        <v>404</v>
      </c>
      <c r="C1144" s="80"/>
      <c r="D1144" s="80"/>
      <c r="E1144" s="80"/>
      <c r="F1144" s="80"/>
      <c r="G1144" s="80"/>
      <c r="H1144" s="80"/>
      <c r="I1144" s="48" t="s">
        <v>176</v>
      </c>
      <c r="J1144" s="48"/>
      <c r="K1144" s="48" t="s">
        <v>40</v>
      </c>
      <c r="L1144" s="39" t="s">
        <v>321</v>
      </c>
      <c r="M1144" s="48" t="s">
        <v>8</v>
      </c>
      <c r="N1144" s="48" t="s">
        <v>21</v>
      </c>
      <c r="O1144" s="48" t="s">
        <v>21</v>
      </c>
      <c r="P1144" s="38" t="s">
        <v>407</v>
      </c>
      <c r="Q1144" s="48" t="s">
        <v>7</v>
      </c>
      <c r="R1144" s="48" t="s">
        <v>8</v>
      </c>
      <c r="S1144" s="48" t="s">
        <v>30</v>
      </c>
      <c r="T1144" s="55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</row>
    <row r="1145" spans="1:54" ht="15.95" customHeight="1" x14ac:dyDescent="0.2">
      <c r="A1145" s="34"/>
      <c r="B1145" s="25" t="s">
        <v>5</v>
      </c>
      <c r="C1145" s="2">
        <f>D1145+E1145+F1145+G1145+H1145</f>
        <v>689488.79</v>
      </c>
      <c r="D1145" s="1">
        <f t="shared" ref="D1145:H1145" si="276">SUM(D1146:D1149)</f>
        <v>0</v>
      </c>
      <c r="E1145" s="1">
        <f t="shared" si="276"/>
        <v>0</v>
      </c>
      <c r="F1145" s="1">
        <f t="shared" si="276"/>
        <v>0</v>
      </c>
      <c r="G1145" s="1">
        <f t="shared" si="276"/>
        <v>0</v>
      </c>
      <c r="H1145" s="1">
        <f t="shared" si="276"/>
        <v>689488.79</v>
      </c>
      <c r="I1145" s="48"/>
      <c r="J1145" s="48"/>
      <c r="K1145" s="48"/>
      <c r="L1145" s="40"/>
      <c r="M1145" s="48"/>
      <c r="N1145" s="48"/>
      <c r="O1145" s="48"/>
      <c r="P1145" s="38"/>
      <c r="Q1145" s="48"/>
      <c r="R1145" s="48"/>
      <c r="S1145" s="48"/>
      <c r="T1145" s="55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</row>
    <row r="1146" spans="1:54" ht="15.95" customHeight="1" x14ac:dyDescent="0.2">
      <c r="A1146" s="34"/>
      <c r="B1146" s="25" t="s">
        <v>0</v>
      </c>
      <c r="C1146" s="2">
        <f>D1146+E1146+F1146+G1146+H1146</f>
        <v>0</v>
      </c>
      <c r="D1146" s="1"/>
      <c r="E1146" s="1"/>
      <c r="F1146" s="1"/>
      <c r="G1146" s="1"/>
      <c r="H1146" s="1"/>
      <c r="I1146" s="48"/>
      <c r="J1146" s="48"/>
      <c r="K1146" s="48"/>
      <c r="L1146" s="40"/>
      <c r="M1146" s="48"/>
      <c r="N1146" s="48"/>
      <c r="O1146" s="48"/>
      <c r="P1146" s="38"/>
      <c r="Q1146" s="48"/>
      <c r="R1146" s="48"/>
      <c r="S1146" s="48"/>
      <c r="T1146" s="55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</row>
    <row r="1147" spans="1:54" ht="15.95" customHeight="1" x14ac:dyDescent="0.2">
      <c r="A1147" s="34"/>
      <c r="B1147" s="25" t="s">
        <v>1</v>
      </c>
      <c r="C1147" s="2">
        <f>D1147+E1147+F1147+G1147+H1147</f>
        <v>626807.99091000005</v>
      </c>
      <c r="D1147" s="1"/>
      <c r="E1147" s="1"/>
      <c r="F1147" s="1"/>
      <c r="G1147" s="1"/>
      <c r="H1147" s="1">
        <v>626807.99091000005</v>
      </c>
      <c r="I1147" s="48"/>
      <c r="J1147" s="48"/>
      <c r="K1147" s="48"/>
      <c r="L1147" s="40"/>
      <c r="M1147" s="48"/>
      <c r="N1147" s="48"/>
      <c r="O1147" s="48"/>
      <c r="P1147" s="38"/>
      <c r="Q1147" s="48"/>
      <c r="R1147" s="48"/>
      <c r="S1147" s="48"/>
      <c r="T1147" s="55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</row>
    <row r="1148" spans="1:54" ht="15.95" customHeight="1" x14ac:dyDescent="0.2">
      <c r="A1148" s="34"/>
      <c r="B1148" s="25" t="s">
        <v>2</v>
      </c>
      <c r="C1148" s="2">
        <f>D1148+E1148+F1148+G1148+H1148</f>
        <v>62680.79909</v>
      </c>
      <c r="D1148" s="1"/>
      <c r="E1148" s="1"/>
      <c r="F1148" s="1"/>
      <c r="G1148" s="1"/>
      <c r="H1148" s="1">
        <v>62680.79909</v>
      </c>
      <c r="I1148" s="48"/>
      <c r="J1148" s="48"/>
      <c r="K1148" s="48"/>
      <c r="L1148" s="40"/>
      <c r="M1148" s="48"/>
      <c r="N1148" s="48"/>
      <c r="O1148" s="48"/>
      <c r="P1148" s="38"/>
      <c r="Q1148" s="48"/>
      <c r="R1148" s="48"/>
      <c r="S1148" s="48"/>
      <c r="T1148" s="55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</row>
    <row r="1149" spans="1:54" ht="15.95" customHeight="1" x14ac:dyDescent="0.2">
      <c r="A1149" s="34"/>
      <c r="B1149" s="25" t="s">
        <v>3</v>
      </c>
      <c r="C1149" s="2">
        <f>D1149+E1149+F1149+G1149+H1149</f>
        <v>0</v>
      </c>
      <c r="D1149" s="1"/>
      <c r="E1149" s="1"/>
      <c r="F1149" s="1"/>
      <c r="G1149" s="1"/>
      <c r="H1149" s="1"/>
      <c r="I1149" s="48"/>
      <c r="J1149" s="48"/>
      <c r="K1149" s="48"/>
      <c r="L1149" s="41"/>
      <c r="M1149" s="48"/>
      <c r="N1149" s="48"/>
      <c r="O1149" s="48"/>
      <c r="P1149" s="38"/>
      <c r="Q1149" s="48"/>
      <c r="R1149" s="48"/>
      <c r="S1149" s="48"/>
      <c r="T1149" s="55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</row>
    <row r="1150" spans="1:54" ht="15.95" customHeight="1" x14ac:dyDescent="0.2">
      <c r="A1150" s="34" t="s">
        <v>548</v>
      </c>
      <c r="B1150" s="78" t="s">
        <v>70</v>
      </c>
      <c r="C1150" s="78"/>
      <c r="D1150" s="78"/>
      <c r="E1150" s="78"/>
      <c r="F1150" s="78"/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79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</row>
    <row r="1151" spans="1:54" ht="15.95" customHeight="1" x14ac:dyDescent="0.2">
      <c r="A1151" s="34" t="s">
        <v>57</v>
      </c>
      <c r="B1151" s="50" t="s">
        <v>92</v>
      </c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1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</row>
    <row r="1152" spans="1:54" ht="45" customHeight="1" x14ac:dyDescent="0.2">
      <c r="A1152" s="34"/>
      <c r="B1152" s="69" t="s">
        <v>543</v>
      </c>
      <c r="C1152" s="70"/>
      <c r="D1152" s="70"/>
      <c r="E1152" s="70"/>
      <c r="F1152" s="70"/>
      <c r="G1152" s="70"/>
      <c r="H1152" s="71"/>
      <c r="I1152" s="48" t="s">
        <v>23</v>
      </c>
      <c r="J1152" s="81" t="s">
        <v>224</v>
      </c>
      <c r="K1152" s="81" t="s">
        <v>35</v>
      </c>
      <c r="L1152" s="48" t="s">
        <v>544</v>
      </c>
      <c r="M1152" s="81" t="s">
        <v>71</v>
      </c>
      <c r="N1152" s="48" t="s">
        <v>100</v>
      </c>
      <c r="O1152" s="81" t="s">
        <v>71</v>
      </c>
      <c r="P1152" s="38" t="s">
        <v>545</v>
      </c>
      <c r="Q1152" s="81" t="s">
        <v>29</v>
      </c>
      <c r="R1152" s="81" t="s">
        <v>33</v>
      </c>
      <c r="S1152" s="81" t="s">
        <v>30</v>
      </c>
      <c r="T1152" s="82" t="s">
        <v>546</v>
      </c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</row>
    <row r="1153" spans="1:54" ht="15.95" customHeight="1" x14ac:dyDescent="0.2">
      <c r="A1153" s="34"/>
      <c r="B1153" s="25" t="s">
        <v>5</v>
      </c>
      <c r="C1153" s="20">
        <f t="shared" ref="C1153:H1153" si="277">SUM(C1154:C1157)</f>
        <v>773124.92533</v>
      </c>
      <c r="D1153" s="20">
        <f t="shared" si="277"/>
        <v>204024.22093000001</v>
      </c>
      <c r="E1153" s="20">
        <f t="shared" si="277"/>
        <v>569100.70440000005</v>
      </c>
      <c r="F1153" s="20">
        <f t="shared" si="277"/>
        <v>0</v>
      </c>
      <c r="G1153" s="20">
        <f t="shared" si="277"/>
        <v>0</v>
      </c>
      <c r="H1153" s="20">
        <f t="shared" si="277"/>
        <v>0</v>
      </c>
      <c r="I1153" s="48"/>
      <c r="J1153" s="81"/>
      <c r="K1153" s="81"/>
      <c r="L1153" s="48"/>
      <c r="M1153" s="81"/>
      <c r="N1153" s="48"/>
      <c r="O1153" s="81"/>
      <c r="P1153" s="38"/>
      <c r="Q1153" s="81"/>
      <c r="R1153" s="81"/>
      <c r="S1153" s="81"/>
      <c r="T1153" s="82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</row>
    <row r="1154" spans="1:54" ht="15.95" customHeight="1" x14ac:dyDescent="0.2">
      <c r="A1154" s="34"/>
      <c r="B1154" s="25" t="s">
        <v>0</v>
      </c>
      <c r="C1154" s="20">
        <f>SUM(D1154:H1154)</f>
        <v>695663.946</v>
      </c>
      <c r="D1154" s="21">
        <v>200000</v>
      </c>
      <c r="E1154" s="21">
        <v>495663.946</v>
      </c>
      <c r="F1154" s="21"/>
      <c r="G1154" s="21"/>
      <c r="H1154" s="21"/>
      <c r="I1154" s="48"/>
      <c r="J1154" s="81"/>
      <c r="K1154" s="81"/>
      <c r="L1154" s="48"/>
      <c r="M1154" s="81"/>
      <c r="N1154" s="48"/>
      <c r="O1154" s="81"/>
      <c r="P1154" s="38"/>
      <c r="Q1154" s="81"/>
      <c r="R1154" s="81"/>
      <c r="S1154" s="81"/>
      <c r="T1154" s="82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</row>
    <row r="1155" spans="1:54" ht="15.95" customHeight="1" x14ac:dyDescent="0.2">
      <c r="A1155" s="34"/>
      <c r="B1155" s="25" t="s">
        <v>1</v>
      </c>
      <c r="C1155" s="20">
        <f>SUM(D1155:H1155)</f>
        <v>77460.979330000002</v>
      </c>
      <c r="D1155" s="22">
        <f>0+4024.22093</f>
        <v>4024.22093</v>
      </c>
      <c r="E1155" s="22">
        <v>73436.758400000006</v>
      </c>
      <c r="F1155" s="21"/>
      <c r="G1155" s="21"/>
      <c r="H1155" s="21"/>
      <c r="I1155" s="48"/>
      <c r="J1155" s="81"/>
      <c r="K1155" s="81"/>
      <c r="L1155" s="48"/>
      <c r="M1155" s="81"/>
      <c r="N1155" s="48"/>
      <c r="O1155" s="81"/>
      <c r="P1155" s="38"/>
      <c r="Q1155" s="81"/>
      <c r="R1155" s="81"/>
      <c r="S1155" s="81"/>
      <c r="T1155" s="82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</row>
    <row r="1156" spans="1:54" ht="15.95" customHeight="1" x14ac:dyDescent="0.2">
      <c r="A1156" s="34"/>
      <c r="B1156" s="25" t="s">
        <v>2</v>
      </c>
      <c r="C1156" s="20">
        <f>SUM(D1156:H1156)</f>
        <v>0</v>
      </c>
      <c r="D1156" s="21"/>
      <c r="E1156" s="21"/>
      <c r="F1156" s="21"/>
      <c r="G1156" s="21"/>
      <c r="H1156" s="21"/>
      <c r="I1156" s="48"/>
      <c r="J1156" s="81"/>
      <c r="K1156" s="81"/>
      <c r="L1156" s="48"/>
      <c r="M1156" s="81"/>
      <c r="N1156" s="48"/>
      <c r="O1156" s="81"/>
      <c r="P1156" s="38"/>
      <c r="Q1156" s="81"/>
      <c r="R1156" s="81"/>
      <c r="S1156" s="81"/>
      <c r="T1156" s="82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</row>
    <row r="1157" spans="1:54" ht="15.95" customHeight="1" x14ac:dyDescent="0.2">
      <c r="A1157" s="34"/>
      <c r="B1157" s="25" t="s">
        <v>3</v>
      </c>
      <c r="C1157" s="20">
        <f>SUM(D1157:H1157)</f>
        <v>0</v>
      </c>
      <c r="D1157" s="21"/>
      <c r="E1157" s="21"/>
      <c r="F1157" s="21"/>
      <c r="G1157" s="21"/>
      <c r="H1157" s="21"/>
      <c r="I1157" s="48"/>
      <c r="J1157" s="81"/>
      <c r="K1157" s="81"/>
      <c r="L1157" s="48"/>
      <c r="M1157" s="81"/>
      <c r="N1157" s="48"/>
      <c r="O1157" s="81"/>
      <c r="P1157" s="38"/>
      <c r="Q1157" s="81"/>
      <c r="R1157" s="81"/>
      <c r="S1157" s="81"/>
      <c r="T1157" s="82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</row>
    <row r="1158" spans="1:54" ht="15.95" customHeight="1" x14ac:dyDescent="0.2">
      <c r="A1158" s="34" t="s">
        <v>553</v>
      </c>
      <c r="B1158" s="78" t="s">
        <v>70</v>
      </c>
      <c r="C1158" s="78"/>
      <c r="D1158" s="78"/>
      <c r="E1158" s="78"/>
      <c r="F1158" s="78"/>
      <c r="G1158" s="78"/>
      <c r="H1158" s="78"/>
      <c r="I1158" s="78"/>
      <c r="J1158" s="78"/>
      <c r="K1158" s="78"/>
      <c r="L1158" s="78"/>
      <c r="M1158" s="78"/>
      <c r="N1158" s="78"/>
      <c r="O1158" s="78"/>
      <c r="P1158" s="78"/>
      <c r="Q1158" s="78"/>
      <c r="R1158" s="78"/>
      <c r="S1158" s="78"/>
      <c r="T1158" s="79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</row>
    <row r="1159" spans="1:54" ht="15.95" customHeight="1" x14ac:dyDescent="0.2">
      <c r="A1159" s="34" t="s">
        <v>57</v>
      </c>
      <c r="B1159" s="50" t="s">
        <v>92</v>
      </c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1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</row>
    <row r="1160" spans="1:54" ht="45" customHeight="1" x14ac:dyDescent="0.2">
      <c r="A1160" s="34"/>
      <c r="B1160" s="69" t="s">
        <v>549</v>
      </c>
      <c r="C1160" s="70"/>
      <c r="D1160" s="70"/>
      <c r="E1160" s="70"/>
      <c r="F1160" s="70"/>
      <c r="G1160" s="70"/>
      <c r="H1160" s="71"/>
      <c r="I1160" s="81" t="s">
        <v>23</v>
      </c>
      <c r="J1160" s="81" t="s">
        <v>224</v>
      </c>
      <c r="K1160" s="81" t="s">
        <v>35</v>
      </c>
      <c r="L1160" s="81" t="s">
        <v>550</v>
      </c>
      <c r="M1160" s="81" t="s">
        <v>71</v>
      </c>
      <c r="N1160" s="48" t="s">
        <v>100</v>
      </c>
      <c r="O1160" s="81" t="s">
        <v>71</v>
      </c>
      <c r="P1160" s="122" t="s">
        <v>551</v>
      </c>
      <c r="Q1160" s="81" t="s">
        <v>29</v>
      </c>
      <c r="R1160" s="81" t="s">
        <v>33</v>
      </c>
      <c r="S1160" s="81" t="s">
        <v>30</v>
      </c>
      <c r="T1160" s="82" t="s">
        <v>552</v>
      </c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</row>
    <row r="1161" spans="1:54" ht="15.95" customHeight="1" x14ac:dyDescent="0.2">
      <c r="A1161" s="34"/>
      <c r="B1161" s="25" t="s">
        <v>5</v>
      </c>
      <c r="C1161" s="20">
        <f t="shared" ref="C1161:H1161" si="278">SUM(C1162:C1165)</f>
        <v>208624.106</v>
      </c>
      <c r="D1161" s="20">
        <f t="shared" si="278"/>
        <v>102428.04700000001</v>
      </c>
      <c r="E1161" s="20">
        <f t="shared" si="278"/>
        <v>106196.05900000001</v>
      </c>
      <c r="F1161" s="20">
        <f t="shared" si="278"/>
        <v>0</v>
      </c>
      <c r="G1161" s="20">
        <f t="shared" si="278"/>
        <v>0</v>
      </c>
      <c r="H1161" s="20">
        <f t="shared" si="278"/>
        <v>0</v>
      </c>
      <c r="I1161" s="81"/>
      <c r="J1161" s="81"/>
      <c r="K1161" s="81"/>
      <c r="L1161" s="81"/>
      <c r="M1161" s="81"/>
      <c r="N1161" s="48"/>
      <c r="O1161" s="81"/>
      <c r="P1161" s="122"/>
      <c r="Q1161" s="81"/>
      <c r="R1161" s="81"/>
      <c r="S1161" s="81"/>
      <c r="T1161" s="82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</row>
    <row r="1162" spans="1:54" ht="15.95" customHeight="1" x14ac:dyDescent="0.2">
      <c r="A1162" s="34"/>
      <c r="B1162" s="25" t="s">
        <v>0</v>
      </c>
      <c r="C1162" s="20">
        <f>SUM(D1162:H1162)</f>
        <v>185000</v>
      </c>
      <c r="D1162" s="21">
        <v>100000</v>
      </c>
      <c r="E1162" s="21">
        <v>85000</v>
      </c>
      <c r="F1162" s="21"/>
      <c r="G1162" s="21"/>
      <c r="H1162" s="21"/>
      <c r="I1162" s="81"/>
      <c r="J1162" s="81"/>
      <c r="K1162" s="81"/>
      <c r="L1162" s="81"/>
      <c r="M1162" s="81"/>
      <c r="N1162" s="48"/>
      <c r="O1162" s="81"/>
      <c r="P1162" s="122"/>
      <c r="Q1162" s="81"/>
      <c r="R1162" s="81"/>
      <c r="S1162" s="81"/>
      <c r="T1162" s="82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</row>
    <row r="1163" spans="1:54" ht="15.95" customHeight="1" x14ac:dyDescent="0.2">
      <c r="A1163" s="34"/>
      <c r="B1163" s="25" t="s">
        <v>1</v>
      </c>
      <c r="C1163" s="20">
        <f>SUM(D1163:H1163)</f>
        <v>23624.106</v>
      </c>
      <c r="D1163" s="22">
        <f>0+2428.047</f>
        <v>2428.047</v>
      </c>
      <c r="E1163" s="22">
        <v>21196.059000000001</v>
      </c>
      <c r="F1163" s="21"/>
      <c r="G1163" s="21"/>
      <c r="H1163" s="21"/>
      <c r="I1163" s="81"/>
      <c r="J1163" s="81"/>
      <c r="K1163" s="81"/>
      <c r="L1163" s="81"/>
      <c r="M1163" s="81"/>
      <c r="N1163" s="48"/>
      <c r="O1163" s="81"/>
      <c r="P1163" s="122"/>
      <c r="Q1163" s="81"/>
      <c r="R1163" s="81"/>
      <c r="S1163" s="81"/>
      <c r="T1163" s="82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</row>
    <row r="1164" spans="1:54" ht="15.95" customHeight="1" x14ac:dyDescent="0.2">
      <c r="A1164" s="34"/>
      <c r="B1164" s="25" t="s">
        <v>2</v>
      </c>
      <c r="C1164" s="20">
        <f>SUM(D1164:H1164)</f>
        <v>0</v>
      </c>
      <c r="D1164" s="21"/>
      <c r="E1164" s="21"/>
      <c r="F1164" s="21"/>
      <c r="G1164" s="21"/>
      <c r="H1164" s="21"/>
      <c r="I1164" s="81"/>
      <c r="J1164" s="81"/>
      <c r="K1164" s="81"/>
      <c r="L1164" s="81"/>
      <c r="M1164" s="81"/>
      <c r="N1164" s="48"/>
      <c r="O1164" s="81"/>
      <c r="P1164" s="122"/>
      <c r="Q1164" s="81"/>
      <c r="R1164" s="81"/>
      <c r="S1164" s="81"/>
      <c r="T1164" s="82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</row>
    <row r="1165" spans="1:54" ht="15.95" customHeight="1" x14ac:dyDescent="0.2">
      <c r="A1165" s="34"/>
      <c r="B1165" s="25" t="s">
        <v>3</v>
      </c>
      <c r="C1165" s="20">
        <f>SUM(D1165:H1165)</f>
        <v>0</v>
      </c>
      <c r="D1165" s="21"/>
      <c r="E1165" s="21"/>
      <c r="F1165" s="21"/>
      <c r="G1165" s="21"/>
      <c r="H1165" s="21"/>
      <c r="I1165" s="81"/>
      <c r="J1165" s="81"/>
      <c r="K1165" s="81"/>
      <c r="L1165" s="81"/>
      <c r="M1165" s="81"/>
      <c r="N1165" s="48"/>
      <c r="O1165" s="81"/>
      <c r="P1165" s="122"/>
      <c r="Q1165" s="81"/>
      <c r="R1165" s="81"/>
      <c r="S1165" s="81"/>
      <c r="T1165" s="82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</row>
    <row r="1166" spans="1:54" ht="15.95" customHeight="1" x14ac:dyDescent="0.2">
      <c r="A1166" s="34" t="s">
        <v>563</v>
      </c>
      <c r="B1166" s="78" t="s">
        <v>70</v>
      </c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9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</row>
    <row r="1167" spans="1:54" ht="15.95" customHeight="1" x14ac:dyDescent="0.2">
      <c r="A1167" s="34" t="s">
        <v>57</v>
      </c>
      <c r="B1167" s="50" t="s">
        <v>92</v>
      </c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1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</row>
    <row r="1168" spans="1:54" ht="45" customHeight="1" x14ac:dyDescent="0.2">
      <c r="A1168" s="34"/>
      <c r="B1168" s="69" t="s">
        <v>554</v>
      </c>
      <c r="C1168" s="70"/>
      <c r="D1168" s="70"/>
      <c r="E1168" s="70"/>
      <c r="F1168" s="70"/>
      <c r="G1168" s="70"/>
      <c r="H1168" s="71"/>
      <c r="I1168" s="81" t="s">
        <v>42</v>
      </c>
      <c r="J1168" s="81" t="s">
        <v>23</v>
      </c>
      <c r="K1168" s="81" t="s">
        <v>35</v>
      </c>
      <c r="L1168" s="81" t="s">
        <v>555</v>
      </c>
      <c r="M1168" s="81" t="s">
        <v>71</v>
      </c>
      <c r="N1168" s="48" t="s">
        <v>100</v>
      </c>
      <c r="O1168" s="81" t="s">
        <v>71</v>
      </c>
      <c r="P1168" s="122" t="s">
        <v>556</v>
      </c>
      <c r="Q1168" s="81" t="s">
        <v>29</v>
      </c>
      <c r="R1168" s="81" t="s">
        <v>33</v>
      </c>
      <c r="S1168" s="81" t="s">
        <v>557</v>
      </c>
      <c r="T1168" s="82" t="s">
        <v>558</v>
      </c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</row>
    <row r="1169" spans="1:54" ht="15.95" customHeight="1" x14ac:dyDescent="0.2">
      <c r="A1169" s="34"/>
      <c r="B1169" s="25" t="s">
        <v>5</v>
      </c>
      <c r="C1169" s="20">
        <f t="shared" ref="C1169:H1169" si="279">SUM(C1170:C1173)</f>
        <v>8500</v>
      </c>
      <c r="D1169" s="20">
        <f t="shared" si="279"/>
        <v>3000</v>
      </c>
      <c r="E1169" s="20">
        <f t="shared" si="279"/>
        <v>5500</v>
      </c>
      <c r="F1169" s="20">
        <f t="shared" si="279"/>
        <v>0</v>
      </c>
      <c r="G1169" s="20">
        <f t="shared" si="279"/>
        <v>0</v>
      </c>
      <c r="H1169" s="20">
        <f t="shared" si="279"/>
        <v>0</v>
      </c>
      <c r="I1169" s="81"/>
      <c r="J1169" s="81"/>
      <c r="K1169" s="81"/>
      <c r="L1169" s="81"/>
      <c r="M1169" s="81"/>
      <c r="N1169" s="48"/>
      <c r="O1169" s="81"/>
      <c r="P1169" s="122"/>
      <c r="Q1169" s="81"/>
      <c r="R1169" s="81"/>
      <c r="S1169" s="81"/>
      <c r="T1169" s="82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</row>
    <row r="1170" spans="1:54" ht="15.95" customHeight="1" x14ac:dyDescent="0.2">
      <c r="A1170" s="34"/>
      <c r="B1170" s="25" t="s">
        <v>0</v>
      </c>
      <c r="C1170" s="20">
        <f>SUM(D1170:H1170)</f>
        <v>0</v>
      </c>
      <c r="D1170" s="21"/>
      <c r="E1170" s="21"/>
      <c r="F1170" s="21"/>
      <c r="G1170" s="21"/>
      <c r="H1170" s="21"/>
      <c r="I1170" s="81"/>
      <c r="J1170" s="81"/>
      <c r="K1170" s="81"/>
      <c r="L1170" s="81"/>
      <c r="M1170" s="81"/>
      <c r="N1170" s="48"/>
      <c r="O1170" s="81"/>
      <c r="P1170" s="122"/>
      <c r="Q1170" s="81"/>
      <c r="R1170" s="81"/>
      <c r="S1170" s="81"/>
      <c r="T1170" s="82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</row>
    <row r="1171" spans="1:54" ht="15.95" customHeight="1" x14ac:dyDescent="0.2">
      <c r="A1171" s="34"/>
      <c r="B1171" s="25" t="s">
        <v>1</v>
      </c>
      <c r="C1171" s="20">
        <f>SUM(D1171:H1171)</f>
        <v>8500</v>
      </c>
      <c r="D1171" s="22">
        <v>3000</v>
      </c>
      <c r="E1171" s="22">
        <v>5500</v>
      </c>
      <c r="F1171" s="21"/>
      <c r="G1171" s="21"/>
      <c r="H1171" s="21"/>
      <c r="I1171" s="81"/>
      <c r="J1171" s="81"/>
      <c r="K1171" s="81"/>
      <c r="L1171" s="81"/>
      <c r="M1171" s="81"/>
      <c r="N1171" s="48"/>
      <c r="O1171" s="81"/>
      <c r="P1171" s="122"/>
      <c r="Q1171" s="81"/>
      <c r="R1171" s="81"/>
      <c r="S1171" s="81"/>
      <c r="T1171" s="82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</row>
    <row r="1172" spans="1:54" ht="15.95" customHeight="1" x14ac:dyDescent="0.2">
      <c r="A1172" s="34"/>
      <c r="B1172" s="25" t="s">
        <v>2</v>
      </c>
      <c r="C1172" s="20">
        <f>SUM(D1172:H1172)</f>
        <v>0</v>
      </c>
      <c r="D1172" s="21"/>
      <c r="E1172" s="21"/>
      <c r="F1172" s="21"/>
      <c r="G1172" s="21"/>
      <c r="H1172" s="21"/>
      <c r="I1172" s="81"/>
      <c r="J1172" s="81"/>
      <c r="K1172" s="81"/>
      <c r="L1172" s="81"/>
      <c r="M1172" s="81"/>
      <c r="N1172" s="48"/>
      <c r="O1172" s="81"/>
      <c r="P1172" s="122"/>
      <c r="Q1172" s="81"/>
      <c r="R1172" s="81"/>
      <c r="S1172" s="81"/>
      <c r="T1172" s="82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</row>
    <row r="1173" spans="1:54" ht="15.95" customHeight="1" x14ac:dyDescent="0.2">
      <c r="A1173" s="34"/>
      <c r="B1173" s="25" t="s">
        <v>3</v>
      </c>
      <c r="C1173" s="20">
        <f>SUM(D1173:H1173)</f>
        <v>0</v>
      </c>
      <c r="D1173" s="21"/>
      <c r="E1173" s="21"/>
      <c r="F1173" s="21"/>
      <c r="G1173" s="21"/>
      <c r="H1173" s="21"/>
      <c r="I1173" s="81"/>
      <c r="J1173" s="81"/>
      <c r="K1173" s="81"/>
      <c r="L1173" s="81"/>
      <c r="M1173" s="81"/>
      <c r="N1173" s="48"/>
      <c r="O1173" s="81"/>
      <c r="P1173" s="122"/>
      <c r="Q1173" s="81"/>
      <c r="R1173" s="81"/>
      <c r="S1173" s="81"/>
      <c r="T1173" s="82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</row>
    <row r="1174" spans="1:54" ht="15.95" customHeight="1" x14ac:dyDescent="0.2">
      <c r="A1174" s="34" t="s">
        <v>564</v>
      </c>
      <c r="B1174" s="78" t="s">
        <v>70</v>
      </c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  <c r="N1174" s="78"/>
      <c r="O1174" s="78"/>
      <c r="P1174" s="78"/>
      <c r="Q1174" s="78"/>
      <c r="R1174" s="78"/>
      <c r="S1174" s="78"/>
      <c r="T1174" s="79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</row>
    <row r="1175" spans="1:54" ht="15.95" customHeight="1" x14ac:dyDescent="0.2">
      <c r="A1175" s="34" t="s">
        <v>57</v>
      </c>
      <c r="B1175" s="50" t="s">
        <v>92</v>
      </c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1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</row>
    <row r="1176" spans="1:54" ht="45" customHeight="1" x14ac:dyDescent="0.2">
      <c r="A1176" s="34"/>
      <c r="B1176" s="69" t="s">
        <v>559</v>
      </c>
      <c r="C1176" s="70"/>
      <c r="D1176" s="70"/>
      <c r="E1176" s="70"/>
      <c r="F1176" s="70"/>
      <c r="G1176" s="70"/>
      <c r="H1176" s="71"/>
      <c r="I1176" s="48" t="s">
        <v>23</v>
      </c>
      <c r="J1176" s="81" t="s">
        <v>224</v>
      </c>
      <c r="K1176" s="81" t="s">
        <v>35</v>
      </c>
      <c r="L1176" s="48" t="s">
        <v>560</v>
      </c>
      <c r="M1176" s="81" t="s">
        <v>71</v>
      </c>
      <c r="N1176" s="48" t="s">
        <v>100</v>
      </c>
      <c r="O1176" s="81" t="s">
        <v>71</v>
      </c>
      <c r="P1176" s="38" t="s">
        <v>561</v>
      </c>
      <c r="Q1176" s="81" t="s">
        <v>29</v>
      </c>
      <c r="R1176" s="81" t="s">
        <v>210</v>
      </c>
      <c r="S1176" s="81" t="s">
        <v>30</v>
      </c>
      <c r="T1176" s="82" t="s">
        <v>562</v>
      </c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</row>
    <row r="1177" spans="1:54" ht="15.95" customHeight="1" x14ac:dyDescent="0.2">
      <c r="A1177" s="34"/>
      <c r="B1177" s="25" t="s">
        <v>5</v>
      </c>
      <c r="C1177" s="20">
        <f t="shared" ref="C1177:H1177" si="280">SUM(C1178:C1181)</f>
        <v>318591.614</v>
      </c>
      <c r="D1177" s="20">
        <f t="shared" si="280"/>
        <v>100000</v>
      </c>
      <c r="E1177" s="20">
        <f t="shared" si="280"/>
        <v>123318</v>
      </c>
      <c r="F1177" s="20">
        <f t="shared" si="280"/>
        <v>95273.614000000001</v>
      </c>
      <c r="G1177" s="20">
        <f t="shared" si="280"/>
        <v>0</v>
      </c>
      <c r="H1177" s="20">
        <f t="shared" si="280"/>
        <v>0</v>
      </c>
      <c r="I1177" s="48"/>
      <c r="J1177" s="81"/>
      <c r="K1177" s="81"/>
      <c r="L1177" s="48"/>
      <c r="M1177" s="81"/>
      <c r="N1177" s="48"/>
      <c r="O1177" s="81"/>
      <c r="P1177" s="38"/>
      <c r="Q1177" s="81"/>
      <c r="R1177" s="81"/>
      <c r="S1177" s="81"/>
      <c r="T1177" s="82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</row>
    <row r="1178" spans="1:54" ht="15.95" customHeight="1" x14ac:dyDescent="0.2">
      <c r="A1178" s="34"/>
      <c r="B1178" s="25" t="s">
        <v>0</v>
      </c>
      <c r="C1178" s="20">
        <f>SUM(D1178:H1178)</f>
        <v>0</v>
      </c>
      <c r="D1178" s="21"/>
      <c r="E1178" s="21"/>
      <c r="F1178" s="21"/>
      <c r="G1178" s="21"/>
      <c r="H1178" s="21"/>
      <c r="I1178" s="48"/>
      <c r="J1178" s="81"/>
      <c r="K1178" s="81"/>
      <c r="L1178" s="48"/>
      <c r="M1178" s="81"/>
      <c r="N1178" s="48"/>
      <c r="O1178" s="81"/>
      <c r="P1178" s="38"/>
      <c r="Q1178" s="81"/>
      <c r="R1178" s="81"/>
      <c r="S1178" s="81"/>
      <c r="T1178" s="82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</row>
    <row r="1179" spans="1:54" ht="15.95" customHeight="1" x14ac:dyDescent="0.2">
      <c r="A1179" s="34"/>
      <c r="B1179" s="25" t="s">
        <v>1</v>
      </c>
      <c r="C1179" s="20">
        <f>SUM(D1179:H1179)</f>
        <v>318591.614</v>
      </c>
      <c r="D1179" s="22">
        <v>100000</v>
      </c>
      <c r="E1179" s="22">
        <v>123318</v>
      </c>
      <c r="F1179" s="21">
        <f>0+95273.614</f>
        <v>95273.614000000001</v>
      </c>
      <c r="G1179" s="21"/>
      <c r="H1179" s="21"/>
      <c r="I1179" s="48"/>
      <c r="J1179" s="81"/>
      <c r="K1179" s="81"/>
      <c r="L1179" s="48"/>
      <c r="M1179" s="81"/>
      <c r="N1179" s="48"/>
      <c r="O1179" s="81"/>
      <c r="P1179" s="38"/>
      <c r="Q1179" s="81"/>
      <c r="R1179" s="81"/>
      <c r="S1179" s="81"/>
      <c r="T1179" s="82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</row>
    <row r="1180" spans="1:54" ht="15.95" customHeight="1" x14ac:dyDescent="0.2">
      <c r="A1180" s="34"/>
      <c r="B1180" s="25" t="s">
        <v>2</v>
      </c>
      <c r="C1180" s="20">
        <f>SUM(D1180:H1180)</f>
        <v>0</v>
      </c>
      <c r="D1180" s="21"/>
      <c r="E1180" s="21"/>
      <c r="F1180" s="21"/>
      <c r="G1180" s="21"/>
      <c r="H1180" s="21"/>
      <c r="I1180" s="48"/>
      <c r="J1180" s="81"/>
      <c r="K1180" s="81"/>
      <c r="L1180" s="48"/>
      <c r="M1180" s="81"/>
      <c r="N1180" s="48"/>
      <c r="O1180" s="81"/>
      <c r="P1180" s="38"/>
      <c r="Q1180" s="81"/>
      <c r="R1180" s="81"/>
      <c r="S1180" s="81"/>
      <c r="T1180" s="82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</row>
    <row r="1181" spans="1:54" ht="15.95" customHeight="1" x14ac:dyDescent="0.2">
      <c r="A1181" s="34"/>
      <c r="B1181" s="25" t="s">
        <v>3</v>
      </c>
      <c r="C1181" s="20">
        <f>SUM(D1181:H1181)</f>
        <v>0</v>
      </c>
      <c r="D1181" s="21"/>
      <c r="E1181" s="21"/>
      <c r="F1181" s="21"/>
      <c r="G1181" s="21"/>
      <c r="H1181" s="21"/>
      <c r="I1181" s="48"/>
      <c r="J1181" s="81"/>
      <c r="K1181" s="81"/>
      <c r="L1181" s="48"/>
      <c r="M1181" s="81"/>
      <c r="N1181" s="48"/>
      <c r="O1181" s="81"/>
      <c r="P1181" s="38"/>
      <c r="Q1181" s="81"/>
      <c r="R1181" s="81"/>
      <c r="S1181" s="81"/>
      <c r="T1181" s="82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</row>
    <row r="1182" spans="1:54" ht="15.95" customHeight="1" x14ac:dyDescent="0.2">
      <c r="A1182" s="34" t="s">
        <v>568</v>
      </c>
      <c r="B1182" s="78" t="s">
        <v>70</v>
      </c>
      <c r="C1182" s="78"/>
      <c r="D1182" s="78"/>
      <c r="E1182" s="78"/>
      <c r="F1182" s="78"/>
      <c r="G1182" s="78"/>
      <c r="H1182" s="78"/>
      <c r="I1182" s="78"/>
      <c r="J1182" s="78"/>
      <c r="K1182" s="78"/>
      <c r="L1182" s="78"/>
      <c r="M1182" s="78"/>
      <c r="N1182" s="78"/>
      <c r="O1182" s="78"/>
      <c r="P1182" s="78"/>
      <c r="Q1182" s="78"/>
      <c r="R1182" s="78"/>
      <c r="S1182" s="78"/>
      <c r="T1182" s="79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</row>
    <row r="1183" spans="1:54" ht="15.95" customHeight="1" x14ac:dyDescent="0.2">
      <c r="A1183" s="34" t="s">
        <v>57</v>
      </c>
      <c r="B1183" s="50" t="s">
        <v>92</v>
      </c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1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</row>
    <row r="1184" spans="1:54" ht="45" customHeight="1" x14ac:dyDescent="0.2">
      <c r="A1184" s="34"/>
      <c r="B1184" s="69" t="s">
        <v>565</v>
      </c>
      <c r="C1184" s="70"/>
      <c r="D1184" s="70"/>
      <c r="E1184" s="70"/>
      <c r="F1184" s="70"/>
      <c r="G1184" s="70"/>
      <c r="H1184" s="71"/>
      <c r="I1184" s="48" t="s">
        <v>42</v>
      </c>
      <c r="J1184" s="81" t="s">
        <v>22</v>
      </c>
      <c r="K1184" s="81" t="s">
        <v>35</v>
      </c>
      <c r="L1184" s="48" t="s">
        <v>566</v>
      </c>
      <c r="M1184" s="81" t="s">
        <v>71</v>
      </c>
      <c r="N1184" s="48" t="s">
        <v>100</v>
      </c>
      <c r="O1184" s="81" t="s">
        <v>71</v>
      </c>
      <c r="P1184" s="38" t="s">
        <v>567</v>
      </c>
      <c r="Q1184" s="81" t="s">
        <v>29</v>
      </c>
      <c r="R1184" s="81" t="s">
        <v>33</v>
      </c>
      <c r="S1184" s="81" t="s">
        <v>557</v>
      </c>
      <c r="T1184" s="82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</row>
    <row r="1185" spans="1:54" ht="15.95" customHeight="1" x14ac:dyDescent="0.2">
      <c r="A1185" s="34"/>
      <c r="B1185" s="25" t="s">
        <v>5</v>
      </c>
      <c r="C1185" s="20">
        <f t="shared" ref="C1185:H1185" si="281">SUM(C1186:C1189)</f>
        <v>23185.635999999999</v>
      </c>
      <c r="D1185" s="20">
        <f t="shared" si="281"/>
        <v>23185.635999999999</v>
      </c>
      <c r="E1185" s="20">
        <f t="shared" si="281"/>
        <v>0</v>
      </c>
      <c r="F1185" s="20">
        <f t="shared" si="281"/>
        <v>0</v>
      </c>
      <c r="G1185" s="20">
        <f t="shared" si="281"/>
        <v>0</v>
      </c>
      <c r="H1185" s="20">
        <f t="shared" si="281"/>
        <v>0</v>
      </c>
      <c r="I1185" s="48"/>
      <c r="J1185" s="81"/>
      <c r="K1185" s="81"/>
      <c r="L1185" s="48"/>
      <c r="M1185" s="81"/>
      <c r="N1185" s="48"/>
      <c r="O1185" s="81"/>
      <c r="P1185" s="38"/>
      <c r="Q1185" s="81"/>
      <c r="R1185" s="81"/>
      <c r="S1185" s="81"/>
      <c r="T1185" s="82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</row>
    <row r="1186" spans="1:54" ht="15.95" customHeight="1" x14ac:dyDescent="0.2">
      <c r="A1186" s="34"/>
      <c r="B1186" s="25" t="s">
        <v>0</v>
      </c>
      <c r="C1186" s="20">
        <f>SUM(D1186:H1186)</f>
        <v>0</v>
      </c>
      <c r="D1186" s="21"/>
      <c r="E1186" s="21"/>
      <c r="F1186" s="21"/>
      <c r="G1186" s="21"/>
      <c r="H1186" s="21"/>
      <c r="I1186" s="48"/>
      <c r="J1186" s="81"/>
      <c r="K1186" s="81"/>
      <c r="L1186" s="48"/>
      <c r="M1186" s="81"/>
      <c r="N1186" s="48"/>
      <c r="O1186" s="81"/>
      <c r="P1186" s="38"/>
      <c r="Q1186" s="81"/>
      <c r="R1186" s="81"/>
      <c r="S1186" s="81"/>
      <c r="T1186" s="82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</row>
    <row r="1187" spans="1:54" ht="15.95" customHeight="1" x14ac:dyDescent="0.2">
      <c r="A1187" s="34"/>
      <c r="B1187" s="25" t="s">
        <v>1</v>
      </c>
      <c r="C1187" s="20">
        <f>SUM(D1187:H1187)</f>
        <v>23185.635999999999</v>
      </c>
      <c r="D1187" s="22">
        <f>14673.636+8512</f>
        <v>23185.635999999999</v>
      </c>
      <c r="E1187" s="22"/>
      <c r="F1187" s="21"/>
      <c r="G1187" s="21"/>
      <c r="H1187" s="21"/>
      <c r="I1187" s="48"/>
      <c r="J1187" s="81"/>
      <c r="K1187" s="81"/>
      <c r="L1187" s="48"/>
      <c r="M1187" s="81"/>
      <c r="N1187" s="48"/>
      <c r="O1187" s="81"/>
      <c r="P1187" s="38"/>
      <c r="Q1187" s="81"/>
      <c r="R1187" s="81"/>
      <c r="S1187" s="81"/>
      <c r="T1187" s="82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</row>
    <row r="1188" spans="1:54" ht="15.95" customHeight="1" x14ac:dyDescent="0.2">
      <c r="A1188" s="34"/>
      <c r="B1188" s="25" t="s">
        <v>2</v>
      </c>
      <c r="C1188" s="20">
        <f>SUM(D1188:H1188)</f>
        <v>0</v>
      </c>
      <c r="D1188" s="21"/>
      <c r="E1188" s="21"/>
      <c r="F1188" s="21"/>
      <c r="G1188" s="21"/>
      <c r="H1188" s="21"/>
      <c r="I1188" s="48"/>
      <c r="J1188" s="81"/>
      <c r="K1188" s="81"/>
      <c r="L1188" s="48"/>
      <c r="M1188" s="81"/>
      <c r="N1188" s="48"/>
      <c r="O1188" s="81"/>
      <c r="P1188" s="38"/>
      <c r="Q1188" s="81"/>
      <c r="R1188" s="81"/>
      <c r="S1188" s="81"/>
      <c r="T1188" s="82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</row>
    <row r="1189" spans="1:54" ht="15.95" customHeight="1" x14ac:dyDescent="0.2">
      <c r="A1189" s="34"/>
      <c r="B1189" s="25" t="s">
        <v>3</v>
      </c>
      <c r="C1189" s="20">
        <f>SUM(D1189:H1189)</f>
        <v>0</v>
      </c>
      <c r="D1189" s="21"/>
      <c r="E1189" s="21"/>
      <c r="F1189" s="21"/>
      <c r="G1189" s="21"/>
      <c r="H1189" s="21"/>
      <c r="I1189" s="48"/>
      <c r="J1189" s="81"/>
      <c r="K1189" s="81"/>
      <c r="L1189" s="48"/>
      <c r="M1189" s="81"/>
      <c r="N1189" s="48"/>
      <c r="O1189" s="81"/>
      <c r="P1189" s="38"/>
      <c r="Q1189" s="81"/>
      <c r="R1189" s="81"/>
      <c r="S1189" s="81"/>
      <c r="T1189" s="82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</row>
    <row r="1190" spans="1:54" ht="15.95" customHeight="1" x14ac:dyDescent="0.2">
      <c r="A1190" s="34" t="s">
        <v>573</v>
      </c>
      <c r="B1190" s="78" t="s">
        <v>70</v>
      </c>
      <c r="C1190" s="78"/>
      <c r="D1190" s="78"/>
      <c r="E1190" s="78"/>
      <c r="F1190" s="78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  <c r="R1190" s="78"/>
      <c r="S1190" s="78"/>
      <c r="T1190" s="79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</row>
    <row r="1191" spans="1:54" ht="15.95" customHeight="1" x14ac:dyDescent="0.2">
      <c r="A1191" s="34" t="s">
        <v>57</v>
      </c>
      <c r="B1191" s="50" t="s">
        <v>92</v>
      </c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1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</row>
    <row r="1192" spans="1:54" ht="45" customHeight="1" x14ac:dyDescent="0.2">
      <c r="A1192" s="34"/>
      <c r="B1192" s="69" t="s">
        <v>572</v>
      </c>
      <c r="C1192" s="70"/>
      <c r="D1192" s="70"/>
      <c r="E1192" s="70"/>
      <c r="F1192" s="70"/>
      <c r="G1192" s="70"/>
      <c r="H1192" s="71"/>
      <c r="I1192" s="48" t="s">
        <v>28</v>
      </c>
      <c r="J1192" s="81" t="s">
        <v>22</v>
      </c>
      <c r="K1192" s="81" t="s">
        <v>35</v>
      </c>
      <c r="L1192" s="48" t="s">
        <v>569</v>
      </c>
      <c r="M1192" s="81" t="s">
        <v>71</v>
      </c>
      <c r="N1192" s="48" t="s">
        <v>100</v>
      </c>
      <c r="O1192" s="81" t="s">
        <v>71</v>
      </c>
      <c r="P1192" s="38" t="s">
        <v>570</v>
      </c>
      <c r="Q1192" s="81" t="s">
        <v>29</v>
      </c>
      <c r="R1192" s="81" t="s">
        <v>41</v>
      </c>
      <c r="S1192" s="81" t="s">
        <v>571</v>
      </c>
      <c r="T1192" s="82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</row>
    <row r="1193" spans="1:54" ht="15.95" customHeight="1" x14ac:dyDescent="0.2">
      <c r="A1193" s="34"/>
      <c r="B1193" s="25" t="s">
        <v>5</v>
      </c>
      <c r="C1193" s="20">
        <f t="shared" ref="C1193:H1193" si="282">SUM(C1194:C1197)</f>
        <v>4940.3860000000004</v>
      </c>
      <c r="D1193" s="20">
        <f t="shared" si="282"/>
        <v>4940.3860000000004</v>
      </c>
      <c r="E1193" s="20">
        <f t="shared" si="282"/>
        <v>0</v>
      </c>
      <c r="F1193" s="20">
        <f t="shared" si="282"/>
        <v>0</v>
      </c>
      <c r="G1193" s="20">
        <f t="shared" si="282"/>
        <v>0</v>
      </c>
      <c r="H1193" s="20">
        <f t="shared" si="282"/>
        <v>0</v>
      </c>
      <c r="I1193" s="48"/>
      <c r="J1193" s="81"/>
      <c r="K1193" s="81"/>
      <c r="L1193" s="48"/>
      <c r="M1193" s="81"/>
      <c r="N1193" s="48"/>
      <c r="O1193" s="81"/>
      <c r="P1193" s="38"/>
      <c r="Q1193" s="81"/>
      <c r="R1193" s="81"/>
      <c r="S1193" s="81"/>
      <c r="T1193" s="82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</row>
    <row r="1194" spans="1:54" ht="15.95" customHeight="1" x14ac:dyDescent="0.2">
      <c r="A1194" s="34"/>
      <c r="B1194" s="25" t="s">
        <v>0</v>
      </c>
      <c r="C1194" s="20">
        <f>SUM(D1194:H1194)</f>
        <v>0</v>
      </c>
      <c r="D1194" s="21"/>
      <c r="E1194" s="21"/>
      <c r="F1194" s="21"/>
      <c r="G1194" s="21"/>
      <c r="H1194" s="21"/>
      <c r="I1194" s="48"/>
      <c r="J1194" s="81"/>
      <c r="K1194" s="81"/>
      <c r="L1194" s="48"/>
      <c r="M1194" s="81"/>
      <c r="N1194" s="48"/>
      <c r="O1194" s="81"/>
      <c r="P1194" s="38"/>
      <c r="Q1194" s="81"/>
      <c r="R1194" s="81"/>
      <c r="S1194" s="81"/>
      <c r="T1194" s="82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</row>
    <row r="1195" spans="1:54" ht="15.95" customHeight="1" x14ac:dyDescent="0.2">
      <c r="A1195" s="34"/>
      <c r="B1195" s="25" t="s">
        <v>1</v>
      </c>
      <c r="C1195" s="20">
        <f>SUM(D1195:H1195)</f>
        <v>4940.3860000000004</v>
      </c>
      <c r="D1195" s="22">
        <f>4040.386+900</f>
        <v>4940.3860000000004</v>
      </c>
      <c r="E1195" s="22"/>
      <c r="F1195" s="21"/>
      <c r="G1195" s="21"/>
      <c r="H1195" s="21"/>
      <c r="I1195" s="48"/>
      <c r="J1195" s="81"/>
      <c r="K1195" s="81"/>
      <c r="L1195" s="48"/>
      <c r="M1195" s="81"/>
      <c r="N1195" s="48"/>
      <c r="O1195" s="81"/>
      <c r="P1195" s="38"/>
      <c r="Q1195" s="81"/>
      <c r="R1195" s="81"/>
      <c r="S1195" s="81"/>
      <c r="T1195" s="82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</row>
    <row r="1196" spans="1:54" ht="15.95" customHeight="1" x14ac:dyDescent="0.2">
      <c r="A1196" s="34"/>
      <c r="B1196" s="25" t="s">
        <v>2</v>
      </c>
      <c r="C1196" s="20">
        <f>SUM(D1196:H1196)</f>
        <v>0</v>
      </c>
      <c r="D1196" s="21"/>
      <c r="E1196" s="21"/>
      <c r="F1196" s="21"/>
      <c r="G1196" s="21"/>
      <c r="H1196" s="21"/>
      <c r="I1196" s="48"/>
      <c r="J1196" s="81"/>
      <c r="K1196" s="81"/>
      <c r="L1196" s="48"/>
      <c r="M1196" s="81"/>
      <c r="N1196" s="48"/>
      <c r="O1196" s="81"/>
      <c r="P1196" s="38"/>
      <c r="Q1196" s="81"/>
      <c r="R1196" s="81"/>
      <c r="S1196" s="81"/>
      <c r="T1196" s="82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</row>
    <row r="1197" spans="1:54" ht="15.95" customHeight="1" x14ac:dyDescent="0.2">
      <c r="A1197" s="34"/>
      <c r="B1197" s="25" t="s">
        <v>3</v>
      </c>
      <c r="C1197" s="20">
        <f>SUM(D1197:H1197)</f>
        <v>0</v>
      </c>
      <c r="D1197" s="21"/>
      <c r="E1197" s="21"/>
      <c r="F1197" s="21"/>
      <c r="G1197" s="21"/>
      <c r="H1197" s="21"/>
      <c r="I1197" s="48"/>
      <c r="J1197" s="81"/>
      <c r="K1197" s="81"/>
      <c r="L1197" s="48"/>
      <c r="M1197" s="81"/>
      <c r="N1197" s="48"/>
      <c r="O1197" s="81"/>
      <c r="P1197" s="38"/>
      <c r="Q1197" s="81"/>
      <c r="R1197" s="81"/>
      <c r="S1197" s="81"/>
      <c r="T1197" s="82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</row>
    <row r="1198" spans="1:54" ht="15.95" customHeight="1" x14ac:dyDescent="0.2">
      <c r="A1198" s="34" t="s">
        <v>576</v>
      </c>
      <c r="B1198" s="78" t="s">
        <v>70</v>
      </c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  <c r="M1198" s="78"/>
      <c r="N1198" s="78"/>
      <c r="O1198" s="78"/>
      <c r="P1198" s="78"/>
      <c r="Q1198" s="78"/>
      <c r="R1198" s="78"/>
      <c r="S1198" s="78"/>
      <c r="T1198" s="79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</row>
    <row r="1199" spans="1:54" ht="15.95" customHeight="1" x14ac:dyDescent="0.2">
      <c r="A1199" s="34" t="s">
        <v>57</v>
      </c>
      <c r="B1199" s="50" t="s">
        <v>92</v>
      </c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1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</row>
    <row r="1200" spans="1:54" ht="45" customHeight="1" x14ac:dyDescent="0.2">
      <c r="A1200" s="34"/>
      <c r="B1200" s="69" t="s">
        <v>819</v>
      </c>
      <c r="C1200" s="70"/>
      <c r="D1200" s="70"/>
      <c r="E1200" s="70"/>
      <c r="F1200" s="70"/>
      <c r="G1200" s="70"/>
      <c r="H1200" s="71"/>
      <c r="I1200" s="48" t="s">
        <v>28</v>
      </c>
      <c r="J1200" s="81" t="s">
        <v>22</v>
      </c>
      <c r="K1200" s="81" t="s">
        <v>35</v>
      </c>
      <c r="L1200" s="48" t="s">
        <v>574</v>
      </c>
      <c r="M1200" s="81" t="s">
        <v>71</v>
      </c>
      <c r="N1200" s="48" t="s">
        <v>100</v>
      </c>
      <c r="O1200" s="81" t="s">
        <v>71</v>
      </c>
      <c r="P1200" s="38" t="s">
        <v>575</v>
      </c>
      <c r="Q1200" s="81" t="s">
        <v>29</v>
      </c>
      <c r="R1200" s="81" t="s">
        <v>33</v>
      </c>
      <c r="S1200" s="81" t="s">
        <v>571</v>
      </c>
      <c r="T1200" s="82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</row>
    <row r="1201" spans="1:54" ht="15.95" customHeight="1" x14ac:dyDescent="0.2">
      <c r="A1201" s="34"/>
      <c r="B1201" s="25" t="s">
        <v>5</v>
      </c>
      <c r="C1201" s="20">
        <f t="shared" ref="C1201:H1201" si="283">SUM(C1202:C1205)</f>
        <v>1793.5940000000001</v>
      </c>
      <c r="D1201" s="20">
        <f t="shared" si="283"/>
        <v>1793.5940000000001</v>
      </c>
      <c r="E1201" s="20">
        <f t="shared" si="283"/>
        <v>0</v>
      </c>
      <c r="F1201" s="20">
        <f t="shared" si="283"/>
        <v>0</v>
      </c>
      <c r="G1201" s="20">
        <f t="shared" si="283"/>
        <v>0</v>
      </c>
      <c r="H1201" s="20">
        <f t="shared" si="283"/>
        <v>0</v>
      </c>
      <c r="I1201" s="48"/>
      <c r="J1201" s="81"/>
      <c r="K1201" s="81"/>
      <c r="L1201" s="48"/>
      <c r="M1201" s="81"/>
      <c r="N1201" s="48"/>
      <c r="O1201" s="81"/>
      <c r="P1201" s="38"/>
      <c r="Q1201" s="81"/>
      <c r="R1201" s="81"/>
      <c r="S1201" s="81"/>
      <c r="T1201" s="82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</row>
    <row r="1202" spans="1:54" ht="15.95" customHeight="1" x14ac:dyDescent="0.2">
      <c r="A1202" s="34"/>
      <c r="B1202" s="25" t="s">
        <v>0</v>
      </c>
      <c r="C1202" s="20">
        <f>SUM(D1202:H1202)</f>
        <v>0</v>
      </c>
      <c r="D1202" s="21"/>
      <c r="E1202" s="21"/>
      <c r="F1202" s="21"/>
      <c r="G1202" s="21"/>
      <c r="H1202" s="21"/>
      <c r="I1202" s="48"/>
      <c r="J1202" s="81"/>
      <c r="K1202" s="81"/>
      <c r="L1202" s="48"/>
      <c r="M1202" s="81"/>
      <c r="N1202" s="48"/>
      <c r="O1202" s="81"/>
      <c r="P1202" s="38"/>
      <c r="Q1202" s="81"/>
      <c r="R1202" s="81"/>
      <c r="S1202" s="81"/>
      <c r="T1202" s="82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</row>
    <row r="1203" spans="1:54" ht="15.95" customHeight="1" x14ac:dyDescent="0.2">
      <c r="A1203" s="34"/>
      <c r="B1203" s="25" t="s">
        <v>1</v>
      </c>
      <c r="C1203" s="20">
        <f>SUM(D1203:H1203)</f>
        <v>1793.5940000000001</v>
      </c>
      <c r="D1203" s="22">
        <v>1793.5940000000001</v>
      </c>
      <c r="E1203" s="22"/>
      <c r="F1203" s="21"/>
      <c r="G1203" s="21"/>
      <c r="H1203" s="21"/>
      <c r="I1203" s="48"/>
      <c r="J1203" s="81"/>
      <c r="K1203" s="81"/>
      <c r="L1203" s="48"/>
      <c r="M1203" s="81"/>
      <c r="N1203" s="48"/>
      <c r="O1203" s="81"/>
      <c r="P1203" s="38"/>
      <c r="Q1203" s="81"/>
      <c r="R1203" s="81"/>
      <c r="S1203" s="81"/>
      <c r="T1203" s="82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</row>
    <row r="1204" spans="1:54" ht="15.95" customHeight="1" x14ac:dyDescent="0.2">
      <c r="A1204" s="34"/>
      <c r="B1204" s="25" t="s">
        <v>2</v>
      </c>
      <c r="C1204" s="20">
        <f>SUM(D1204:H1204)</f>
        <v>0</v>
      </c>
      <c r="D1204" s="21"/>
      <c r="E1204" s="21"/>
      <c r="F1204" s="21"/>
      <c r="G1204" s="21"/>
      <c r="H1204" s="21"/>
      <c r="I1204" s="48"/>
      <c r="J1204" s="81"/>
      <c r="K1204" s="81"/>
      <c r="L1204" s="48"/>
      <c r="M1204" s="81"/>
      <c r="N1204" s="48"/>
      <c r="O1204" s="81"/>
      <c r="P1204" s="38"/>
      <c r="Q1204" s="81"/>
      <c r="R1204" s="81"/>
      <c r="S1204" s="81"/>
      <c r="T1204" s="82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</row>
    <row r="1205" spans="1:54" ht="15.95" customHeight="1" x14ac:dyDescent="0.2">
      <c r="A1205" s="34"/>
      <c r="B1205" s="25" t="s">
        <v>3</v>
      </c>
      <c r="C1205" s="20">
        <f>SUM(D1205:H1205)</f>
        <v>0</v>
      </c>
      <c r="D1205" s="21"/>
      <c r="E1205" s="21"/>
      <c r="F1205" s="21"/>
      <c r="G1205" s="21"/>
      <c r="H1205" s="21"/>
      <c r="I1205" s="48"/>
      <c r="J1205" s="81"/>
      <c r="K1205" s="81"/>
      <c r="L1205" s="48"/>
      <c r="M1205" s="81"/>
      <c r="N1205" s="48"/>
      <c r="O1205" s="81"/>
      <c r="P1205" s="38"/>
      <c r="Q1205" s="81"/>
      <c r="R1205" s="81"/>
      <c r="S1205" s="81"/>
      <c r="T1205" s="82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</row>
    <row r="1206" spans="1:54" ht="15.95" customHeight="1" x14ac:dyDescent="0.2">
      <c r="A1206" s="34" t="s">
        <v>579</v>
      </c>
      <c r="B1206" s="78" t="s">
        <v>70</v>
      </c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8"/>
      <c r="O1206" s="78"/>
      <c r="P1206" s="78"/>
      <c r="Q1206" s="78"/>
      <c r="R1206" s="78"/>
      <c r="S1206" s="78"/>
      <c r="T1206" s="79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</row>
    <row r="1207" spans="1:54" ht="15.95" customHeight="1" x14ac:dyDescent="0.2">
      <c r="A1207" s="34" t="s">
        <v>57</v>
      </c>
      <c r="B1207" s="50" t="s">
        <v>92</v>
      </c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1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</row>
    <row r="1208" spans="1:54" ht="45" customHeight="1" x14ac:dyDescent="0.2">
      <c r="A1208" s="34"/>
      <c r="B1208" s="69" t="s">
        <v>820</v>
      </c>
      <c r="C1208" s="70"/>
      <c r="D1208" s="70"/>
      <c r="E1208" s="70"/>
      <c r="F1208" s="70"/>
      <c r="G1208" s="70"/>
      <c r="H1208" s="71"/>
      <c r="I1208" s="48" t="s">
        <v>28</v>
      </c>
      <c r="J1208" s="81" t="s">
        <v>22</v>
      </c>
      <c r="K1208" s="81" t="s">
        <v>35</v>
      </c>
      <c r="L1208" s="48" t="s">
        <v>577</v>
      </c>
      <c r="M1208" s="81" t="s">
        <v>71</v>
      </c>
      <c r="N1208" s="48" t="s">
        <v>100</v>
      </c>
      <c r="O1208" s="81" t="s">
        <v>71</v>
      </c>
      <c r="P1208" s="38" t="s">
        <v>578</v>
      </c>
      <c r="Q1208" s="81" t="s">
        <v>29</v>
      </c>
      <c r="R1208" s="81" t="s">
        <v>33</v>
      </c>
      <c r="S1208" s="81" t="s">
        <v>571</v>
      </c>
      <c r="T1208" s="82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</row>
    <row r="1209" spans="1:54" ht="15.95" customHeight="1" x14ac:dyDescent="0.2">
      <c r="A1209" s="34"/>
      <c r="B1209" s="25" t="s">
        <v>5</v>
      </c>
      <c r="C1209" s="20">
        <f t="shared" ref="C1209:H1209" si="284">SUM(C1210:C1213)</f>
        <v>2166.3180000000002</v>
      </c>
      <c r="D1209" s="20">
        <f t="shared" si="284"/>
        <v>2166.3180000000002</v>
      </c>
      <c r="E1209" s="20">
        <f t="shared" si="284"/>
        <v>0</v>
      </c>
      <c r="F1209" s="20">
        <f t="shared" si="284"/>
        <v>0</v>
      </c>
      <c r="G1209" s="20">
        <f t="shared" si="284"/>
        <v>0</v>
      </c>
      <c r="H1209" s="20">
        <f t="shared" si="284"/>
        <v>0</v>
      </c>
      <c r="I1209" s="48"/>
      <c r="J1209" s="81"/>
      <c r="K1209" s="81"/>
      <c r="L1209" s="48"/>
      <c r="M1209" s="81"/>
      <c r="N1209" s="48"/>
      <c r="O1209" s="81"/>
      <c r="P1209" s="38"/>
      <c r="Q1209" s="81"/>
      <c r="R1209" s="81"/>
      <c r="S1209" s="81"/>
      <c r="T1209" s="82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</row>
    <row r="1210" spans="1:54" ht="15.95" customHeight="1" x14ac:dyDescent="0.2">
      <c r="A1210" s="34"/>
      <c r="B1210" s="25" t="s">
        <v>0</v>
      </c>
      <c r="C1210" s="20">
        <f>SUM(D1210:H1210)</f>
        <v>0</v>
      </c>
      <c r="D1210" s="21"/>
      <c r="E1210" s="21"/>
      <c r="F1210" s="21"/>
      <c r="G1210" s="21"/>
      <c r="H1210" s="21"/>
      <c r="I1210" s="48"/>
      <c r="J1210" s="81"/>
      <c r="K1210" s="81"/>
      <c r="L1210" s="48"/>
      <c r="M1210" s="81"/>
      <c r="N1210" s="48"/>
      <c r="O1210" s="81"/>
      <c r="P1210" s="38"/>
      <c r="Q1210" s="81"/>
      <c r="R1210" s="81"/>
      <c r="S1210" s="81"/>
      <c r="T1210" s="82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</row>
    <row r="1211" spans="1:54" ht="15.95" customHeight="1" x14ac:dyDescent="0.2">
      <c r="A1211" s="34"/>
      <c r="B1211" s="25" t="s">
        <v>1</v>
      </c>
      <c r="C1211" s="20">
        <f>SUM(D1211:H1211)</f>
        <v>2166.3180000000002</v>
      </c>
      <c r="D1211" s="22">
        <v>2166.3180000000002</v>
      </c>
      <c r="E1211" s="22"/>
      <c r="F1211" s="21"/>
      <c r="G1211" s="21"/>
      <c r="H1211" s="21"/>
      <c r="I1211" s="48"/>
      <c r="J1211" s="81"/>
      <c r="K1211" s="81"/>
      <c r="L1211" s="48"/>
      <c r="M1211" s="81"/>
      <c r="N1211" s="48"/>
      <c r="O1211" s="81"/>
      <c r="P1211" s="38"/>
      <c r="Q1211" s="81"/>
      <c r="R1211" s="81"/>
      <c r="S1211" s="81"/>
      <c r="T1211" s="82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</row>
    <row r="1212" spans="1:54" ht="15.95" customHeight="1" x14ac:dyDescent="0.2">
      <c r="A1212" s="34"/>
      <c r="B1212" s="25" t="s">
        <v>2</v>
      </c>
      <c r="C1212" s="20">
        <f>SUM(D1212:H1212)</f>
        <v>0</v>
      </c>
      <c r="D1212" s="21"/>
      <c r="E1212" s="21"/>
      <c r="F1212" s="21"/>
      <c r="G1212" s="21"/>
      <c r="H1212" s="21"/>
      <c r="I1212" s="48"/>
      <c r="J1212" s="81"/>
      <c r="K1212" s="81"/>
      <c r="L1212" s="48"/>
      <c r="M1212" s="81"/>
      <c r="N1212" s="48"/>
      <c r="O1212" s="81"/>
      <c r="P1212" s="38"/>
      <c r="Q1212" s="81"/>
      <c r="R1212" s="81"/>
      <c r="S1212" s="81"/>
      <c r="T1212" s="82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</row>
    <row r="1213" spans="1:54" ht="15.95" customHeight="1" x14ac:dyDescent="0.2">
      <c r="A1213" s="34"/>
      <c r="B1213" s="25" t="s">
        <v>3</v>
      </c>
      <c r="C1213" s="20">
        <f>SUM(D1213:H1213)</f>
        <v>0</v>
      </c>
      <c r="D1213" s="21"/>
      <c r="E1213" s="21"/>
      <c r="F1213" s="21"/>
      <c r="G1213" s="21"/>
      <c r="H1213" s="21"/>
      <c r="I1213" s="48"/>
      <c r="J1213" s="81"/>
      <c r="K1213" s="81"/>
      <c r="L1213" s="48"/>
      <c r="M1213" s="81"/>
      <c r="N1213" s="48"/>
      <c r="O1213" s="81"/>
      <c r="P1213" s="38"/>
      <c r="Q1213" s="81"/>
      <c r="R1213" s="81"/>
      <c r="S1213" s="81"/>
      <c r="T1213" s="82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</row>
    <row r="1214" spans="1:54" ht="15.95" customHeight="1" x14ac:dyDescent="0.2">
      <c r="A1214" s="34" t="s">
        <v>583</v>
      </c>
      <c r="B1214" s="78" t="s">
        <v>70</v>
      </c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  <c r="N1214" s="78"/>
      <c r="O1214" s="78"/>
      <c r="P1214" s="78"/>
      <c r="Q1214" s="78"/>
      <c r="R1214" s="78"/>
      <c r="S1214" s="78"/>
      <c r="T1214" s="79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</row>
    <row r="1215" spans="1:54" ht="15.95" customHeight="1" x14ac:dyDescent="0.2">
      <c r="A1215" s="34" t="s">
        <v>57</v>
      </c>
      <c r="B1215" s="50" t="s">
        <v>92</v>
      </c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1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</row>
    <row r="1216" spans="1:54" ht="45" customHeight="1" x14ac:dyDescent="0.2">
      <c r="A1216" s="34"/>
      <c r="B1216" s="69" t="s">
        <v>580</v>
      </c>
      <c r="C1216" s="70"/>
      <c r="D1216" s="70"/>
      <c r="E1216" s="70"/>
      <c r="F1216" s="70"/>
      <c r="G1216" s="70"/>
      <c r="H1216" s="71"/>
      <c r="I1216" s="48" t="s">
        <v>28</v>
      </c>
      <c r="J1216" s="81" t="s">
        <v>22</v>
      </c>
      <c r="K1216" s="81" t="s">
        <v>35</v>
      </c>
      <c r="L1216" s="48" t="s">
        <v>581</v>
      </c>
      <c r="M1216" s="81" t="s">
        <v>71</v>
      </c>
      <c r="N1216" s="48" t="s">
        <v>100</v>
      </c>
      <c r="O1216" s="81" t="s">
        <v>71</v>
      </c>
      <c r="P1216" s="38" t="s">
        <v>582</v>
      </c>
      <c r="Q1216" s="81" t="s">
        <v>29</v>
      </c>
      <c r="R1216" s="81" t="s">
        <v>36</v>
      </c>
      <c r="S1216" s="81" t="s">
        <v>571</v>
      </c>
      <c r="T1216" s="82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</row>
    <row r="1217" spans="1:54" ht="15.95" customHeight="1" x14ac:dyDescent="0.2">
      <c r="A1217" s="34"/>
      <c r="B1217" s="25" t="s">
        <v>5</v>
      </c>
      <c r="C1217" s="20">
        <f t="shared" ref="C1217:H1217" si="285">SUM(C1218:C1221)</f>
        <v>1316.799</v>
      </c>
      <c r="D1217" s="20">
        <f t="shared" si="285"/>
        <v>1316.799</v>
      </c>
      <c r="E1217" s="20">
        <f t="shared" si="285"/>
        <v>0</v>
      </c>
      <c r="F1217" s="20">
        <f t="shared" si="285"/>
        <v>0</v>
      </c>
      <c r="G1217" s="20">
        <f t="shared" si="285"/>
        <v>0</v>
      </c>
      <c r="H1217" s="20">
        <f t="shared" si="285"/>
        <v>0</v>
      </c>
      <c r="I1217" s="48"/>
      <c r="J1217" s="81"/>
      <c r="K1217" s="81"/>
      <c r="L1217" s="48"/>
      <c r="M1217" s="81"/>
      <c r="N1217" s="48"/>
      <c r="O1217" s="81"/>
      <c r="P1217" s="38"/>
      <c r="Q1217" s="81"/>
      <c r="R1217" s="81"/>
      <c r="S1217" s="81"/>
      <c r="T1217" s="82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</row>
    <row r="1218" spans="1:54" ht="15.95" customHeight="1" x14ac:dyDescent="0.2">
      <c r="A1218" s="34"/>
      <c r="B1218" s="25" t="s">
        <v>0</v>
      </c>
      <c r="C1218" s="20">
        <f>SUM(D1218:H1218)</f>
        <v>0</v>
      </c>
      <c r="D1218" s="21"/>
      <c r="E1218" s="21"/>
      <c r="F1218" s="21"/>
      <c r="G1218" s="21"/>
      <c r="H1218" s="21"/>
      <c r="I1218" s="48"/>
      <c r="J1218" s="81"/>
      <c r="K1218" s="81"/>
      <c r="L1218" s="48"/>
      <c r="M1218" s="81"/>
      <c r="N1218" s="48"/>
      <c r="O1218" s="81"/>
      <c r="P1218" s="38"/>
      <c r="Q1218" s="81"/>
      <c r="R1218" s="81"/>
      <c r="S1218" s="81"/>
      <c r="T1218" s="82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</row>
    <row r="1219" spans="1:54" ht="15.95" customHeight="1" x14ac:dyDescent="0.2">
      <c r="A1219" s="34"/>
      <c r="B1219" s="25" t="s">
        <v>1</v>
      </c>
      <c r="C1219" s="20">
        <f>SUM(D1219:H1219)</f>
        <v>1316.799</v>
      </c>
      <c r="D1219" s="22">
        <v>1316.799</v>
      </c>
      <c r="E1219" s="22"/>
      <c r="F1219" s="21"/>
      <c r="G1219" s="21"/>
      <c r="H1219" s="21"/>
      <c r="I1219" s="48"/>
      <c r="J1219" s="81"/>
      <c r="K1219" s="81"/>
      <c r="L1219" s="48"/>
      <c r="M1219" s="81"/>
      <c r="N1219" s="48"/>
      <c r="O1219" s="81"/>
      <c r="P1219" s="38"/>
      <c r="Q1219" s="81"/>
      <c r="R1219" s="81"/>
      <c r="S1219" s="81"/>
      <c r="T1219" s="82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</row>
    <row r="1220" spans="1:54" ht="15.95" customHeight="1" x14ac:dyDescent="0.2">
      <c r="A1220" s="34"/>
      <c r="B1220" s="25" t="s">
        <v>2</v>
      </c>
      <c r="C1220" s="20">
        <f>SUM(D1220:H1220)</f>
        <v>0</v>
      </c>
      <c r="D1220" s="21"/>
      <c r="E1220" s="21"/>
      <c r="F1220" s="21"/>
      <c r="G1220" s="21"/>
      <c r="H1220" s="21"/>
      <c r="I1220" s="48"/>
      <c r="J1220" s="81"/>
      <c r="K1220" s="81"/>
      <c r="L1220" s="48"/>
      <c r="M1220" s="81"/>
      <c r="N1220" s="48"/>
      <c r="O1220" s="81"/>
      <c r="P1220" s="38"/>
      <c r="Q1220" s="81"/>
      <c r="R1220" s="81"/>
      <c r="S1220" s="81"/>
      <c r="T1220" s="82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</row>
    <row r="1221" spans="1:54" ht="15.95" customHeight="1" x14ac:dyDescent="0.2">
      <c r="A1221" s="34"/>
      <c r="B1221" s="25" t="s">
        <v>3</v>
      </c>
      <c r="C1221" s="20">
        <f>SUM(D1221:H1221)</f>
        <v>0</v>
      </c>
      <c r="D1221" s="21"/>
      <c r="E1221" s="21"/>
      <c r="F1221" s="21"/>
      <c r="G1221" s="21"/>
      <c r="H1221" s="21"/>
      <c r="I1221" s="48"/>
      <c r="J1221" s="81"/>
      <c r="K1221" s="81"/>
      <c r="L1221" s="48"/>
      <c r="M1221" s="81"/>
      <c r="N1221" s="48"/>
      <c r="O1221" s="81"/>
      <c r="P1221" s="38"/>
      <c r="Q1221" s="81"/>
      <c r="R1221" s="81"/>
      <c r="S1221" s="81"/>
      <c r="T1221" s="82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</row>
    <row r="1222" spans="1:54" ht="15.95" customHeight="1" x14ac:dyDescent="0.2">
      <c r="A1222" s="34" t="s">
        <v>590</v>
      </c>
      <c r="B1222" s="78" t="s">
        <v>70</v>
      </c>
      <c r="C1222" s="78"/>
      <c r="D1222" s="78"/>
      <c r="E1222" s="78"/>
      <c r="F1222" s="78"/>
      <c r="G1222" s="78"/>
      <c r="H1222" s="78"/>
      <c r="I1222" s="78"/>
      <c r="J1222" s="78"/>
      <c r="K1222" s="78"/>
      <c r="L1222" s="78"/>
      <c r="M1222" s="78"/>
      <c r="N1222" s="78"/>
      <c r="O1222" s="78"/>
      <c r="P1222" s="78"/>
      <c r="Q1222" s="78"/>
      <c r="R1222" s="78"/>
      <c r="S1222" s="78"/>
      <c r="T1222" s="79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</row>
    <row r="1223" spans="1:54" ht="15.95" customHeight="1" x14ac:dyDescent="0.2">
      <c r="A1223" s="34" t="s">
        <v>57</v>
      </c>
      <c r="B1223" s="50" t="s">
        <v>92</v>
      </c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1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</row>
    <row r="1224" spans="1:54" ht="45" customHeight="1" x14ac:dyDescent="0.2">
      <c r="A1224" s="34"/>
      <c r="B1224" s="69" t="s">
        <v>584</v>
      </c>
      <c r="C1224" s="70"/>
      <c r="D1224" s="70"/>
      <c r="E1224" s="70"/>
      <c r="F1224" s="70"/>
      <c r="G1224" s="70"/>
      <c r="H1224" s="71"/>
      <c r="I1224" s="39" t="s">
        <v>28</v>
      </c>
      <c r="J1224" s="35" t="s">
        <v>22</v>
      </c>
      <c r="K1224" s="35" t="s">
        <v>35</v>
      </c>
      <c r="L1224" s="39" t="s">
        <v>585</v>
      </c>
      <c r="M1224" s="35" t="s">
        <v>71</v>
      </c>
      <c r="N1224" s="39" t="s">
        <v>100</v>
      </c>
      <c r="O1224" s="35" t="s">
        <v>71</v>
      </c>
      <c r="P1224" s="84" t="s">
        <v>586</v>
      </c>
      <c r="Q1224" s="35" t="s">
        <v>29</v>
      </c>
      <c r="R1224" s="35" t="s">
        <v>33</v>
      </c>
      <c r="S1224" s="35" t="s">
        <v>571</v>
      </c>
      <c r="T1224" s="66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</row>
    <row r="1225" spans="1:54" ht="15.95" customHeight="1" x14ac:dyDescent="0.2">
      <c r="A1225" s="34"/>
      <c r="B1225" s="25" t="s">
        <v>5</v>
      </c>
      <c r="C1225" s="20">
        <f t="shared" ref="C1225:H1225" si="286">SUM(C1226:C1229)</f>
        <v>2500.4409999999998</v>
      </c>
      <c r="D1225" s="20">
        <f t="shared" si="286"/>
        <v>2500.4409999999998</v>
      </c>
      <c r="E1225" s="20">
        <f t="shared" si="286"/>
        <v>0</v>
      </c>
      <c r="F1225" s="20">
        <f t="shared" si="286"/>
        <v>0</v>
      </c>
      <c r="G1225" s="20">
        <f t="shared" si="286"/>
        <v>0</v>
      </c>
      <c r="H1225" s="20">
        <f t="shared" si="286"/>
        <v>0</v>
      </c>
      <c r="I1225" s="40"/>
      <c r="J1225" s="36"/>
      <c r="K1225" s="36"/>
      <c r="L1225" s="40"/>
      <c r="M1225" s="36"/>
      <c r="N1225" s="40"/>
      <c r="O1225" s="36"/>
      <c r="P1225" s="85"/>
      <c r="Q1225" s="36"/>
      <c r="R1225" s="36"/>
      <c r="S1225" s="36"/>
      <c r="T1225" s="6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</row>
    <row r="1226" spans="1:54" ht="15.95" customHeight="1" x14ac:dyDescent="0.2">
      <c r="A1226" s="34"/>
      <c r="B1226" s="25" t="s">
        <v>0</v>
      </c>
      <c r="C1226" s="20">
        <f>SUM(D1226:H1226)</f>
        <v>0</v>
      </c>
      <c r="D1226" s="21"/>
      <c r="E1226" s="21"/>
      <c r="F1226" s="21"/>
      <c r="G1226" s="21"/>
      <c r="H1226" s="21"/>
      <c r="I1226" s="40"/>
      <c r="J1226" s="36"/>
      <c r="K1226" s="36"/>
      <c r="L1226" s="40"/>
      <c r="M1226" s="36"/>
      <c r="N1226" s="40"/>
      <c r="O1226" s="36"/>
      <c r="P1226" s="85"/>
      <c r="Q1226" s="36"/>
      <c r="R1226" s="36"/>
      <c r="S1226" s="36"/>
      <c r="T1226" s="6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</row>
    <row r="1227" spans="1:54" ht="15.95" customHeight="1" x14ac:dyDescent="0.2">
      <c r="A1227" s="34"/>
      <c r="B1227" s="25" t="s">
        <v>1</v>
      </c>
      <c r="C1227" s="20">
        <f>SUM(D1227:H1227)</f>
        <v>2500.4409999999998</v>
      </c>
      <c r="D1227" s="22">
        <f>1750.441+750</f>
        <v>2500.4409999999998</v>
      </c>
      <c r="E1227" s="22"/>
      <c r="F1227" s="21"/>
      <c r="G1227" s="21"/>
      <c r="H1227" s="21"/>
      <c r="I1227" s="40"/>
      <c r="J1227" s="36"/>
      <c r="K1227" s="36"/>
      <c r="L1227" s="40"/>
      <c r="M1227" s="36"/>
      <c r="N1227" s="40"/>
      <c r="O1227" s="36"/>
      <c r="P1227" s="85"/>
      <c r="Q1227" s="36"/>
      <c r="R1227" s="36"/>
      <c r="S1227" s="36"/>
      <c r="T1227" s="6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</row>
    <row r="1228" spans="1:54" ht="15.95" customHeight="1" x14ac:dyDescent="0.2">
      <c r="A1228" s="34"/>
      <c r="B1228" s="25" t="s">
        <v>2</v>
      </c>
      <c r="C1228" s="20">
        <f>SUM(D1228:H1228)</f>
        <v>0</v>
      </c>
      <c r="D1228" s="21"/>
      <c r="E1228" s="21"/>
      <c r="F1228" s="21"/>
      <c r="G1228" s="21"/>
      <c r="H1228" s="21"/>
      <c r="I1228" s="40"/>
      <c r="J1228" s="36"/>
      <c r="K1228" s="36"/>
      <c r="L1228" s="40"/>
      <c r="M1228" s="36"/>
      <c r="N1228" s="40"/>
      <c r="O1228" s="36"/>
      <c r="P1228" s="85"/>
      <c r="Q1228" s="36"/>
      <c r="R1228" s="36"/>
      <c r="S1228" s="36"/>
      <c r="T1228" s="6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</row>
    <row r="1229" spans="1:54" ht="15.95" customHeight="1" x14ac:dyDescent="0.2">
      <c r="A1229" s="34"/>
      <c r="B1229" s="25" t="s">
        <v>3</v>
      </c>
      <c r="C1229" s="20">
        <f>SUM(D1229:H1229)</f>
        <v>0</v>
      </c>
      <c r="D1229" s="21"/>
      <c r="E1229" s="21"/>
      <c r="F1229" s="21"/>
      <c r="G1229" s="21"/>
      <c r="H1229" s="21"/>
      <c r="I1229" s="41"/>
      <c r="J1229" s="37"/>
      <c r="K1229" s="37"/>
      <c r="L1229" s="41"/>
      <c r="M1229" s="37"/>
      <c r="N1229" s="41"/>
      <c r="O1229" s="37"/>
      <c r="P1229" s="86"/>
      <c r="Q1229" s="37"/>
      <c r="R1229" s="37"/>
      <c r="S1229" s="37"/>
      <c r="T1229" s="68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</row>
    <row r="1230" spans="1:54" ht="15.95" customHeight="1" x14ac:dyDescent="0.2">
      <c r="A1230" s="34" t="s">
        <v>594</v>
      </c>
      <c r="B1230" s="78" t="s">
        <v>70</v>
      </c>
      <c r="C1230" s="78"/>
      <c r="D1230" s="78"/>
      <c r="E1230" s="78"/>
      <c r="F1230" s="78"/>
      <c r="G1230" s="78"/>
      <c r="H1230" s="78"/>
      <c r="I1230" s="78"/>
      <c r="J1230" s="78"/>
      <c r="K1230" s="78"/>
      <c r="L1230" s="78"/>
      <c r="M1230" s="78"/>
      <c r="N1230" s="78"/>
      <c r="O1230" s="78"/>
      <c r="P1230" s="78"/>
      <c r="Q1230" s="78"/>
      <c r="R1230" s="78"/>
      <c r="S1230" s="78"/>
      <c r="T1230" s="79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</row>
    <row r="1231" spans="1:54" ht="15.95" customHeight="1" x14ac:dyDescent="0.2">
      <c r="A1231" s="34" t="s">
        <v>57</v>
      </c>
      <c r="B1231" s="50" t="s">
        <v>92</v>
      </c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1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</row>
    <row r="1232" spans="1:54" ht="45" customHeight="1" x14ac:dyDescent="0.2">
      <c r="A1232" s="34"/>
      <c r="B1232" s="69" t="s">
        <v>587</v>
      </c>
      <c r="C1232" s="70"/>
      <c r="D1232" s="70"/>
      <c r="E1232" s="70"/>
      <c r="F1232" s="70"/>
      <c r="G1232" s="70"/>
      <c r="H1232" s="71"/>
      <c r="I1232" s="39" t="s">
        <v>28</v>
      </c>
      <c r="J1232" s="35" t="s">
        <v>22</v>
      </c>
      <c r="K1232" s="35" t="s">
        <v>35</v>
      </c>
      <c r="L1232" s="39" t="s">
        <v>588</v>
      </c>
      <c r="M1232" s="35" t="s">
        <v>71</v>
      </c>
      <c r="N1232" s="39" t="s">
        <v>100</v>
      </c>
      <c r="O1232" s="35" t="s">
        <v>71</v>
      </c>
      <c r="P1232" s="84" t="s">
        <v>589</v>
      </c>
      <c r="Q1232" s="35" t="s">
        <v>29</v>
      </c>
      <c r="R1232" s="35" t="s">
        <v>41</v>
      </c>
      <c r="S1232" s="35" t="s">
        <v>571</v>
      </c>
      <c r="T1232" s="66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</row>
    <row r="1233" spans="1:54" ht="15.95" customHeight="1" x14ac:dyDescent="0.2">
      <c r="A1233" s="34"/>
      <c r="B1233" s="25" t="s">
        <v>5</v>
      </c>
      <c r="C1233" s="20">
        <f t="shared" ref="C1233:H1233" si="287">SUM(C1234:C1237)</f>
        <v>1632.672</v>
      </c>
      <c r="D1233" s="20">
        <f t="shared" si="287"/>
        <v>1632.672</v>
      </c>
      <c r="E1233" s="20">
        <f t="shared" si="287"/>
        <v>0</v>
      </c>
      <c r="F1233" s="20">
        <f t="shared" si="287"/>
        <v>0</v>
      </c>
      <c r="G1233" s="20">
        <f t="shared" si="287"/>
        <v>0</v>
      </c>
      <c r="H1233" s="20">
        <f t="shared" si="287"/>
        <v>0</v>
      </c>
      <c r="I1233" s="40"/>
      <c r="J1233" s="36"/>
      <c r="K1233" s="36"/>
      <c r="L1233" s="40"/>
      <c r="M1233" s="36"/>
      <c r="N1233" s="40"/>
      <c r="O1233" s="36"/>
      <c r="P1233" s="85"/>
      <c r="Q1233" s="36"/>
      <c r="R1233" s="36"/>
      <c r="S1233" s="36"/>
      <c r="T1233" s="6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</row>
    <row r="1234" spans="1:54" ht="15.95" customHeight="1" x14ac:dyDescent="0.2">
      <c r="A1234" s="34"/>
      <c r="B1234" s="25" t="s">
        <v>0</v>
      </c>
      <c r="C1234" s="20">
        <f>SUM(D1234:H1234)</f>
        <v>0</v>
      </c>
      <c r="D1234" s="21"/>
      <c r="E1234" s="21"/>
      <c r="F1234" s="21"/>
      <c r="G1234" s="21"/>
      <c r="H1234" s="21"/>
      <c r="I1234" s="40"/>
      <c r="J1234" s="36"/>
      <c r="K1234" s="36"/>
      <c r="L1234" s="40"/>
      <c r="M1234" s="36"/>
      <c r="N1234" s="40"/>
      <c r="O1234" s="36"/>
      <c r="P1234" s="85"/>
      <c r="Q1234" s="36"/>
      <c r="R1234" s="36"/>
      <c r="S1234" s="36"/>
      <c r="T1234" s="6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</row>
    <row r="1235" spans="1:54" ht="15.95" customHeight="1" x14ac:dyDescent="0.2">
      <c r="A1235" s="34"/>
      <c r="B1235" s="25" t="s">
        <v>1</v>
      </c>
      <c r="C1235" s="20">
        <f>SUM(D1235:H1235)</f>
        <v>1632.672</v>
      </c>
      <c r="D1235" s="22">
        <v>1632.672</v>
      </c>
      <c r="E1235" s="22"/>
      <c r="F1235" s="21"/>
      <c r="G1235" s="21"/>
      <c r="H1235" s="21"/>
      <c r="I1235" s="40"/>
      <c r="J1235" s="36"/>
      <c r="K1235" s="36"/>
      <c r="L1235" s="40"/>
      <c r="M1235" s="36"/>
      <c r="N1235" s="40"/>
      <c r="O1235" s="36"/>
      <c r="P1235" s="85"/>
      <c r="Q1235" s="36"/>
      <c r="R1235" s="36"/>
      <c r="S1235" s="36"/>
      <c r="T1235" s="6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</row>
    <row r="1236" spans="1:54" ht="15.95" customHeight="1" x14ac:dyDescent="0.2">
      <c r="A1236" s="34"/>
      <c r="B1236" s="25" t="s">
        <v>2</v>
      </c>
      <c r="C1236" s="20">
        <f>SUM(D1236:H1236)</f>
        <v>0</v>
      </c>
      <c r="D1236" s="21"/>
      <c r="E1236" s="21"/>
      <c r="F1236" s="21"/>
      <c r="G1236" s="21"/>
      <c r="H1236" s="21"/>
      <c r="I1236" s="40"/>
      <c r="J1236" s="36"/>
      <c r="K1236" s="36"/>
      <c r="L1236" s="40"/>
      <c r="M1236" s="36"/>
      <c r="N1236" s="40"/>
      <c r="O1236" s="36"/>
      <c r="P1236" s="85"/>
      <c r="Q1236" s="36"/>
      <c r="R1236" s="36"/>
      <c r="S1236" s="36"/>
      <c r="T1236" s="6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</row>
    <row r="1237" spans="1:54" ht="15.95" customHeight="1" x14ac:dyDescent="0.2">
      <c r="A1237" s="34"/>
      <c r="B1237" s="25" t="s">
        <v>3</v>
      </c>
      <c r="C1237" s="20">
        <f>SUM(D1237:H1237)</f>
        <v>0</v>
      </c>
      <c r="D1237" s="21"/>
      <c r="E1237" s="21"/>
      <c r="F1237" s="21"/>
      <c r="G1237" s="21"/>
      <c r="H1237" s="21"/>
      <c r="I1237" s="41"/>
      <c r="J1237" s="37"/>
      <c r="K1237" s="37"/>
      <c r="L1237" s="41"/>
      <c r="M1237" s="37"/>
      <c r="N1237" s="41"/>
      <c r="O1237" s="37"/>
      <c r="P1237" s="86"/>
      <c r="Q1237" s="37"/>
      <c r="R1237" s="37"/>
      <c r="S1237" s="37"/>
      <c r="T1237" s="68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</row>
    <row r="1238" spans="1:54" ht="15.95" customHeight="1" x14ac:dyDescent="0.2">
      <c r="A1238" s="34" t="s">
        <v>599</v>
      </c>
      <c r="B1238" s="46" t="s">
        <v>70</v>
      </c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9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</row>
    <row r="1239" spans="1:54" ht="15.95" customHeight="1" x14ac:dyDescent="0.2">
      <c r="A1239" s="34" t="s">
        <v>57</v>
      </c>
      <c r="B1239" s="50" t="s">
        <v>92</v>
      </c>
      <c r="C1239" s="50"/>
      <c r="D1239" s="50"/>
      <c r="E1239" s="50"/>
      <c r="F1239" s="50"/>
      <c r="G1239" s="50"/>
      <c r="H1239" s="50"/>
      <c r="I1239" s="119"/>
      <c r="J1239" s="119"/>
      <c r="K1239" s="119"/>
      <c r="L1239" s="119"/>
      <c r="M1239" s="119"/>
      <c r="N1239" s="119"/>
      <c r="O1239" s="119"/>
      <c r="P1239" s="119"/>
      <c r="Q1239" s="119"/>
      <c r="R1239" s="119"/>
      <c r="S1239" s="119"/>
      <c r="T1239" s="120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</row>
    <row r="1240" spans="1:54" ht="45" customHeight="1" x14ac:dyDescent="0.2">
      <c r="A1240" s="34"/>
      <c r="B1240" s="52" t="s">
        <v>753</v>
      </c>
      <c r="C1240" s="53"/>
      <c r="D1240" s="53"/>
      <c r="E1240" s="53"/>
      <c r="F1240" s="53"/>
      <c r="G1240" s="53"/>
      <c r="H1240" s="54"/>
      <c r="I1240" s="39" t="s">
        <v>754</v>
      </c>
      <c r="J1240" s="72" t="s">
        <v>755</v>
      </c>
      <c r="K1240" s="72" t="s">
        <v>35</v>
      </c>
      <c r="L1240" s="72" t="s">
        <v>756</v>
      </c>
      <c r="M1240" s="72" t="s">
        <v>71</v>
      </c>
      <c r="N1240" s="39" t="s">
        <v>100</v>
      </c>
      <c r="O1240" s="72" t="s">
        <v>71</v>
      </c>
      <c r="P1240" s="90" t="s">
        <v>757</v>
      </c>
      <c r="Q1240" s="72" t="s">
        <v>29</v>
      </c>
      <c r="R1240" s="72" t="s">
        <v>32</v>
      </c>
      <c r="S1240" s="39" t="s">
        <v>24</v>
      </c>
      <c r="T1240" s="93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</row>
    <row r="1241" spans="1:54" ht="15.95" customHeight="1" x14ac:dyDescent="0.2">
      <c r="A1241" s="34"/>
      <c r="B1241" s="25" t="s">
        <v>5</v>
      </c>
      <c r="C1241" s="2">
        <f t="shared" ref="C1241:C1242" si="288">D1241+E1241+F1241+G1241+H1241</f>
        <v>1860.904</v>
      </c>
      <c r="D1241" s="1">
        <f t="shared" ref="D1241:H1241" si="289">SUM(D1242:D1245)</f>
        <v>1860.904</v>
      </c>
      <c r="E1241" s="1">
        <f t="shared" si="289"/>
        <v>0</v>
      </c>
      <c r="F1241" s="1">
        <f t="shared" si="289"/>
        <v>0</v>
      </c>
      <c r="G1241" s="1">
        <f t="shared" si="289"/>
        <v>0</v>
      </c>
      <c r="H1241" s="23">
        <f t="shared" si="289"/>
        <v>0</v>
      </c>
      <c r="I1241" s="40"/>
      <c r="J1241" s="73"/>
      <c r="K1241" s="73"/>
      <c r="L1241" s="73"/>
      <c r="M1241" s="73"/>
      <c r="N1241" s="40"/>
      <c r="O1241" s="73"/>
      <c r="P1241" s="91"/>
      <c r="Q1241" s="73"/>
      <c r="R1241" s="73"/>
      <c r="S1241" s="40"/>
      <c r="T1241" s="94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</row>
    <row r="1242" spans="1:54" ht="15.95" customHeight="1" x14ac:dyDescent="0.2">
      <c r="A1242" s="34"/>
      <c r="B1242" s="25" t="s">
        <v>0</v>
      </c>
      <c r="C1242" s="2">
        <f t="shared" si="288"/>
        <v>0</v>
      </c>
      <c r="D1242" s="1"/>
      <c r="E1242" s="1"/>
      <c r="F1242" s="1"/>
      <c r="G1242" s="1"/>
      <c r="H1242" s="23"/>
      <c r="I1242" s="40"/>
      <c r="J1242" s="73"/>
      <c r="K1242" s="73"/>
      <c r="L1242" s="73"/>
      <c r="M1242" s="73"/>
      <c r="N1242" s="40"/>
      <c r="O1242" s="73"/>
      <c r="P1242" s="91"/>
      <c r="Q1242" s="73"/>
      <c r="R1242" s="73"/>
      <c r="S1242" s="40"/>
      <c r="T1242" s="94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</row>
    <row r="1243" spans="1:54" ht="15.95" customHeight="1" x14ac:dyDescent="0.2">
      <c r="A1243" s="34"/>
      <c r="B1243" s="25" t="s">
        <v>1</v>
      </c>
      <c r="C1243" s="2">
        <f>D1243+E1243+F1243+G1243+H1243</f>
        <v>1860.904</v>
      </c>
      <c r="D1243" s="1">
        <f>0+1860.904</f>
        <v>1860.904</v>
      </c>
      <c r="E1243" s="1"/>
      <c r="F1243" s="1"/>
      <c r="G1243" s="1"/>
      <c r="H1243" s="23"/>
      <c r="I1243" s="40"/>
      <c r="J1243" s="73"/>
      <c r="K1243" s="73"/>
      <c r="L1243" s="73"/>
      <c r="M1243" s="73"/>
      <c r="N1243" s="40"/>
      <c r="O1243" s="73"/>
      <c r="P1243" s="91"/>
      <c r="Q1243" s="73"/>
      <c r="R1243" s="73"/>
      <c r="S1243" s="40"/>
      <c r="T1243" s="94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</row>
    <row r="1244" spans="1:54" ht="15.95" customHeight="1" x14ac:dyDescent="0.2">
      <c r="A1244" s="34"/>
      <c r="B1244" s="25" t="s">
        <v>2</v>
      </c>
      <c r="C1244" s="2">
        <f t="shared" ref="C1244:C1245" si="290">D1244+E1244+F1244+G1244+H1244</f>
        <v>0</v>
      </c>
      <c r="D1244" s="1"/>
      <c r="E1244" s="1"/>
      <c r="F1244" s="1"/>
      <c r="G1244" s="1"/>
      <c r="H1244" s="23"/>
      <c r="I1244" s="40"/>
      <c r="J1244" s="73"/>
      <c r="K1244" s="73"/>
      <c r="L1244" s="73"/>
      <c r="M1244" s="73"/>
      <c r="N1244" s="40"/>
      <c r="O1244" s="73"/>
      <c r="P1244" s="91"/>
      <c r="Q1244" s="73"/>
      <c r="R1244" s="73"/>
      <c r="S1244" s="40"/>
      <c r="T1244" s="94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</row>
    <row r="1245" spans="1:54" ht="15.95" customHeight="1" x14ac:dyDescent="0.2">
      <c r="A1245" s="34"/>
      <c r="B1245" s="25" t="s">
        <v>3</v>
      </c>
      <c r="C1245" s="2">
        <f t="shared" si="290"/>
        <v>0</v>
      </c>
      <c r="D1245" s="1"/>
      <c r="E1245" s="1"/>
      <c r="F1245" s="1"/>
      <c r="G1245" s="1"/>
      <c r="H1245" s="23"/>
      <c r="I1245" s="41"/>
      <c r="J1245" s="74"/>
      <c r="K1245" s="74"/>
      <c r="L1245" s="74"/>
      <c r="M1245" s="74"/>
      <c r="N1245" s="41"/>
      <c r="O1245" s="74"/>
      <c r="P1245" s="92"/>
      <c r="Q1245" s="74"/>
      <c r="R1245" s="74"/>
      <c r="S1245" s="41"/>
      <c r="T1245" s="95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</row>
    <row r="1246" spans="1:54" ht="15.95" customHeight="1" x14ac:dyDescent="0.2">
      <c r="A1246" s="34" t="s">
        <v>601</v>
      </c>
      <c r="B1246" s="78" t="s">
        <v>70</v>
      </c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  <c r="N1246" s="78"/>
      <c r="O1246" s="78"/>
      <c r="P1246" s="78"/>
      <c r="Q1246" s="78"/>
      <c r="R1246" s="78"/>
      <c r="S1246" s="78"/>
      <c r="T1246" s="79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</row>
    <row r="1247" spans="1:54" ht="15.95" customHeight="1" x14ac:dyDescent="0.2">
      <c r="A1247" s="34" t="s">
        <v>57</v>
      </c>
      <c r="B1247" s="50" t="s">
        <v>92</v>
      </c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1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</row>
    <row r="1248" spans="1:54" ht="45" customHeight="1" x14ac:dyDescent="0.2">
      <c r="A1248" s="34"/>
      <c r="B1248" s="69" t="s">
        <v>591</v>
      </c>
      <c r="C1248" s="70"/>
      <c r="D1248" s="70"/>
      <c r="E1248" s="70"/>
      <c r="F1248" s="70"/>
      <c r="G1248" s="70"/>
      <c r="H1248" s="71"/>
      <c r="I1248" s="39" t="s">
        <v>176</v>
      </c>
      <c r="J1248" s="35" t="s">
        <v>22</v>
      </c>
      <c r="K1248" s="35" t="s">
        <v>35</v>
      </c>
      <c r="L1248" s="39" t="s">
        <v>592</v>
      </c>
      <c r="M1248" s="35" t="s">
        <v>71</v>
      </c>
      <c r="N1248" s="39" t="s">
        <v>100</v>
      </c>
      <c r="O1248" s="35" t="s">
        <v>71</v>
      </c>
      <c r="P1248" s="84" t="s">
        <v>593</v>
      </c>
      <c r="Q1248" s="35" t="s">
        <v>29</v>
      </c>
      <c r="R1248" s="35" t="s">
        <v>36</v>
      </c>
      <c r="S1248" s="35" t="s">
        <v>571</v>
      </c>
      <c r="T1248" s="66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</row>
    <row r="1249" spans="1:54" ht="15.95" customHeight="1" x14ac:dyDescent="0.2">
      <c r="A1249" s="34"/>
      <c r="B1249" s="25" t="s">
        <v>5</v>
      </c>
      <c r="C1249" s="20">
        <f t="shared" ref="C1249:H1249" si="291">SUM(C1250:C1253)</f>
        <v>25950.404999999999</v>
      </c>
      <c r="D1249" s="20">
        <f t="shared" si="291"/>
        <v>25950.404999999999</v>
      </c>
      <c r="E1249" s="20">
        <f t="shared" si="291"/>
        <v>0</v>
      </c>
      <c r="F1249" s="20">
        <f t="shared" si="291"/>
        <v>0</v>
      </c>
      <c r="G1249" s="20">
        <f t="shared" si="291"/>
        <v>0</v>
      </c>
      <c r="H1249" s="20">
        <f t="shared" si="291"/>
        <v>0</v>
      </c>
      <c r="I1249" s="40"/>
      <c r="J1249" s="36"/>
      <c r="K1249" s="36"/>
      <c r="L1249" s="40"/>
      <c r="M1249" s="36"/>
      <c r="N1249" s="40"/>
      <c r="O1249" s="36"/>
      <c r="P1249" s="85"/>
      <c r="Q1249" s="36"/>
      <c r="R1249" s="36"/>
      <c r="S1249" s="36"/>
      <c r="T1249" s="6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</row>
    <row r="1250" spans="1:54" ht="15.95" customHeight="1" x14ac:dyDescent="0.2">
      <c r="A1250" s="34"/>
      <c r="B1250" s="25" t="s">
        <v>0</v>
      </c>
      <c r="C1250" s="20">
        <f>SUM(D1250:H1250)</f>
        <v>0</v>
      </c>
      <c r="D1250" s="21"/>
      <c r="E1250" s="21"/>
      <c r="F1250" s="21"/>
      <c r="G1250" s="21"/>
      <c r="H1250" s="21"/>
      <c r="I1250" s="40"/>
      <c r="J1250" s="36"/>
      <c r="K1250" s="36"/>
      <c r="L1250" s="40"/>
      <c r="M1250" s="36"/>
      <c r="N1250" s="40"/>
      <c r="O1250" s="36"/>
      <c r="P1250" s="85"/>
      <c r="Q1250" s="36"/>
      <c r="R1250" s="36"/>
      <c r="S1250" s="36"/>
      <c r="T1250" s="6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</row>
    <row r="1251" spans="1:54" ht="15.95" customHeight="1" x14ac:dyDescent="0.2">
      <c r="A1251" s="34"/>
      <c r="B1251" s="25" t="s">
        <v>1</v>
      </c>
      <c r="C1251" s="20">
        <f>SUM(D1251:H1251)</f>
        <v>25950.404999999999</v>
      </c>
      <c r="D1251" s="22">
        <f>22850.405+3100</f>
        <v>25950.404999999999</v>
      </c>
      <c r="E1251" s="22"/>
      <c r="F1251" s="21"/>
      <c r="G1251" s="21"/>
      <c r="H1251" s="21"/>
      <c r="I1251" s="40"/>
      <c r="J1251" s="36"/>
      <c r="K1251" s="36"/>
      <c r="L1251" s="40"/>
      <c r="M1251" s="36"/>
      <c r="N1251" s="40"/>
      <c r="O1251" s="36"/>
      <c r="P1251" s="85"/>
      <c r="Q1251" s="36"/>
      <c r="R1251" s="36"/>
      <c r="S1251" s="36"/>
      <c r="T1251" s="6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</row>
    <row r="1252" spans="1:54" ht="15.95" customHeight="1" x14ac:dyDescent="0.2">
      <c r="A1252" s="34"/>
      <c r="B1252" s="25" t="s">
        <v>2</v>
      </c>
      <c r="C1252" s="20">
        <f>SUM(D1252:H1252)</f>
        <v>0</v>
      </c>
      <c r="D1252" s="21"/>
      <c r="E1252" s="21"/>
      <c r="F1252" s="21"/>
      <c r="G1252" s="21"/>
      <c r="H1252" s="21"/>
      <c r="I1252" s="40"/>
      <c r="J1252" s="36"/>
      <c r="K1252" s="36"/>
      <c r="L1252" s="40"/>
      <c r="M1252" s="36"/>
      <c r="N1252" s="40"/>
      <c r="O1252" s="36"/>
      <c r="P1252" s="85"/>
      <c r="Q1252" s="36"/>
      <c r="R1252" s="36"/>
      <c r="S1252" s="36"/>
      <c r="T1252" s="6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</row>
    <row r="1253" spans="1:54" ht="15.95" customHeight="1" x14ac:dyDescent="0.2">
      <c r="A1253" s="34"/>
      <c r="B1253" s="25" t="s">
        <v>3</v>
      </c>
      <c r="C1253" s="20">
        <f>SUM(D1253:H1253)</f>
        <v>0</v>
      </c>
      <c r="D1253" s="21"/>
      <c r="E1253" s="21"/>
      <c r="F1253" s="21"/>
      <c r="G1253" s="21"/>
      <c r="H1253" s="21"/>
      <c r="I1253" s="41"/>
      <c r="J1253" s="37"/>
      <c r="K1253" s="37"/>
      <c r="L1253" s="41"/>
      <c r="M1253" s="37"/>
      <c r="N1253" s="41"/>
      <c r="O1253" s="37"/>
      <c r="P1253" s="86"/>
      <c r="Q1253" s="37"/>
      <c r="R1253" s="37"/>
      <c r="S1253" s="37"/>
      <c r="T1253" s="68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</row>
    <row r="1254" spans="1:54" ht="15.95" customHeight="1" x14ac:dyDescent="0.2">
      <c r="A1254" s="34" t="s">
        <v>602</v>
      </c>
      <c r="B1254" s="78" t="s">
        <v>70</v>
      </c>
      <c r="C1254" s="78"/>
      <c r="D1254" s="78"/>
      <c r="E1254" s="78"/>
      <c r="F1254" s="78"/>
      <c r="G1254" s="78"/>
      <c r="H1254" s="78"/>
      <c r="I1254" s="78"/>
      <c r="J1254" s="78"/>
      <c r="K1254" s="78"/>
      <c r="L1254" s="78"/>
      <c r="M1254" s="78"/>
      <c r="N1254" s="78"/>
      <c r="O1254" s="78"/>
      <c r="P1254" s="78"/>
      <c r="Q1254" s="78"/>
      <c r="R1254" s="78"/>
      <c r="S1254" s="78"/>
      <c r="T1254" s="79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</row>
    <row r="1255" spans="1:54" ht="15.95" customHeight="1" x14ac:dyDescent="0.2">
      <c r="A1255" s="34" t="s">
        <v>57</v>
      </c>
      <c r="B1255" s="50" t="s">
        <v>598</v>
      </c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1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</row>
    <row r="1256" spans="1:54" ht="45" customHeight="1" x14ac:dyDescent="0.2">
      <c r="A1256" s="34"/>
      <c r="B1256" s="69" t="s">
        <v>595</v>
      </c>
      <c r="C1256" s="70"/>
      <c r="D1256" s="70"/>
      <c r="E1256" s="70"/>
      <c r="F1256" s="70"/>
      <c r="G1256" s="70"/>
      <c r="H1256" s="71"/>
      <c r="I1256" s="39" t="s">
        <v>23</v>
      </c>
      <c r="J1256" s="35" t="s">
        <v>22</v>
      </c>
      <c r="K1256" s="35" t="s">
        <v>35</v>
      </c>
      <c r="L1256" s="39" t="s">
        <v>596</v>
      </c>
      <c r="M1256" s="35" t="s">
        <v>71</v>
      </c>
      <c r="N1256" s="39" t="s">
        <v>100</v>
      </c>
      <c r="O1256" s="35" t="s">
        <v>71</v>
      </c>
      <c r="P1256" s="84" t="s">
        <v>597</v>
      </c>
      <c r="Q1256" s="35" t="s">
        <v>29</v>
      </c>
      <c r="R1256" s="35" t="s">
        <v>8</v>
      </c>
      <c r="S1256" s="35" t="s">
        <v>571</v>
      </c>
      <c r="T1256" s="66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</row>
    <row r="1257" spans="1:54" ht="15.95" customHeight="1" x14ac:dyDescent="0.2">
      <c r="A1257" s="34"/>
      <c r="B1257" s="25" t="s">
        <v>5</v>
      </c>
      <c r="C1257" s="20">
        <f t="shared" ref="C1257:H1257" si="292">SUM(C1258:C1261)</f>
        <v>7818.00173</v>
      </c>
      <c r="D1257" s="20">
        <f t="shared" si="292"/>
        <v>7818.00173</v>
      </c>
      <c r="E1257" s="20">
        <f t="shared" si="292"/>
        <v>0</v>
      </c>
      <c r="F1257" s="20">
        <f t="shared" si="292"/>
        <v>0</v>
      </c>
      <c r="G1257" s="20">
        <f t="shared" si="292"/>
        <v>0</v>
      </c>
      <c r="H1257" s="20">
        <f t="shared" si="292"/>
        <v>0</v>
      </c>
      <c r="I1257" s="40"/>
      <c r="J1257" s="36"/>
      <c r="K1257" s="36"/>
      <c r="L1257" s="40"/>
      <c r="M1257" s="36"/>
      <c r="N1257" s="40"/>
      <c r="O1257" s="36"/>
      <c r="P1257" s="85"/>
      <c r="Q1257" s="36"/>
      <c r="R1257" s="36"/>
      <c r="S1257" s="36"/>
      <c r="T1257" s="6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</row>
    <row r="1258" spans="1:54" ht="15.95" customHeight="1" x14ac:dyDescent="0.2">
      <c r="A1258" s="34"/>
      <c r="B1258" s="25" t="s">
        <v>0</v>
      </c>
      <c r="C1258" s="20">
        <f>SUM(D1258:H1258)</f>
        <v>0</v>
      </c>
      <c r="D1258" s="21"/>
      <c r="E1258" s="21"/>
      <c r="F1258" s="21"/>
      <c r="G1258" s="21"/>
      <c r="H1258" s="21"/>
      <c r="I1258" s="40"/>
      <c r="J1258" s="36"/>
      <c r="K1258" s="36"/>
      <c r="L1258" s="40"/>
      <c r="M1258" s="36"/>
      <c r="N1258" s="40"/>
      <c r="O1258" s="36"/>
      <c r="P1258" s="85"/>
      <c r="Q1258" s="36"/>
      <c r="R1258" s="36"/>
      <c r="S1258" s="36"/>
      <c r="T1258" s="6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</row>
    <row r="1259" spans="1:54" ht="15.95" customHeight="1" x14ac:dyDescent="0.2">
      <c r="A1259" s="34"/>
      <c r="B1259" s="25" t="s">
        <v>1</v>
      </c>
      <c r="C1259" s="20">
        <f>SUM(D1259:H1259)</f>
        <v>7818.00173</v>
      </c>
      <c r="D1259" s="22">
        <v>7818.00173</v>
      </c>
      <c r="E1259" s="22"/>
      <c r="F1259" s="21"/>
      <c r="G1259" s="21"/>
      <c r="H1259" s="21"/>
      <c r="I1259" s="40"/>
      <c r="J1259" s="36"/>
      <c r="K1259" s="36"/>
      <c r="L1259" s="40"/>
      <c r="M1259" s="36"/>
      <c r="N1259" s="40"/>
      <c r="O1259" s="36"/>
      <c r="P1259" s="85"/>
      <c r="Q1259" s="36"/>
      <c r="R1259" s="36"/>
      <c r="S1259" s="36"/>
      <c r="T1259" s="6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</row>
    <row r="1260" spans="1:54" ht="15.95" customHeight="1" x14ac:dyDescent="0.2">
      <c r="A1260" s="34"/>
      <c r="B1260" s="25" t="s">
        <v>2</v>
      </c>
      <c r="C1260" s="20">
        <f>SUM(D1260:H1260)</f>
        <v>0</v>
      </c>
      <c r="D1260" s="21"/>
      <c r="E1260" s="21"/>
      <c r="F1260" s="21"/>
      <c r="G1260" s="21"/>
      <c r="H1260" s="21"/>
      <c r="I1260" s="40"/>
      <c r="J1260" s="36"/>
      <c r="K1260" s="36"/>
      <c r="L1260" s="40"/>
      <c r="M1260" s="36"/>
      <c r="N1260" s="40"/>
      <c r="O1260" s="36"/>
      <c r="P1260" s="85"/>
      <c r="Q1260" s="36"/>
      <c r="R1260" s="36"/>
      <c r="S1260" s="36"/>
      <c r="T1260" s="6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</row>
    <row r="1261" spans="1:54" ht="15.95" customHeight="1" x14ac:dyDescent="0.2">
      <c r="A1261" s="34"/>
      <c r="B1261" s="25" t="s">
        <v>3</v>
      </c>
      <c r="C1261" s="20">
        <f>SUM(D1261:H1261)</f>
        <v>0</v>
      </c>
      <c r="D1261" s="21"/>
      <c r="E1261" s="21"/>
      <c r="F1261" s="21"/>
      <c r="G1261" s="21"/>
      <c r="H1261" s="21"/>
      <c r="I1261" s="41"/>
      <c r="J1261" s="37"/>
      <c r="K1261" s="37"/>
      <c r="L1261" s="41"/>
      <c r="M1261" s="37"/>
      <c r="N1261" s="41"/>
      <c r="O1261" s="37"/>
      <c r="P1261" s="86"/>
      <c r="Q1261" s="37"/>
      <c r="R1261" s="37"/>
      <c r="S1261" s="37"/>
      <c r="T1261" s="68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</row>
    <row r="1262" spans="1:54" ht="15.95" customHeight="1" x14ac:dyDescent="0.2">
      <c r="A1262" s="34" t="s">
        <v>610</v>
      </c>
      <c r="B1262" s="78" t="s">
        <v>70</v>
      </c>
      <c r="C1262" s="78"/>
      <c r="D1262" s="78"/>
      <c r="E1262" s="78"/>
      <c r="F1262" s="78"/>
      <c r="G1262" s="78"/>
      <c r="H1262" s="78"/>
      <c r="I1262" s="78"/>
      <c r="J1262" s="78"/>
      <c r="K1262" s="78"/>
      <c r="L1262" s="78"/>
      <c r="M1262" s="78"/>
      <c r="N1262" s="78"/>
      <c r="O1262" s="78"/>
      <c r="P1262" s="78"/>
      <c r="Q1262" s="78"/>
      <c r="R1262" s="78"/>
      <c r="S1262" s="78"/>
      <c r="T1262" s="79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</row>
    <row r="1263" spans="1:54" ht="15.95" customHeight="1" x14ac:dyDescent="0.2">
      <c r="A1263" s="34" t="s">
        <v>57</v>
      </c>
      <c r="B1263" s="50" t="s">
        <v>598</v>
      </c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1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</row>
    <row r="1264" spans="1:54" ht="45" customHeight="1" x14ac:dyDescent="0.2">
      <c r="A1264" s="34"/>
      <c r="B1264" s="69" t="s">
        <v>600</v>
      </c>
      <c r="C1264" s="70"/>
      <c r="D1264" s="70"/>
      <c r="E1264" s="70"/>
      <c r="F1264" s="70"/>
      <c r="G1264" s="70"/>
      <c r="H1264" s="71"/>
      <c r="I1264" s="39" t="s">
        <v>23</v>
      </c>
      <c r="J1264" s="35" t="s">
        <v>22</v>
      </c>
      <c r="K1264" s="35" t="s">
        <v>35</v>
      </c>
      <c r="L1264" s="39" t="s">
        <v>596</v>
      </c>
      <c r="M1264" s="35" t="s">
        <v>71</v>
      </c>
      <c r="N1264" s="39" t="s">
        <v>100</v>
      </c>
      <c r="O1264" s="35" t="s">
        <v>71</v>
      </c>
      <c r="P1264" s="84" t="s">
        <v>803</v>
      </c>
      <c r="Q1264" s="35" t="s">
        <v>29</v>
      </c>
      <c r="R1264" s="35" t="s">
        <v>8</v>
      </c>
      <c r="S1264" s="35" t="s">
        <v>30</v>
      </c>
      <c r="T1264" s="66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</row>
    <row r="1265" spans="1:54" ht="15.95" customHeight="1" x14ac:dyDescent="0.2">
      <c r="A1265" s="34"/>
      <c r="B1265" s="25" t="s">
        <v>5</v>
      </c>
      <c r="C1265" s="20">
        <f t="shared" ref="C1265:H1265" si="293">SUM(C1266:C1269)</f>
        <v>117607.78719999999</v>
      </c>
      <c r="D1265" s="20">
        <f t="shared" si="293"/>
        <v>16834.266199999998</v>
      </c>
      <c r="E1265" s="20">
        <f t="shared" si="293"/>
        <v>15225.716</v>
      </c>
      <c r="F1265" s="20">
        <f t="shared" si="293"/>
        <v>75547.804999999993</v>
      </c>
      <c r="G1265" s="20">
        <f t="shared" si="293"/>
        <v>10000</v>
      </c>
      <c r="H1265" s="20">
        <f t="shared" si="293"/>
        <v>0</v>
      </c>
      <c r="I1265" s="40"/>
      <c r="J1265" s="36"/>
      <c r="K1265" s="36"/>
      <c r="L1265" s="40"/>
      <c r="M1265" s="36"/>
      <c r="N1265" s="40"/>
      <c r="O1265" s="36"/>
      <c r="P1265" s="85"/>
      <c r="Q1265" s="36"/>
      <c r="R1265" s="36"/>
      <c r="S1265" s="36"/>
      <c r="T1265" s="6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</row>
    <row r="1266" spans="1:54" ht="15.95" customHeight="1" x14ac:dyDescent="0.2">
      <c r="A1266" s="34"/>
      <c r="B1266" s="25" t="s">
        <v>0</v>
      </c>
      <c r="C1266" s="20">
        <f>SUM(D1266:H1266)</f>
        <v>0</v>
      </c>
      <c r="D1266" s="21"/>
      <c r="E1266" s="21"/>
      <c r="F1266" s="21"/>
      <c r="G1266" s="21"/>
      <c r="H1266" s="21"/>
      <c r="I1266" s="40"/>
      <c r="J1266" s="36"/>
      <c r="K1266" s="36"/>
      <c r="L1266" s="40"/>
      <c r="M1266" s="36"/>
      <c r="N1266" s="40"/>
      <c r="O1266" s="36"/>
      <c r="P1266" s="85"/>
      <c r="Q1266" s="36"/>
      <c r="R1266" s="36"/>
      <c r="S1266" s="36"/>
      <c r="T1266" s="6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</row>
    <row r="1267" spans="1:54" ht="15.95" customHeight="1" x14ac:dyDescent="0.2">
      <c r="A1267" s="34"/>
      <c r="B1267" s="25" t="s">
        <v>1</v>
      </c>
      <c r="C1267" s="20">
        <f>SUM(D1267:H1267)</f>
        <v>117607.78719999999</v>
      </c>
      <c r="D1267" s="22">
        <f>23286.53413-6452.26793</f>
        <v>16834.266199999998</v>
      </c>
      <c r="E1267" s="24">
        <f>0+15225.716</f>
        <v>15225.716</v>
      </c>
      <c r="F1267" s="21">
        <f>0+75547.805</f>
        <v>75547.804999999993</v>
      </c>
      <c r="G1267" s="21">
        <f>0+10000</f>
        <v>10000</v>
      </c>
      <c r="H1267" s="21"/>
      <c r="I1267" s="40"/>
      <c r="J1267" s="36"/>
      <c r="K1267" s="36"/>
      <c r="L1267" s="40"/>
      <c r="M1267" s="36"/>
      <c r="N1267" s="40"/>
      <c r="O1267" s="36"/>
      <c r="P1267" s="85"/>
      <c r="Q1267" s="36"/>
      <c r="R1267" s="36"/>
      <c r="S1267" s="36"/>
      <c r="T1267" s="6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</row>
    <row r="1268" spans="1:54" ht="15.95" customHeight="1" x14ac:dyDescent="0.2">
      <c r="A1268" s="34"/>
      <c r="B1268" s="25" t="s">
        <v>2</v>
      </c>
      <c r="C1268" s="20">
        <f>SUM(D1268:H1268)</f>
        <v>0</v>
      </c>
      <c r="D1268" s="21"/>
      <c r="E1268" s="21"/>
      <c r="F1268" s="21"/>
      <c r="G1268" s="21"/>
      <c r="H1268" s="21"/>
      <c r="I1268" s="40"/>
      <c r="J1268" s="36"/>
      <c r="K1268" s="36"/>
      <c r="L1268" s="40"/>
      <c r="M1268" s="36"/>
      <c r="N1268" s="40"/>
      <c r="O1268" s="36"/>
      <c r="P1268" s="85"/>
      <c r="Q1268" s="36"/>
      <c r="R1268" s="36"/>
      <c r="S1268" s="36"/>
      <c r="T1268" s="6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</row>
    <row r="1269" spans="1:54" ht="15.95" customHeight="1" x14ac:dyDescent="0.2">
      <c r="A1269" s="34"/>
      <c r="B1269" s="25" t="s">
        <v>3</v>
      </c>
      <c r="C1269" s="20">
        <f>SUM(D1269:H1269)</f>
        <v>0</v>
      </c>
      <c r="D1269" s="21"/>
      <c r="E1269" s="21"/>
      <c r="F1269" s="21"/>
      <c r="G1269" s="21"/>
      <c r="H1269" s="21"/>
      <c r="I1269" s="41"/>
      <c r="J1269" s="37"/>
      <c r="K1269" s="37"/>
      <c r="L1269" s="41"/>
      <c r="M1269" s="37"/>
      <c r="N1269" s="41"/>
      <c r="O1269" s="37"/>
      <c r="P1269" s="86"/>
      <c r="Q1269" s="37"/>
      <c r="R1269" s="37"/>
      <c r="S1269" s="37"/>
      <c r="T1269" s="68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</row>
    <row r="1270" spans="1:54" ht="15.95" customHeight="1" x14ac:dyDescent="0.2">
      <c r="A1270" s="34" t="s">
        <v>614</v>
      </c>
      <c r="B1270" s="78" t="s">
        <v>70</v>
      </c>
      <c r="C1270" s="78"/>
      <c r="D1270" s="78"/>
      <c r="E1270" s="78"/>
      <c r="F1270" s="78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  <c r="R1270" s="78"/>
      <c r="S1270" s="78"/>
      <c r="T1270" s="79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</row>
    <row r="1271" spans="1:54" ht="15.95" customHeight="1" x14ac:dyDescent="0.2">
      <c r="A1271" s="34" t="s">
        <v>57</v>
      </c>
      <c r="B1271" s="50" t="s">
        <v>93</v>
      </c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1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</row>
    <row r="1272" spans="1:54" ht="45" customHeight="1" x14ac:dyDescent="0.2">
      <c r="A1272" s="34"/>
      <c r="B1272" s="69" t="s">
        <v>603</v>
      </c>
      <c r="C1272" s="70"/>
      <c r="D1272" s="70"/>
      <c r="E1272" s="70"/>
      <c r="F1272" s="70"/>
      <c r="G1272" s="70"/>
      <c r="H1272" s="71"/>
      <c r="I1272" s="39" t="s">
        <v>604</v>
      </c>
      <c r="J1272" s="35"/>
      <c r="K1272" s="35" t="s">
        <v>54</v>
      </c>
      <c r="L1272" s="39"/>
      <c r="M1272" s="35" t="s">
        <v>100</v>
      </c>
      <c r="N1272" s="39" t="s">
        <v>100</v>
      </c>
      <c r="O1272" s="35" t="s">
        <v>100</v>
      </c>
      <c r="P1272" s="84" t="s">
        <v>605</v>
      </c>
      <c r="Q1272" s="35" t="s">
        <v>29</v>
      </c>
      <c r="R1272" s="35" t="s">
        <v>606</v>
      </c>
      <c r="S1272" s="35" t="s">
        <v>76</v>
      </c>
      <c r="T1272" s="66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</row>
    <row r="1273" spans="1:54" ht="15.95" customHeight="1" x14ac:dyDescent="0.2">
      <c r="A1273" s="34"/>
      <c r="B1273" s="25" t="s">
        <v>5</v>
      </c>
      <c r="C1273" s="20">
        <f t="shared" ref="C1273:H1273" si="294">SUM(C1274:C1277)</f>
        <v>48609.75</v>
      </c>
      <c r="D1273" s="20">
        <f t="shared" si="294"/>
        <v>48609.75</v>
      </c>
      <c r="E1273" s="20">
        <f t="shared" si="294"/>
        <v>0</v>
      </c>
      <c r="F1273" s="20">
        <f t="shared" si="294"/>
        <v>0</v>
      </c>
      <c r="G1273" s="20">
        <f t="shared" si="294"/>
        <v>0</v>
      </c>
      <c r="H1273" s="20">
        <f t="shared" si="294"/>
        <v>0</v>
      </c>
      <c r="I1273" s="40"/>
      <c r="J1273" s="36"/>
      <c r="K1273" s="36"/>
      <c r="L1273" s="40"/>
      <c r="M1273" s="36"/>
      <c r="N1273" s="40"/>
      <c r="O1273" s="36"/>
      <c r="P1273" s="85"/>
      <c r="Q1273" s="36"/>
      <c r="R1273" s="36"/>
      <c r="S1273" s="36"/>
      <c r="T1273" s="6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</row>
    <row r="1274" spans="1:54" ht="15.95" customHeight="1" x14ac:dyDescent="0.2">
      <c r="A1274" s="34"/>
      <c r="B1274" s="25" t="s">
        <v>0</v>
      </c>
      <c r="C1274" s="20">
        <f>SUM(D1274:H1274)</f>
        <v>0</v>
      </c>
      <c r="D1274" s="21"/>
      <c r="E1274" s="21"/>
      <c r="F1274" s="21"/>
      <c r="G1274" s="21"/>
      <c r="H1274" s="21"/>
      <c r="I1274" s="40"/>
      <c r="J1274" s="36"/>
      <c r="K1274" s="36"/>
      <c r="L1274" s="40"/>
      <c r="M1274" s="36"/>
      <c r="N1274" s="40"/>
      <c r="O1274" s="36"/>
      <c r="P1274" s="85"/>
      <c r="Q1274" s="36"/>
      <c r="R1274" s="36"/>
      <c r="S1274" s="36"/>
      <c r="T1274" s="6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</row>
    <row r="1275" spans="1:54" ht="15.95" customHeight="1" x14ac:dyDescent="0.2">
      <c r="A1275" s="34"/>
      <c r="B1275" s="25" t="s">
        <v>1</v>
      </c>
      <c r="C1275" s="20">
        <f>SUM(D1275:H1275)</f>
        <v>48609.75</v>
      </c>
      <c r="D1275" s="22">
        <v>48609.75</v>
      </c>
      <c r="E1275" s="22"/>
      <c r="F1275" s="21"/>
      <c r="G1275" s="21"/>
      <c r="H1275" s="21"/>
      <c r="I1275" s="40"/>
      <c r="J1275" s="36"/>
      <c r="K1275" s="36"/>
      <c r="L1275" s="40"/>
      <c r="M1275" s="36"/>
      <c r="N1275" s="40"/>
      <c r="O1275" s="36"/>
      <c r="P1275" s="85"/>
      <c r="Q1275" s="36"/>
      <c r="R1275" s="36"/>
      <c r="S1275" s="36"/>
      <c r="T1275" s="6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</row>
    <row r="1276" spans="1:54" ht="15.95" customHeight="1" x14ac:dyDescent="0.2">
      <c r="A1276" s="34"/>
      <c r="B1276" s="25" t="s">
        <v>2</v>
      </c>
      <c r="C1276" s="20">
        <f>SUM(D1276:H1276)</f>
        <v>0</v>
      </c>
      <c r="D1276" s="21"/>
      <c r="E1276" s="21"/>
      <c r="F1276" s="21"/>
      <c r="G1276" s="21"/>
      <c r="H1276" s="21"/>
      <c r="I1276" s="40"/>
      <c r="J1276" s="36"/>
      <c r="K1276" s="36"/>
      <c r="L1276" s="40"/>
      <c r="M1276" s="36"/>
      <c r="N1276" s="40"/>
      <c r="O1276" s="36"/>
      <c r="P1276" s="85"/>
      <c r="Q1276" s="36"/>
      <c r="R1276" s="36"/>
      <c r="S1276" s="36"/>
      <c r="T1276" s="6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</row>
    <row r="1277" spans="1:54" ht="15.95" customHeight="1" x14ac:dyDescent="0.2">
      <c r="A1277" s="34"/>
      <c r="B1277" s="25" t="s">
        <v>3</v>
      </c>
      <c r="C1277" s="20">
        <f>SUM(D1277:H1277)</f>
        <v>0</v>
      </c>
      <c r="D1277" s="21"/>
      <c r="E1277" s="21"/>
      <c r="F1277" s="21"/>
      <c r="G1277" s="21"/>
      <c r="H1277" s="21"/>
      <c r="I1277" s="41"/>
      <c r="J1277" s="37"/>
      <c r="K1277" s="37"/>
      <c r="L1277" s="41"/>
      <c r="M1277" s="37"/>
      <c r="N1277" s="41"/>
      <c r="O1277" s="37"/>
      <c r="P1277" s="86"/>
      <c r="Q1277" s="37"/>
      <c r="R1277" s="37"/>
      <c r="S1277" s="37"/>
      <c r="T1277" s="68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</row>
    <row r="1278" spans="1:54" ht="15.95" customHeight="1" x14ac:dyDescent="0.2">
      <c r="A1278" s="34" t="s">
        <v>618</v>
      </c>
      <c r="B1278" s="78" t="s">
        <v>70</v>
      </c>
      <c r="C1278" s="78"/>
      <c r="D1278" s="78"/>
      <c r="E1278" s="78"/>
      <c r="F1278" s="78"/>
      <c r="G1278" s="78"/>
      <c r="H1278" s="78"/>
      <c r="I1278" s="78"/>
      <c r="J1278" s="78"/>
      <c r="K1278" s="78"/>
      <c r="L1278" s="78"/>
      <c r="M1278" s="78"/>
      <c r="N1278" s="78"/>
      <c r="O1278" s="78"/>
      <c r="P1278" s="78"/>
      <c r="Q1278" s="78"/>
      <c r="R1278" s="78"/>
      <c r="S1278" s="78"/>
      <c r="T1278" s="79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</row>
    <row r="1279" spans="1:54" ht="15.95" customHeight="1" x14ac:dyDescent="0.2">
      <c r="A1279" s="34" t="s">
        <v>57</v>
      </c>
      <c r="B1279" s="50" t="s">
        <v>93</v>
      </c>
      <c r="C1279" s="50"/>
      <c r="D1279" s="50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1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</row>
    <row r="1280" spans="1:54" ht="45" customHeight="1" x14ac:dyDescent="0.2">
      <c r="A1280" s="34"/>
      <c r="B1280" s="69" t="s">
        <v>607</v>
      </c>
      <c r="C1280" s="70"/>
      <c r="D1280" s="70"/>
      <c r="E1280" s="70"/>
      <c r="F1280" s="70"/>
      <c r="G1280" s="70"/>
      <c r="H1280" s="71"/>
      <c r="I1280" s="39" t="s">
        <v>19</v>
      </c>
      <c r="J1280" s="35"/>
      <c r="K1280" s="35" t="s">
        <v>54</v>
      </c>
      <c r="L1280" s="39" t="s">
        <v>608</v>
      </c>
      <c r="M1280" s="35" t="s">
        <v>100</v>
      </c>
      <c r="N1280" s="39" t="s">
        <v>100</v>
      </c>
      <c r="O1280" s="35" t="s">
        <v>100</v>
      </c>
      <c r="P1280" s="84" t="s">
        <v>609</v>
      </c>
      <c r="Q1280" s="35" t="s">
        <v>29</v>
      </c>
      <c r="R1280" s="35" t="s">
        <v>260</v>
      </c>
      <c r="S1280" s="35" t="s">
        <v>76</v>
      </c>
      <c r="T1280" s="66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</row>
    <row r="1281" spans="1:54" ht="15.95" customHeight="1" x14ac:dyDescent="0.2">
      <c r="A1281" s="34"/>
      <c r="B1281" s="25" t="s">
        <v>5</v>
      </c>
      <c r="C1281" s="20">
        <f t="shared" ref="C1281:H1281" si="295">SUM(C1282:C1285)</f>
        <v>62251.875</v>
      </c>
      <c r="D1281" s="20">
        <f t="shared" si="295"/>
        <v>62251.875</v>
      </c>
      <c r="E1281" s="20">
        <f t="shared" si="295"/>
        <v>0</v>
      </c>
      <c r="F1281" s="20">
        <f t="shared" si="295"/>
        <v>0</v>
      </c>
      <c r="G1281" s="20">
        <f t="shared" si="295"/>
        <v>0</v>
      </c>
      <c r="H1281" s="20">
        <f t="shared" si="295"/>
        <v>0</v>
      </c>
      <c r="I1281" s="40"/>
      <c r="J1281" s="36"/>
      <c r="K1281" s="36"/>
      <c r="L1281" s="40"/>
      <c r="M1281" s="36"/>
      <c r="N1281" s="40"/>
      <c r="O1281" s="36"/>
      <c r="P1281" s="85"/>
      <c r="Q1281" s="36"/>
      <c r="R1281" s="36"/>
      <c r="S1281" s="36"/>
      <c r="T1281" s="6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</row>
    <row r="1282" spans="1:54" ht="15.95" customHeight="1" x14ac:dyDescent="0.2">
      <c r="A1282" s="34"/>
      <c r="B1282" s="25" t="s">
        <v>0</v>
      </c>
      <c r="C1282" s="20">
        <f>SUM(D1282:H1282)</f>
        <v>0</v>
      </c>
      <c r="D1282" s="21"/>
      <c r="E1282" s="21"/>
      <c r="F1282" s="21"/>
      <c r="G1282" s="21"/>
      <c r="H1282" s="21"/>
      <c r="I1282" s="40"/>
      <c r="J1282" s="36"/>
      <c r="K1282" s="36"/>
      <c r="L1282" s="40"/>
      <c r="M1282" s="36"/>
      <c r="N1282" s="40"/>
      <c r="O1282" s="36"/>
      <c r="P1282" s="85"/>
      <c r="Q1282" s="36"/>
      <c r="R1282" s="36"/>
      <c r="S1282" s="36"/>
      <c r="T1282" s="6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</row>
    <row r="1283" spans="1:54" ht="15.95" customHeight="1" x14ac:dyDescent="0.2">
      <c r="A1283" s="34"/>
      <c r="B1283" s="25" t="s">
        <v>1</v>
      </c>
      <c r="C1283" s="20">
        <f>SUM(D1283:H1283)</f>
        <v>62251.875</v>
      </c>
      <c r="D1283" s="22">
        <v>62251.875</v>
      </c>
      <c r="E1283" s="22"/>
      <c r="F1283" s="21"/>
      <c r="G1283" s="21"/>
      <c r="H1283" s="21"/>
      <c r="I1283" s="40"/>
      <c r="J1283" s="36"/>
      <c r="K1283" s="36"/>
      <c r="L1283" s="40"/>
      <c r="M1283" s="36"/>
      <c r="N1283" s="40"/>
      <c r="O1283" s="36"/>
      <c r="P1283" s="85"/>
      <c r="Q1283" s="36"/>
      <c r="R1283" s="36"/>
      <c r="S1283" s="36"/>
      <c r="T1283" s="6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</row>
    <row r="1284" spans="1:54" ht="15.95" customHeight="1" x14ac:dyDescent="0.2">
      <c r="A1284" s="34"/>
      <c r="B1284" s="25" t="s">
        <v>2</v>
      </c>
      <c r="C1284" s="20">
        <f>SUM(D1284:H1284)</f>
        <v>0</v>
      </c>
      <c r="D1284" s="21"/>
      <c r="E1284" s="21"/>
      <c r="F1284" s="21"/>
      <c r="G1284" s="21"/>
      <c r="H1284" s="21"/>
      <c r="I1284" s="40"/>
      <c r="J1284" s="36"/>
      <c r="K1284" s="36"/>
      <c r="L1284" s="40"/>
      <c r="M1284" s="36"/>
      <c r="N1284" s="40"/>
      <c r="O1284" s="36"/>
      <c r="P1284" s="85"/>
      <c r="Q1284" s="36"/>
      <c r="R1284" s="36"/>
      <c r="S1284" s="36"/>
      <c r="T1284" s="6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</row>
    <row r="1285" spans="1:54" ht="15.95" customHeight="1" x14ac:dyDescent="0.2">
      <c r="A1285" s="34"/>
      <c r="B1285" s="25" t="s">
        <v>3</v>
      </c>
      <c r="C1285" s="20">
        <f>SUM(D1285:H1285)</f>
        <v>0</v>
      </c>
      <c r="D1285" s="21"/>
      <c r="E1285" s="21"/>
      <c r="F1285" s="21"/>
      <c r="G1285" s="21"/>
      <c r="H1285" s="21"/>
      <c r="I1285" s="41"/>
      <c r="J1285" s="37"/>
      <c r="K1285" s="37"/>
      <c r="L1285" s="41"/>
      <c r="M1285" s="37"/>
      <c r="N1285" s="41"/>
      <c r="O1285" s="37"/>
      <c r="P1285" s="86"/>
      <c r="Q1285" s="37"/>
      <c r="R1285" s="37"/>
      <c r="S1285" s="37"/>
      <c r="T1285" s="68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</row>
    <row r="1286" spans="1:54" ht="15.95" customHeight="1" x14ac:dyDescent="0.2">
      <c r="A1286" s="34" t="s">
        <v>765</v>
      </c>
      <c r="B1286" s="78" t="s">
        <v>70</v>
      </c>
      <c r="C1286" s="78"/>
      <c r="D1286" s="78"/>
      <c r="E1286" s="78"/>
      <c r="F1286" s="78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9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</row>
    <row r="1287" spans="1:54" ht="15.95" customHeight="1" x14ac:dyDescent="0.2">
      <c r="A1287" s="34" t="s">
        <v>57</v>
      </c>
      <c r="B1287" s="50" t="s">
        <v>93</v>
      </c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1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</row>
    <row r="1288" spans="1:54" ht="45" customHeight="1" x14ac:dyDescent="0.2">
      <c r="A1288" s="34"/>
      <c r="B1288" s="69" t="s">
        <v>611</v>
      </c>
      <c r="C1288" s="70"/>
      <c r="D1288" s="70"/>
      <c r="E1288" s="70"/>
      <c r="F1288" s="70"/>
      <c r="G1288" s="70"/>
      <c r="H1288" s="71"/>
      <c r="I1288" s="39" t="s">
        <v>28</v>
      </c>
      <c r="J1288" s="35"/>
      <c r="K1288" s="48" t="s">
        <v>35</v>
      </c>
      <c r="L1288" s="39"/>
      <c r="M1288" s="35" t="s">
        <v>100</v>
      </c>
      <c r="N1288" s="39" t="s">
        <v>100</v>
      </c>
      <c r="O1288" s="35" t="s">
        <v>100</v>
      </c>
      <c r="P1288" s="84" t="s">
        <v>612</v>
      </c>
      <c r="Q1288" s="35" t="s">
        <v>29</v>
      </c>
      <c r="R1288" s="35" t="s">
        <v>212</v>
      </c>
      <c r="S1288" s="35" t="s">
        <v>613</v>
      </c>
      <c r="T1288" s="66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</row>
    <row r="1289" spans="1:54" ht="15.95" customHeight="1" x14ac:dyDescent="0.2">
      <c r="A1289" s="34"/>
      <c r="B1289" s="25" t="s">
        <v>5</v>
      </c>
      <c r="C1289" s="20">
        <f t="shared" ref="C1289:H1289" si="296">SUM(C1290:C1293)</f>
        <v>100000</v>
      </c>
      <c r="D1289" s="20">
        <f t="shared" si="296"/>
        <v>0</v>
      </c>
      <c r="E1289" s="20">
        <f t="shared" si="296"/>
        <v>100000</v>
      </c>
      <c r="F1289" s="20">
        <f t="shared" si="296"/>
        <v>0</v>
      </c>
      <c r="G1289" s="20">
        <f t="shared" si="296"/>
        <v>0</v>
      </c>
      <c r="H1289" s="20">
        <f t="shared" si="296"/>
        <v>0</v>
      </c>
      <c r="I1289" s="40"/>
      <c r="J1289" s="36"/>
      <c r="K1289" s="48"/>
      <c r="L1289" s="40"/>
      <c r="M1289" s="36"/>
      <c r="N1289" s="40"/>
      <c r="O1289" s="36"/>
      <c r="P1289" s="85"/>
      <c r="Q1289" s="36"/>
      <c r="R1289" s="36"/>
      <c r="S1289" s="36"/>
      <c r="T1289" s="6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</row>
    <row r="1290" spans="1:54" ht="15.95" customHeight="1" x14ac:dyDescent="0.2">
      <c r="A1290" s="34"/>
      <c r="B1290" s="25" t="s">
        <v>0</v>
      </c>
      <c r="C1290" s="20">
        <f>SUM(D1290:H1290)</f>
        <v>0</v>
      </c>
      <c r="D1290" s="21"/>
      <c r="E1290" s="21"/>
      <c r="F1290" s="21"/>
      <c r="G1290" s="21"/>
      <c r="H1290" s="21"/>
      <c r="I1290" s="40"/>
      <c r="J1290" s="36"/>
      <c r="K1290" s="48"/>
      <c r="L1290" s="40"/>
      <c r="M1290" s="36"/>
      <c r="N1290" s="40"/>
      <c r="O1290" s="36"/>
      <c r="P1290" s="85"/>
      <c r="Q1290" s="36"/>
      <c r="R1290" s="36"/>
      <c r="S1290" s="36"/>
      <c r="T1290" s="6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</row>
    <row r="1291" spans="1:54" ht="15.95" customHeight="1" x14ac:dyDescent="0.2">
      <c r="A1291" s="34"/>
      <c r="B1291" s="25" t="s">
        <v>1</v>
      </c>
      <c r="C1291" s="20">
        <f>SUM(D1291:H1291)</f>
        <v>100000</v>
      </c>
      <c r="D1291" s="22"/>
      <c r="E1291" s="22">
        <v>100000</v>
      </c>
      <c r="F1291" s="21"/>
      <c r="G1291" s="21"/>
      <c r="H1291" s="21"/>
      <c r="I1291" s="40"/>
      <c r="J1291" s="36"/>
      <c r="K1291" s="48"/>
      <c r="L1291" s="40"/>
      <c r="M1291" s="36"/>
      <c r="N1291" s="40"/>
      <c r="O1291" s="36"/>
      <c r="P1291" s="85"/>
      <c r="Q1291" s="36"/>
      <c r="R1291" s="36"/>
      <c r="S1291" s="36"/>
      <c r="T1291" s="6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</row>
    <row r="1292" spans="1:54" ht="15.95" customHeight="1" x14ac:dyDescent="0.2">
      <c r="A1292" s="34"/>
      <c r="B1292" s="25" t="s">
        <v>2</v>
      </c>
      <c r="C1292" s="20">
        <f>SUM(D1292:H1292)</f>
        <v>0</v>
      </c>
      <c r="D1292" s="21"/>
      <c r="E1292" s="21"/>
      <c r="F1292" s="21"/>
      <c r="G1292" s="21"/>
      <c r="H1292" s="21"/>
      <c r="I1292" s="40"/>
      <c r="J1292" s="36"/>
      <c r="K1292" s="48"/>
      <c r="L1292" s="40"/>
      <c r="M1292" s="36"/>
      <c r="N1292" s="40"/>
      <c r="O1292" s="36"/>
      <c r="P1292" s="85"/>
      <c r="Q1292" s="36"/>
      <c r="R1292" s="36"/>
      <c r="S1292" s="36"/>
      <c r="T1292" s="6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</row>
    <row r="1293" spans="1:54" ht="15.95" customHeight="1" x14ac:dyDescent="0.2">
      <c r="A1293" s="34"/>
      <c r="B1293" s="25" t="s">
        <v>3</v>
      </c>
      <c r="C1293" s="20">
        <f>SUM(D1293:H1293)</f>
        <v>0</v>
      </c>
      <c r="D1293" s="21"/>
      <c r="E1293" s="21"/>
      <c r="F1293" s="21"/>
      <c r="G1293" s="21"/>
      <c r="H1293" s="21"/>
      <c r="I1293" s="41"/>
      <c r="J1293" s="37"/>
      <c r="K1293" s="48"/>
      <c r="L1293" s="41"/>
      <c r="M1293" s="37"/>
      <c r="N1293" s="41"/>
      <c r="O1293" s="37"/>
      <c r="P1293" s="86"/>
      <c r="Q1293" s="37"/>
      <c r="R1293" s="37"/>
      <c r="S1293" s="37"/>
      <c r="T1293" s="68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</row>
    <row r="1294" spans="1:54" ht="15.95" customHeight="1" x14ac:dyDescent="0.2">
      <c r="A1294" s="34" t="s">
        <v>773</v>
      </c>
      <c r="B1294" s="78" t="s">
        <v>70</v>
      </c>
      <c r="C1294" s="78"/>
      <c r="D1294" s="78"/>
      <c r="E1294" s="78"/>
      <c r="F1294" s="78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78"/>
      <c r="R1294" s="78"/>
      <c r="S1294" s="78"/>
      <c r="T1294" s="79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</row>
    <row r="1295" spans="1:54" ht="15.95" customHeight="1" x14ac:dyDescent="0.2">
      <c r="A1295" s="34" t="s">
        <v>57</v>
      </c>
      <c r="B1295" s="50" t="s">
        <v>92</v>
      </c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1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</row>
    <row r="1296" spans="1:54" ht="45" customHeight="1" x14ac:dyDescent="0.2">
      <c r="A1296" s="34"/>
      <c r="B1296" s="69" t="s">
        <v>770</v>
      </c>
      <c r="C1296" s="70"/>
      <c r="D1296" s="70"/>
      <c r="E1296" s="70"/>
      <c r="F1296" s="70"/>
      <c r="G1296" s="70"/>
      <c r="H1296" s="71"/>
      <c r="I1296" s="39" t="s">
        <v>28</v>
      </c>
      <c r="J1296" s="35" t="s">
        <v>22</v>
      </c>
      <c r="K1296" s="35" t="s">
        <v>54</v>
      </c>
      <c r="L1296" s="39" t="s">
        <v>771</v>
      </c>
      <c r="M1296" s="35" t="s">
        <v>71</v>
      </c>
      <c r="N1296" s="39" t="s">
        <v>71</v>
      </c>
      <c r="O1296" s="35" t="s">
        <v>71</v>
      </c>
      <c r="P1296" s="84" t="s">
        <v>772</v>
      </c>
      <c r="Q1296" s="35" t="s">
        <v>29</v>
      </c>
      <c r="R1296" s="35" t="s">
        <v>36</v>
      </c>
      <c r="S1296" s="35" t="s">
        <v>613</v>
      </c>
      <c r="T1296" s="66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</row>
    <row r="1297" spans="1:54" ht="15.95" customHeight="1" x14ac:dyDescent="0.2">
      <c r="A1297" s="34"/>
      <c r="B1297" s="25" t="s">
        <v>5</v>
      </c>
      <c r="C1297" s="20">
        <f t="shared" ref="C1297:H1297" si="297">SUM(C1298:C1301)</f>
        <v>30000</v>
      </c>
      <c r="D1297" s="20">
        <f>SUM(D1298:D1301)</f>
        <v>30000</v>
      </c>
      <c r="E1297" s="20">
        <f>SUM(E1298:E1301)</f>
        <v>0</v>
      </c>
      <c r="F1297" s="20">
        <f t="shared" si="297"/>
        <v>0</v>
      </c>
      <c r="G1297" s="20">
        <f t="shared" si="297"/>
        <v>0</v>
      </c>
      <c r="H1297" s="20">
        <f t="shared" si="297"/>
        <v>0</v>
      </c>
      <c r="I1297" s="40"/>
      <c r="J1297" s="36"/>
      <c r="K1297" s="36"/>
      <c r="L1297" s="40"/>
      <c r="M1297" s="36"/>
      <c r="N1297" s="40"/>
      <c r="O1297" s="36"/>
      <c r="P1297" s="85"/>
      <c r="Q1297" s="36"/>
      <c r="R1297" s="36"/>
      <c r="S1297" s="36"/>
      <c r="T1297" s="6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</row>
    <row r="1298" spans="1:54" ht="15.95" customHeight="1" x14ac:dyDescent="0.2">
      <c r="A1298" s="34"/>
      <c r="B1298" s="25" t="s">
        <v>0</v>
      </c>
      <c r="C1298" s="20">
        <f>SUM(D1298:H1298)</f>
        <v>30000</v>
      </c>
      <c r="D1298" s="21">
        <f>0+30000</f>
        <v>30000</v>
      </c>
      <c r="E1298" s="21"/>
      <c r="F1298" s="21"/>
      <c r="G1298" s="21"/>
      <c r="H1298" s="21"/>
      <c r="I1298" s="40"/>
      <c r="J1298" s="36"/>
      <c r="K1298" s="36"/>
      <c r="L1298" s="40"/>
      <c r="M1298" s="36"/>
      <c r="N1298" s="40"/>
      <c r="O1298" s="36"/>
      <c r="P1298" s="85"/>
      <c r="Q1298" s="36"/>
      <c r="R1298" s="36"/>
      <c r="S1298" s="36"/>
      <c r="T1298" s="6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</row>
    <row r="1299" spans="1:54" ht="15.95" customHeight="1" x14ac:dyDescent="0.2">
      <c r="A1299" s="34"/>
      <c r="B1299" s="25" t="s">
        <v>1</v>
      </c>
      <c r="C1299" s="20">
        <f>SUM(D1299:H1299)</f>
        <v>0</v>
      </c>
      <c r="D1299" s="22"/>
      <c r="E1299" s="22"/>
      <c r="F1299" s="21"/>
      <c r="G1299" s="21"/>
      <c r="H1299" s="21"/>
      <c r="I1299" s="40"/>
      <c r="J1299" s="36"/>
      <c r="K1299" s="36"/>
      <c r="L1299" s="40"/>
      <c r="M1299" s="36"/>
      <c r="N1299" s="40"/>
      <c r="O1299" s="36"/>
      <c r="P1299" s="85"/>
      <c r="Q1299" s="36"/>
      <c r="R1299" s="36"/>
      <c r="S1299" s="36"/>
      <c r="T1299" s="6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</row>
    <row r="1300" spans="1:54" ht="15.95" customHeight="1" x14ac:dyDescent="0.2">
      <c r="A1300" s="34"/>
      <c r="B1300" s="25" t="s">
        <v>2</v>
      </c>
      <c r="C1300" s="20">
        <f>SUM(D1300:H1300)</f>
        <v>0</v>
      </c>
      <c r="D1300" s="21"/>
      <c r="E1300" s="21"/>
      <c r="F1300" s="21"/>
      <c r="G1300" s="21"/>
      <c r="H1300" s="21"/>
      <c r="I1300" s="40"/>
      <c r="J1300" s="36"/>
      <c r="K1300" s="36"/>
      <c r="L1300" s="40"/>
      <c r="M1300" s="36"/>
      <c r="N1300" s="40"/>
      <c r="O1300" s="36"/>
      <c r="P1300" s="85"/>
      <c r="Q1300" s="36"/>
      <c r="R1300" s="36"/>
      <c r="S1300" s="36"/>
      <c r="T1300" s="6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</row>
    <row r="1301" spans="1:54" ht="15.95" customHeight="1" x14ac:dyDescent="0.2">
      <c r="A1301" s="34"/>
      <c r="B1301" s="25" t="s">
        <v>3</v>
      </c>
      <c r="C1301" s="20">
        <f>SUM(D1301:H1301)</f>
        <v>0</v>
      </c>
      <c r="D1301" s="21"/>
      <c r="E1301" s="21"/>
      <c r="F1301" s="21"/>
      <c r="G1301" s="21"/>
      <c r="H1301" s="21"/>
      <c r="I1301" s="41"/>
      <c r="J1301" s="37"/>
      <c r="K1301" s="37"/>
      <c r="L1301" s="41"/>
      <c r="M1301" s="37"/>
      <c r="N1301" s="41"/>
      <c r="O1301" s="37"/>
      <c r="P1301" s="86"/>
      <c r="Q1301" s="37"/>
      <c r="R1301" s="37"/>
      <c r="S1301" s="37"/>
      <c r="T1301" s="68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</row>
    <row r="1302" spans="1:54" ht="15.95" customHeight="1" x14ac:dyDescent="0.2">
      <c r="A1302" s="89" t="s">
        <v>69</v>
      </c>
      <c r="B1302" s="50" t="s">
        <v>94</v>
      </c>
      <c r="C1302" s="50"/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1"/>
    </row>
    <row r="1303" spans="1:54" ht="15.95" customHeight="1" x14ac:dyDescent="0.2">
      <c r="A1303" s="89"/>
      <c r="B1303" s="31" t="s">
        <v>5</v>
      </c>
      <c r="C1303" s="3">
        <f>C1304+C1305+C1306+C1307</f>
        <v>54964.577139999994</v>
      </c>
      <c r="D1303" s="3">
        <f t="shared" ref="D1303:E1303" si="298">SUM(D1304:D1307)</f>
        <v>0</v>
      </c>
      <c r="E1303" s="3">
        <f t="shared" si="298"/>
        <v>0</v>
      </c>
      <c r="F1303" s="3">
        <f t="shared" ref="F1303:H1303" si="299">SUM(F1304:F1307)</f>
        <v>54964.577139999994</v>
      </c>
      <c r="G1303" s="3">
        <f t="shared" si="299"/>
        <v>0</v>
      </c>
      <c r="H1303" s="3">
        <f t="shared" si="299"/>
        <v>0</v>
      </c>
      <c r="I1303" s="117"/>
      <c r="J1303" s="117"/>
      <c r="K1303" s="117"/>
      <c r="L1303" s="117"/>
      <c r="M1303" s="117"/>
      <c r="N1303" s="117"/>
      <c r="O1303" s="117"/>
      <c r="P1303" s="117"/>
      <c r="Q1303" s="117"/>
      <c r="R1303" s="117"/>
      <c r="S1303" s="117"/>
      <c r="T1303" s="118"/>
    </row>
    <row r="1304" spans="1:54" ht="15.95" customHeight="1" x14ac:dyDescent="0.2">
      <c r="A1304" s="89"/>
      <c r="B1304" s="31" t="s">
        <v>0</v>
      </c>
      <c r="C1304" s="3">
        <f>D1304+E1304+F1304+H1304+G1304</f>
        <v>0</v>
      </c>
      <c r="D1304" s="3">
        <f>D1312+D1320</f>
        <v>0</v>
      </c>
      <c r="E1304" s="3">
        <f t="shared" ref="E1304:E1307" si="300">E1312+E1320</f>
        <v>0</v>
      </c>
      <c r="F1304" s="3">
        <f t="shared" ref="F1304:H1304" si="301">F1312+F1320</f>
        <v>0</v>
      </c>
      <c r="G1304" s="3">
        <f t="shared" si="301"/>
        <v>0</v>
      </c>
      <c r="H1304" s="3">
        <f t="shared" si="301"/>
        <v>0</v>
      </c>
      <c r="I1304" s="117"/>
      <c r="J1304" s="117"/>
      <c r="K1304" s="117"/>
      <c r="L1304" s="117"/>
      <c r="M1304" s="117"/>
      <c r="N1304" s="117"/>
      <c r="O1304" s="117"/>
      <c r="P1304" s="117"/>
      <c r="Q1304" s="117"/>
      <c r="R1304" s="117"/>
      <c r="S1304" s="117"/>
      <c r="T1304" s="118"/>
    </row>
    <row r="1305" spans="1:54" ht="15.95" customHeight="1" x14ac:dyDescent="0.2">
      <c r="A1305" s="89"/>
      <c r="B1305" s="31" t="s">
        <v>1</v>
      </c>
      <c r="C1305" s="3">
        <f>D1305+E1305+F1305+H1305+G1305</f>
        <v>54964.577139999994</v>
      </c>
      <c r="D1305" s="3">
        <f t="shared" ref="D1305:D1307" si="302">D1313+D1321</f>
        <v>0</v>
      </c>
      <c r="E1305" s="3">
        <f t="shared" si="300"/>
        <v>0</v>
      </c>
      <c r="F1305" s="3">
        <f t="shared" ref="F1305:H1305" si="303">F1313+F1321</f>
        <v>54964.577139999994</v>
      </c>
      <c r="G1305" s="3">
        <f t="shared" si="303"/>
        <v>0</v>
      </c>
      <c r="H1305" s="3">
        <f t="shared" si="303"/>
        <v>0</v>
      </c>
      <c r="I1305" s="117"/>
      <c r="J1305" s="117"/>
      <c r="K1305" s="117"/>
      <c r="L1305" s="117"/>
      <c r="M1305" s="117"/>
      <c r="N1305" s="117"/>
      <c r="O1305" s="117"/>
      <c r="P1305" s="117"/>
      <c r="Q1305" s="117"/>
      <c r="R1305" s="117"/>
      <c r="S1305" s="117"/>
      <c r="T1305" s="118"/>
    </row>
    <row r="1306" spans="1:54" ht="15.95" customHeight="1" x14ac:dyDescent="0.2">
      <c r="A1306" s="89"/>
      <c r="B1306" s="31" t="s">
        <v>2</v>
      </c>
      <c r="C1306" s="3">
        <f>D1306+E1306+F1306+H1306+G1306</f>
        <v>0</v>
      </c>
      <c r="D1306" s="3">
        <f t="shared" si="302"/>
        <v>0</v>
      </c>
      <c r="E1306" s="3">
        <f t="shared" si="300"/>
        <v>0</v>
      </c>
      <c r="F1306" s="3">
        <f t="shared" ref="F1306:H1306" si="304">F1314+F1322</f>
        <v>0</v>
      </c>
      <c r="G1306" s="3">
        <f t="shared" si="304"/>
        <v>0</v>
      </c>
      <c r="H1306" s="3">
        <f t="shared" si="304"/>
        <v>0</v>
      </c>
      <c r="I1306" s="117"/>
      <c r="J1306" s="117"/>
      <c r="K1306" s="117"/>
      <c r="L1306" s="117"/>
      <c r="M1306" s="117"/>
      <c r="N1306" s="117"/>
      <c r="O1306" s="117"/>
      <c r="P1306" s="117"/>
      <c r="Q1306" s="117"/>
      <c r="R1306" s="117"/>
      <c r="S1306" s="117"/>
      <c r="T1306" s="118"/>
    </row>
    <row r="1307" spans="1:54" ht="15.95" customHeight="1" x14ac:dyDescent="0.2">
      <c r="A1307" s="89"/>
      <c r="B1307" s="31" t="s">
        <v>3</v>
      </c>
      <c r="C1307" s="3">
        <f>D1307+E1307+F1307+H1307+G1307</f>
        <v>0</v>
      </c>
      <c r="D1307" s="3">
        <f t="shared" si="302"/>
        <v>0</v>
      </c>
      <c r="E1307" s="3">
        <f t="shared" si="300"/>
        <v>0</v>
      </c>
      <c r="F1307" s="3">
        <f t="shared" ref="F1307:H1307" si="305">F1315+F1323</f>
        <v>0</v>
      </c>
      <c r="G1307" s="3">
        <f t="shared" si="305"/>
        <v>0</v>
      </c>
      <c r="H1307" s="3">
        <f t="shared" si="305"/>
        <v>0</v>
      </c>
      <c r="I1307" s="117"/>
      <c r="J1307" s="117"/>
      <c r="K1307" s="117"/>
      <c r="L1307" s="117"/>
      <c r="M1307" s="117"/>
      <c r="N1307" s="117"/>
      <c r="O1307" s="117"/>
      <c r="P1307" s="117"/>
      <c r="Q1307" s="117"/>
      <c r="R1307" s="117"/>
      <c r="S1307" s="117"/>
      <c r="T1307" s="118"/>
    </row>
    <row r="1308" spans="1:54" ht="15.95" customHeight="1" x14ac:dyDescent="0.2">
      <c r="A1308" s="34" t="s">
        <v>153</v>
      </c>
      <c r="B1308" s="78" t="s">
        <v>541</v>
      </c>
      <c r="C1308" s="78"/>
      <c r="D1308" s="78"/>
      <c r="E1308" s="78"/>
      <c r="F1308" s="78"/>
      <c r="G1308" s="78"/>
      <c r="H1308" s="78"/>
      <c r="I1308" s="78"/>
      <c r="J1308" s="78"/>
      <c r="K1308" s="78"/>
      <c r="L1308" s="78"/>
      <c r="M1308" s="78"/>
      <c r="N1308" s="78"/>
      <c r="O1308" s="78"/>
      <c r="P1308" s="78"/>
      <c r="Q1308" s="78"/>
      <c r="R1308" s="78"/>
      <c r="S1308" s="78"/>
      <c r="T1308" s="79"/>
    </row>
    <row r="1309" spans="1:54" ht="15.95" customHeight="1" x14ac:dyDescent="0.2">
      <c r="A1309" s="34" t="s">
        <v>57</v>
      </c>
      <c r="B1309" s="50" t="s">
        <v>95</v>
      </c>
      <c r="C1309" s="50"/>
      <c r="D1309" s="50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1"/>
    </row>
    <row r="1310" spans="1:54" ht="45" customHeight="1" x14ac:dyDescent="0.2">
      <c r="A1310" s="34"/>
      <c r="B1310" s="80" t="s">
        <v>101</v>
      </c>
      <c r="C1310" s="80"/>
      <c r="D1310" s="80"/>
      <c r="E1310" s="80"/>
      <c r="F1310" s="80"/>
      <c r="G1310" s="80"/>
      <c r="H1310" s="80"/>
      <c r="I1310" s="48" t="s">
        <v>28</v>
      </c>
      <c r="J1310" s="48"/>
      <c r="K1310" s="48" t="s">
        <v>35</v>
      </c>
      <c r="L1310" s="48"/>
      <c r="M1310" s="48" t="s">
        <v>175</v>
      </c>
      <c r="N1310" s="48" t="s">
        <v>192</v>
      </c>
      <c r="O1310" s="48" t="s">
        <v>175</v>
      </c>
      <c r="P1310" s="38" t="s">
        <v>393</v>
      </c>
      <c r="Q1310" s="48" t="s">
        <v>29</v>
      </c>
      <c r="R1310" s="48" t="s">
        <v>32</v>
      </c>
      <c r="S1310" s="48" t="s">
        <v>31</v>
      </c>
      <c r="T1310" s="55" t="s">
        <v>186</v>
      </c>
    </row>
    <row r="1311" spans="1:54" ht="15.95" customHeight="1" x14ac:dyDescent="0.2">
      <c r="A1311" s="34"/>
      <c r="B1311" s="25" t="s">
        <v>5</v>
      </c>
      <c r="C1311" s="2">
        <f t="shared" ref="C1311:H1311" si="306">SUM(C1312:C1315)</f>
        <v>29777.96</v>
      </c>
      <c r="D1311" s="1">
        <f t="shared" si="306"/>
        <v>0</v>
      </c>
      <c r="E1311" s="1">
        <f t="shared" si="306"/>
        <v>0</v>
      </c>
      <c r="F1311" s="1">
        <f t="shared" si="306"/>
        <v>29777.96</v>
      </c>
      <c r="G1311" s="1">
        <f t="shared" si="306"/>
        <v>0</v>
      </c>
      <c r="H1311" s="1">
        <f t="shared" si="306"/>
        <v>0</v>
      </c>
      <c r="I1311" s="48"/>
      <c r="J1311" s="48"/>
      <c r="K1311" s="48"/>
      <c r="L1311" s="48"/>
      <c r="M1311" s="48"/>
      <c r="N1311" s="48"/>
      <c r="O1311" s="48"/>
      <c r="P1311" s="38"/>
      <c r="Q1311" s="48"/>
      <c r="R1311" s="48"/>
      <c r="S1311" s="48"/>
      <c r="T1311" s="55"/>
    </row>
    <row r="1312" spans="1:54" ht="15.95" customHeight="1" x14ac:dyDescent="0.2">
      <c r="A1312" s="34"/>
      <c r="B1312" s="25" t="s">
        <v>0</v>
      </c>
      <c r="C1312" s="2">
        <f>SUM(D1312:H1312)</f>
        <v>0</v>
      </c>
      <c r="D1312" s="1"/>
      <c r="E1312" s="1"/>
      <c r="F1312" s="1"/>
      <c r="G1312" s="1"/>
      <c r="H1312" s="1"/>
      <c r="I1312" s="48"/>
      <c r="J1312" s="48"/>
      <c r="K1312" s="48"/>
      <c r="L1312" s="48"/>
      <c r="M1312" s="48"/>
      <c r="N1312" s="48"/>
      <c r="O1312" s="48"/>
      <c r="P1312" s="38"/>
      <c r="Q1312" s="48"/>
      <c r="R1312" s="48"/>
      <c r="S1312" s="48"/>
      <c r="T1312" s="55"/>
    </row>
    <row r="1313" spans="1:20" ht="15.95" customHeight="1" x14ac:dyDescent="0.2">
      <c r="A1313" s="34"/>
      <c r="B1313" s="25" t="s">
        <v>1</v>
      </c>
      <c r="C1313" s="2">
        <f>D1313+E1313+F1313+H1313</f>
        <v>29777.96</v>
      </c>
      <c r="D1313" s="1"/>
      <c r="E1313" s="1"/>
      <c r="F1313" s="1">
        <v>29777.96</v>
      </c>
      <c r="G1313" s="1"/>
      <c r="H1313" s="1"/>
      <c r="I1313" s="48"/>
      <c r="J1313" s="48"/>
      <c r="K1313" s="48"/>
      <c r="L1313" s="48"/>
      <c r="M1313" s="48"/>
      <c r="N1313" s="48"/>
      <c r="O1313" s="48"/>
      <c r="P1313" s="38"/>
      <c r="Q1313" s="48"/>
      <c r="R1313" s="48"/>
      <c r="S1313" s="48"/>
      <c r="T1313" s="55"/>
    </row>
    <row r="1314" spans="1:20" ht="15.95" customHeight="1" x14ac:dyDescent="0.2">
      <c r="A1314" s="34"/>
      <c r="B1314" s="25" t="s">
        <v>2</v>
      </c>
      <c r="C1314" s="2">
        <f>SUM(D1314:H1314)</f>
        <v>0</v>
      </c>
      <c r="D1314" s="1"/>
      <c r="E1314" s="1"/>
      <c r="F1314" s="1"/>
      <c r="G1314" s="1"/>
      <c r="H1314" s="1"/>
      <c r="I1314" s="48"/>
      <c r="J1314" s="48"/>
      <c r="K1314" s="48"/>
      <c r="L1314" s="48"/>
      <c r="M1314" s="48"/>
      <c r="N1314" s="48"/>
      <c r="O1314" s="48"/>
      <c r="P1314" s="38"/>
      <c r="Q1314" s="48"/>
      <c r="R1314" s="48"/>
      <c r="S1314" s="48"/>
      <c r="T1314" s="55"/>
    </row>
    <row r="1315" spans="1:20" ht="15.95" customHeight="1" x14ac:dyDescent="0.2">
      <c r="A1315" s="34"/>
      <c r="B1315" s="25" t="s">
        <v>3</v>
      </c>
      <c r="C1315" s="2">
        <f>SUM(D1315:H1315)</f>
        <v>0</v>
      </c>
      <c r="D1315" s="1"/>
      <c r="E1315" s="1"/>
      <c r="F1315" s="1"/>
      <c r="G1315" s="1"/>
      <c r="H1315" s="1"/>
      <c r="I1315" s="48"/>
      <c r="J1315" s="48"/>
      <c r="K1315" s="48"/>
      <c r="L1315" s="48"/>
      <c r="M1315" s="48"/>
      <c r="N1315" s="48"/>
      <c r="O1315" s="48"/>
      <c r="P1315" s="38"/>
      <c r="Q1315" s="48"/>
      <c r="R1315" s="48"/>
      <c r="S1315" s="48"/>
      <c r="T1315" s="55"/>
    </row>
    <row r="1316" spans="1:20" ht="15.95" customHeight="1" x14ac:dyDescent="0.2">
      <c r="A1316" s="34" t="s">
        <v>316</v>
      </c>
      <c r="B1316" s="78" t="s">
        <v>541</v>
      </c>
      <c r="C1316" s="78"/>
      <c r="D1316" s="78"/>
      <c r="E1316" s="78"/>
      <c r="F1316" s="78"/>
      <c r="G1316" s="78"/>
      <c r="H1316" s="78"/>
      <c r="I1316" s="78"/>
      <c r="J1316" s="78"/>
      <c r="K1316" s="78"/>
      <c r="L1316" s="78"/>
      <c r="M1316" s="78"/>
      <c r="N1316" s="78"/>
      <c r="O1316" s="78"/>
      <c r="P1316" s="78"/>
      <c r="Q1316" s="78"/>
      <c r="R1316" s="78"/>
      <c r="S1316" s="78"/>
      <c r="T1316" s="79"/>
    </row>
    <row r="1317" spans="1:20" ht="15.95" customHeight="1" x14ac:dyDescent="0.2">
      <c r="A1317" s="34" t="s">
        <v>57</v>
      </c>
      <c r="B1317" s="50" t="s">
        <v>95</v>
      </c>
      <c r="C1317" s="50"/>
      <c r="D1317" s="50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1"/>
    </row>
    <row r="1318" spans="1:20" ht="45" customHeight="1" x14ac:dyDescent="0.2">
      <c r="A1318" s="34"/>
      <c r="B1318" s="80" t="s">
        <v>821</v>
      </c>
      <c r="C1318" s="80"/>
      <c r="D1318" s="80"/>
      <c r="E1318" s="80"/>
      <c r="F1318" s="80"/>
      <c r="G1318" s="80"/>
      <c r="H1318" s="80"/>
      <c r="I1318" s="48" t="s">
        <v>28</v>
      </c>
      <c r="J1318" s="48"/>
      <c r="K1318" s="48" t="s">
        <v>35</v>
      </c>
      <c r="L1318" s="48"/>
      <c r="M1318" s="48" t="s">
        <v>175</v>
      </c>
      <c r="N1318" s="48" t="s">
        <v>192</v>
      </c>
      <c r="O1318" s="48" t="s">
        <v>175</v>
      </c>
      <c r="P1318" s="38" t="s">
        <v>394</v>
      </c>
      <c r="Q1318" s="48" t="s">
        <v>29</v>
      </c>
      <c r="R1318" s="48" t="s">
        <v>33</v>
      </c>
      <c r="S1318" s="48" t="s">
        <v>30</v>
      </c>
      <c r="T1318" s="55"/>
    </row>
    <row r="1319" spans="1:20" ht="15.95" customHeight="1" x14ac:dyDescent="0.2">
      <c r="A1319" s="34"/>
      <c r="B1319" s="25" t="s">
        <v>5</v>
      </c>
      <c r="C1319" s="2">
        <f>D1319+E1319+H1319+F1319</f>
        <v>25186.617139999998</v>
      </c>
      <c r="D1319" s="1">
        <f>D1320+D1321+D1322</f>
        <v>0</v>
      </c>
      <c r="E1319" s="1">
        <f t="shared" ref="E1319:H1319" si="307">E1320+E1321+E1322</f>
        <v>0</v>
      </c>
      <c r="F1319" s="1">
        <f t="shared" si="307"/>
        <v>25186.617139999998</v>
      </c>
      <c r="G1319" s="1">
        <f t="shared" si="307"/>
        <v>0</v>
      </c>
      <c r="H1319" s="1">
        <f t="shared" si="307"/>
        <v>0</v>
      </c>
      <c r="I1319" s="48"/>
      <c r="J1319" s="48"/>
      <c r="K1319" s="48"/>
      <c r="L1319" s="48"/>
      <c r="M1319" s="48"/>
      <c r="N1319" s="48"/>
      <c r="O1319" s="48"/>
      <c r="P1319" s="38"/>
      <c r="Q1319" s="48"/>
      <c r="R1319" s="48"/>
      <c r="S1319" s="48"/>
      <c r="T1319" s="55"/>
    </row>
    <row r="1320" spans="1:20" ht="15.95" customHeight="1" x14ac:dyDescent="0.2">
      <c r="A1320" s="34"/>
      <c r="B1320" s="25" t="s">
        <v>0</v>
      </c>
      <c r="C1320" s="2">
        <f>D1320+E1320+H1320+F1320</f>
        <v>0</v>
      </c>
      <c r="D1320" s="1"/>
      <c r="E1320" s="1"/>
      <c r="F1320" s="1"/>
      <c r="G1320" s="1"/>
      <c r="H1320" s="1"/>
      <c r="I1320" s="48"/>
      <c r="J1320" s="48"/>
      <c r="K1320" s="48"/>
      <c r="L1320" s="48"/>
      <c r="M1320" s="48"/>
      <c r="N1320" s="48"/>
      <c r="O1320" s="48"/>
      <c r="P1320" s="38"/>
      <c r="Q1320" s="48"/>
      <c r="R1320" s="48"/>
      <c r="S1320" s="48"/>
      <c r="T1320" s="55"/>
    </row>
    <row r="1321" spans="1:20" ht="15.95" customHeight="1" x14ac:dyDescent="0.2">
      <c r="A1321" s="34"/>
      <c r="B1321" s="25" t="s">
        <v>1</v>
      </c>
      <c r="C1321" s="2">
        <f>D1321+E1321+H1321+F1321</f>
        <v>25186.617139999998</v>
      </c>
      <c r="D1321" s="1"/>
      <c r="E1321" s="1"/>
      <c r="F1321" s="1">
        <v>25186.617139999998</v>
      </c>
      <c r="G1321" s="1"/>
      <c r="H1321" s="1"/>
      <c r="I1321" s="48"/>
      <c r="J1321" s="48"/>
      <c r="K1321" s="48"/>
      <c r="L1321" s="48"/>
      <c r="M1321" s="48"/>
      <c r="N1321" s="48"/>
      <c r="O1321" s="48"/>
      <c r="P1321" s="38"/>
      <c r="Q1321" s="48"/>
      <c r="R1321" s="48"/>
      <c r="S1321" s="48"/>
      <c r="T1321" s="55"/>
    </row>
    <row r="1322" spans="1:20" ht="15.95" customHeight="1" x14ac:dyDescent="0.2">
      <c r="A1322" s="34"/>
      <c r="B1322" s="25" t="s">
        <v>2</v>
      </c>
      <c r="C1322" s="2"/>
      <c r="D1322" s="1"/>
      <c r="E1322" s="1"/>
      <c r="F1322" s="1"/>
      <c r="G1322" s="1"/>
      <c r="H1322" s="1"/>
      <c r="I1322" s="48"/>
      <c r="J1322" s="48"/>
      <c r="K1322" s="48"/>
      <c r="L1322" s="48"/>
      <c r="M1322" s="48"/>
      <c r="N1322" s="48"/>
      <c r="O1322" s="48"/>
      <c r="P1322" s="38"/>
      <c r="Q1322" s="48"/>
      <c r="R1322" s="48"/>
      <c r="S1322" s="48"/>
      <c r="T1322" s="55"/>
    </row>
    <row r="1323" spans="1:20" ht="15.95" customHeight="1" x14ac:dyDescent="0.2">
      <c r="A1323" s="34"/>
      <c r="B1323" s="25" t="s">
        <v>3</v>
      </c>
      <c r="C1323" s="2"/>
      <c r="D1323" s="1"/>
      <c r="E1323" s="1"/>
      <c r="F1323" s="1"/>
      <c r="G1323" s="1"/>
      <c r="H1323" s="1"/>
      <c r="I1323" s="48"/>
      <c r="J1323" s="48"/>
      <c r="K1323" s="48"/>
      <c r="L1323" s="48"/>
      <c r="M1323" s="48"/>
      <c r="N1323" s="48"/>
      <c r="O1323" s="48"/>
      <c r="P1323" s="38"/>
      <c r="Q1323" s="48"/>
      <c r="R1323" s="48"/>
      <c r="S1323" s="48"/>
      <c r="T1323" s="55"/>
    </row>
    <row r="1324" spans="1:20" ht="15.95" customHeight="1" x14ac:dyDescent="0.2">
      <c r="A1324" s="89" t="s">
        <v>73</v>
      </c>
      <c r="B1324" s="50" t="s">
        <v>173</v>
      </c>
      <c r="C1324" s="50"/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1"/>
    </row>
    <row r="1325" spans="1:20" ht="15.95" customHeight="1" x14ac:dyDescent="0.2">
      <c r="A1325" s="89"/>
      <c r="B1325" s="31" t="s">
        <v>5</v>
      </c>
      <c r="C1325" s="3">
        <f>SUM(C1326:C1329)</f>
        <v>181259.84034</v>
      </c>
      <c r="D1325" s="3">
        <f t="shared" ref="D1325:H1325" si="308">SUM(D1326:D1329)</f>
        <v>125176.29876999999</v>
      </c>
      <c r="E1325" s="3">
        <f t="shared" si="308"/>
        <v>50606.060599999997</v>
      </c>
      <c r="F1325" s="3">
        <f t="shared" si="308"/>
        <v>5477.4809700000042</v>
      </c>
      <c r="G1325" s="3">
        <f t="shared" si="308"/>
        <v>0</v>
      </c>
      <c r="H1325" s="3">
        <f t="shared" si="308"/>
        <v>0</v>
      </c>
      <c r="I1325" s="117"/>
      <c r="J1325" s="117"/>
      <c r="K1325" s="117"/>
      <c r="L1325" s="117"/>
      <c r="M1325" s="117"/>
      <c r="N1325" s="117"/>
      <c r="O1325" s="117"/>
      <c r="P1325" s="117"/>
      <c r="Q1325" s="117"/>
      <c r="R1325" s="117"/>
      <c r="S1325" s="117"/>
      <c r="T1325" s="118"/>
    </row>
    <row r="1326" spans="1:20" ht="15.95" customHeight="1" x14ac:dyDescent="0.2">
      <c r="A1326" s="89"/>
      <c r="B1326" s="31" t="s">
        <v>0</v>
      </c>
      <c r="C1326" s="3">
        <f>D1326+E1326+F1326+H1326+G1326</f>
        <v>0</v>
      </c>
      <c r="D1326" s="3">
        <f>D1334+D1342</f>
        <v>0</v>
      </c>
      <c r="E1326" s="3">
        <f t="shared" ref="E1326:H1326" si="309">E1334+E1342</f>
        <v>0</v>
      </c>
      <c r="F1326" s="3">
        <f t="shared" si="309"/>
        <v>0</v>
      </c>
      <c r="G1326" s="3">
        <f t="shared" si="309"/>
        <v>0</v>
      </c>
      <c r="H1326" s="3">
        <f t="shared" si="309"/>
        <v>0</v>
      </c>
      <c r="I1326" s="117"/>
      <c r="J1326" s="117"/>
      <c r="K1326" s="117"/>
      <c r="L1326" s="117"/>
      <c r="M1326" s="117"/>
      <c r="N1326" s="117"/>
      <c r="O1326" s="117"/>
      <c r="P1326" s="117"/>
      <c r="Q1326" s="117"/>
      <c r="R1326" s="117"/>
      <c r="S1326" s="117"/>
      <c r="T1326" s="118"/>
    </row>
    <row r="1327" spans="1:20" ht="15.95" customHeight="1" x14ac:dyDescent="0.2">
      <c r="A1327" s="89"/>
      <c r="B1327" s="31" t="s">
        <v>1</v>
      </c>
      <c r="C1327" s="3">
        <f>D1327+E1327+F1327+H1327+G1327</f>
        <v>180653.77974</v>
      </c>
      <c r="D1327" s="3">
        <f t="shared" ref="D1327:H1329" si="310">D1335+D1343</f>
        <v>125176.29876999999</v>
      </c>
      <c r="E1327" s="3">
        <f t="shared" si="310"/>
        <v>50000</v>
      </c>
      <c r="F1327" s="3">
        <f t="shared" si="310"/>
        <v>5477.4809700000042</v>
      </c>
      <c r="G1327" s="3">
        <f t="shared" si="310"/>
        <v>0</v>
      </c>
      <c r="H1327" s="3">
        <f t="shared" si="310"/>
        <v>0</v>
      </c>
      <c r="I1327" s="117"/>
      <c r="J1327" s="117"/>
      <c r="K1327" s="117"/>
      <c r="L1327" s="117"/>
      <c r="M1327" s="117"/>
      <c r="N1327" s="117"/>
      <c r="O1327" s="117"/>
      <c r="P1327" s="117"/>
      <c r="Q1327" s="117"/>
      <c r="R1327" s="117"/>
      <c r="S1327" s="117"/>
      <c r="T1327" s="118"/>
    </row>
    <row r="1328" spans="1:20" ht="15.95" customHeight="1" x14ac:dyDescent="0.2">
      <c r="A1328" s="89"/>
      <c r="B1328" s="31" t="s">
        <v>2</v>
      </c>
      <c r="C1328" s="3">
        <f>D1328+E1328+F1328+H1328+G1328</f>
        <v>606.06060000000002</v>
      </c>
      <c r="D1328" s="3">
        <f t="shared" si="310"/>
        <v>0</v>
      </c>
      <c r="E1328" s="3">
        <f t="shared" si="310"/>
        <v>606.06060000000002</v>
      </c>
      <c r="F1328" s="3">
        <f t="shared" si="310"/>
        <v>0</v>
      </c>
      <c r="G1328" s="3">
        <f t="shared" si="310"/>
        <v>0</v>
      </c>
      <c r="H1328" s="3">
        <f t="shared" si="310"/>
        <v>0</v>
      </c>
      <c r="I1328" s="117"/>
      <c r="J1328" s="117"/>
      <c r="K1328" s="117"/>
      <c r="L1328" s="117"/>
      <c r="M1328" s="117"/>
      <c r="N1328" s="117"/>
      <c r="O1328" s="117"/>
      <c r="P1328" s="117"/>
      <c r="Q1328" s="117"/>
      <c r="R1328" s="117"/>
      <c r="S1328" s="117"/>
      <c r="T1328" s="118"/>
    </row>
    <row r="1329" spans="1:20" ht="15.95" customHeight="1" x14ac:dyDescent="0.2">
      <c r="A1329" s="89"/>
      <c r="B1329" s="31" t="s">
        <v>3</v>
      </c>
      <c r="C1329" s="3">
        <f>D1329+E1329+F1329+H1329+G1329</f>
        <v>0</v>
      </c>
      <c r="D1329" s="3">
        <f t="shared" si="310"/>
        <v>0</v>
      </c>
      <c r="E1329" s="3">
        <f t="shared" si="310"/>
        <v>0</v>
      </c>
      <c r="F1329" s="3">
        <f t="shared" si="310"/>
        <v>0</v>
      </c>
      <c r="G1329" s="3">
        <f t="shared" si="310"/>
        <v>0</v>
      </c>
      <c r="H1329" s="3">
        <f t="shared" si="310"/>
        <v>0</v>
      </c>
      <c r="I1329" s="117"/>
      <c r="J1329" s="117"/>
      <c r="K1329" s="117"/>
      <c r="L1329" s="117"/>
      <c r="M1329" s="117"/>
      <c r="N1329" s="117"/>
      <c r="O1329" s="117"/>
      <c r="P1329" s="117"/>
      <c r="Q1329" s="117"/>
      <c r="R1329" s="117"/>
      <c r="S1329" s="117"/>
      <c r="T1329" s="118"/>
    </row>
    <row r="1330" spans="1:20" ht="15.95" customHeight="1" x14ac:dyDescent="0.2">
      <c r="A1330" s="34" t="s">
        <v>154</v>
      </c>
      <c r="B1330" s="78" t="s">
        <v>190</v>
      </c>
      <c r="C1330" s="78"/>
      <c r="D1330" s="78"/>
      <c r="E1330" s="78"/>
      <c r="F1330" s="78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9"/>
    </row>
    <row r="1331" spans="1:20" ht="15.95" customHeight="1" x14ac:dyDescent="0.2">
      <c r="A1331" s="34" t="s">
        <v>57</v>
      </c>
      <c r="B1331" s="50" t="s">
        <v>174</v>
      </c>
      <c r="C1331" s="50"/>
      <c r="D1331" s="50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1"/>
    </row>
    <row r="1332" spans="1:20" ht="45" customHeight="1" x14ac:dyDescent="0.2">
      <c r="A1332" s="34"/>
      <c r="B1332" s="80" t="s">
        <v>479</v>
      </c>
      <c r="C1332" s="80"/>
      <c r="D1332" s="80"/>
      <c r="E1332" s="80"/>
      <c r="F1332" s="80"/>
      <c r="G1332" s="80"/>
      <c r="H1332" s="80"/>
      <c r="I1332" s="48" t="s">
        <v>28</v>
      </c>
      <c r="J1332" s="48"/>
      <c r="K1332" s="48" t="s">
        <v>40</v>
      </c>
      <c r="L1332" s="48"/>
      <c r="M1332" s="48" t="s">
        <v>511</v>
      </c>
      <c r="N1332" s="48" t="s">
        <v>512</v>
      </c>
      <c r="O1332" s="48" t="s">
        <v>513</v>
      </c>
      <c r="P1332" s="38"/>
      <c r="Q1332" s="48" t="s">
        <v>7</v>
      </c>
      <c r="R1332" s="48" t="s">
        <v>514</v>
      </c>
      <c r="S1332" s="48" t="s">
        <v>31</v>
      </c>
      <c r="T1332" s="55"/>
    </row>
    <row r="1333" spans="1:20" ht="15.95" customHeight="1" x14ac:dyDescent="0.2">
      <c r="A1333" s="34"/>
      <c r="B1333" s="25" t="s">
        <v>5</v>
      </c>
      <c r="C1333" s="2">
        <f t="shared" ref="C1333:C1337" si="311">D1333+E1333+F1333+H1333+G1333</f>
        <v>130653.77974</v>
      </c>
      <c r="D1333" s="1">
        <f>D1334+D1335+D1336+D1337</f>
        <v>125176.29876999999</v>
      </c>
      <c r="E1333" s="1">
        <f t="shared" ref="E1333:H1333" si="312">E1334+E1335+E1336+E1337</f>
        <v>0</v>
      </c>
      <c r="F1333" s="1">
        <f t="shared" si="312"/>
        <v>5477.4809700000042</v>
      </c>
      <c r="G1333" s="1">
        <f t="shared" si="312"/>
        <v>0</v>
      </c>
      <c r="H1333" s="1">
        <f t="shared" si="312"/>
        <v>0</v>
      </c>
      <c r="I1333" s="48"/>
      <c r="J1333" s="48"/>
      <c r="K1333" s="48"/>
      <c r="L1333" s="48"/>
      <c r="M1333" s="48"/>
      <c r="N1333" s="48"/>
      <c r="O1333" s="48"/>
      <c r="P1333" s="38"/>
      <c r="Q1333" s="48"/>
      <c r="R1333" s="48"/>
      <c r="S1333" s="48"/>
      <c r="T1333" s="55"/>
    </row>
    <row r="1334" spans="1:20" ht="15.95" customHeight="1" x14ac:dyDescent="0.2">
      <c r="A1334" s="34"/>
      <c r="B1334" s="25" t="s">
        <v>0</v>
      </c>
      <c r="C1334" s="2">
        <f t="shared" si="311"/>
        <v>0</v>
      </c>
      <c r="D1334" s="1"/>
      <c r="E1334" s="1"/>
      <c r="F1334" s="1"/>
      <c r="G1334" s="1"/>
      <c r="H1334" s="1"/>
      <c r="I1334" s="48"/>
      <c r="J1334" s="48"/>
      <c r="K1334" s="48"/>
      <c r="L1334" s="48"/>
      <c r="M1334" s="48"/>
      <c r="N1334" s="48"/>
      <c r="O1334" s="48"/>
      <c r="P1334" s="38"/>
      <c r="Q1334" s="48"/>
      <c r="R1334" s="48"/>
      <c r="S1334" s="48"/>
      <c r="T1334" s="55"/>
    </row>
    <row r="1335" spans="1:20" ht="15.95" customHeight="1" x14ac:dyDescent="0.2">
      <c r="A1335" s="34"/>
      <c r="B1335" s="25" t="s">
        <v>1</v>
      </c>
      <c r="C1335" s="2">
        <f t="shared" si="311"/>
        <v>130653.77974</v>
      </c>
      <c r="D1335" s="1">
        <f>0+125176.29877</f>
        <v>125176.29876999999</v>
      </c>
      <c r="E1335" s="1"/>
      <c r="F1335" s="1">
        <f>0+71522.29197-66044.811</f>
        <v>5477.4809700000042</v>
      </c>
      <c r="G1335" s="1"/>
      <c r="H1335" s="1"/>
      <c r="I1335" s="48"/>
      <c r="J1335" s="48"/>
      <c r="K1335" s="48"/>
      <c r="L1335" s="48"/>
      <c r="M1335" s="48"/>
      <c r="N1335" s="48"/>
      <c r="O1335" s="48"/>
      <c r="P1335" s="38"/>
      <c r="Q1335" s="48"/>
      <c r="R1335" s="48"/>
      <c r="S1335" s="48"/>
      <c r="T1335" s="55"/>
    </row>
    <row r="1336" spans="1:20" ht="15.95" customHeight="1" x14ac:dyDescent="0.2">
      <c r="A1336" s="34"/>
      <c r="B1336" s="25" t="s">
        <v>2</v>
      </c>
      <c r="C1336" s="2">
        <f t="shared" si="311"/>
        <v>0</v>
      </c>
      <c r="D1336" s="1"/>
      <c r="E1336" s="1"/>
      <c r="F1336" s="1"/>
      <c r="G1336" s="1"/>
      <c r="H1336" s="1"/>
      <c r="I1336" s="48"/>
      <c r="J1336" s="48"/>
      <c r="K1336" s="48"/>
      <c r="L1336" s="48"/>
      <c r="M1336" s="48"/>
      <c r="N1336" s="48"/>
      <c r="O1336" s="48"/>
      <c r="P1336" s="38"/>
      <c r="Q1336" s="48"/>
      <c r="R1336" s="48"/>
      <c r="S1336" s="48"/>
      <c r="T1336" s="55"/>
    </row>
    <row r="1337" spans="1:20" ht="15.95" customHeight="1" x14ac:dyDescent="0.2">
      <c r="A1337" s="34"/>
      <c r="B1337" s="25" t="s">
        <v>3</v>
      </c>
      <c r="C1337" s="2">
        <f t="shared" si="311"/>
        <v>0</v>
      </c>
      <c r="D1337" s="1"/>
      <c r="E1337" s="1"/>
      <c r="F1337" s="1"/>
      <c r="G1337" s="1"/>
      <c r="H1337" s="1"/>
      <c r="I1337" s="48"/>
      <c r="J1337" s="48"/>
      <c r="K1337" s="48"/>
      <c r="L1337" s="48"/>
      <c r="M1337" s="48"/>
      <c r="N1337" s="48"/>
      <c r="O1337" s="48"/>
      <c r="P1337" s="38"/>
      <c r="Q1337" s="48"/>
      <c r="R1337" s="48"/>
      <c r="S1337" s="48"/>
      <c r="T1337" s="55"/>
    </row>
    <row r="1338" spans="1:20" ht="15.95" customHeight="1" x14ac:dyDescent="0.2">
      <c r="A1338" s="34" t="s">
        <v>752</v>
      </c>
      <c r="B1338" s="46" t="s">
        <v>190</v>
      </c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9"/>
    </row>
    <row r="1339" spans="1:20" ht="15.95" customHeight="1" x14ac:dyDescent="0.2">
      <c r="A1339" s="34" t="s">
        <v>57</v>
      </c>
      <c r="B1339" s="50" t="s">
        <v>174</v>
      </c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1"/>
    </row>
    <row r="1340" spans="1:20" ht="45" customHeight="1" x14ac:dyDescent="0.2">
      <c r="A1340" s="34"/>
      <c r="B1340" s="52" t="s">
        <v>746</v>
      </c>
      <c r="C1340" s="53"/>
      <c r="D1340" s="53"/>
      <c r="E1340" s="53"/>
      <c r="F1340" s="53"/>
      <c r="G1340" s="53"/>
      <c r="H1340" s="54"/>
      <c r="I1340" s="39">
        <v>2023</v>
      </c>
      <c r="J1340" s="39"/>
      <c r="K1340" s="39" t="s">
        <v>40</v>
      </c>
      <c r="L1340" s="39" t="s">
        <v>747</v>
      </c>
      <c r="M1340" s="39" t="s">
        <v>748</v>
      </c>
      <c r="N1340" s="39" t="s">
        <v>512</v>
      </c>
      <c r="O1340" s="39" t="s">
        <v>749</v>
      </c>
      <c r="P1340" s="84" t="s">
        <v>750</v>
      </c>
      <c r="Q1340" s="39" t="s">
        <v>7</v>
      </c>
      <c r="R1340" s="39" t="s">
        <v>748</v>
      </c>
      <c r="S1340" s="39" t="s">
        <v>31</v>
      </c>
      <c r="T1340" s="55" t="s">
        <v>751</v>
      </c>
    </row>
    <row r="1341" spans="1:20" ht="15.95" customHeight="1" x14ac:dyDescent="0.2">
      <c r="A1341" s="34"/>
      <c r="B1341" s="25" t="s">
        <v>5</v>
      </c>
      <c r="C1341" s="2">
        <f>D1341+E1341+F1341+G1341+H1341</f>
        <v>50606.060599999997</v>
      </c>
      <c r="D1341" s="1">
        <f t="shared" ref="D1341:F1341" si="313">SUM(D1342:D1345)</f>
        <v>0</v>
      </c>
      <c r="E1341" s="1">
        <f t="shared" si="313"/>
        <v>50606.060599999997</v>
      </c>
      <c r="F1341" s="1">
        <f t="shared" si="313"/>
        <v>0</v>
      </c>
      <c r="G1341" s="1">
        <f t="shared" ref="G1341:H1341" si="314">SUM(G1342:G1345)</f>
        <v>0</v>
      </c>
      <c r="H1341" s="1">
        <f t="shared" si="314"/>
        <v>0</v>
      </c>
      <c r="I1341" s="40"/>
      <c r="J1341" s="40"/>
      <c r="K1341" s="40"/>
      <c r="L1341" s="40"/>
      <c r="M1341" s="40"/>
      <c r="N1341" s="40"/>
      <c r="O1341" s="40"/>
      <c r="P1341" s="85"/>
      <c r="Q1341" s="40"/>
      <c r="R1341" s="40"/>
      <c r="S1341" s="40"/>
      <c r="T1341" s="55"/>
    </row>
    <row r="1342" spans="1:20" ht="15.95" customHeight="1" x14ac:dyDescent="0.2">
      <c r="A1342" s="34"/>
      <c r="B1342" s="25" t="s">
        <v>0</v>
      </c>
      <c r="C1342" s="2">
        <f>D1342+E1342+F1342+G1342+H1342</f>
        <v>0</v>
      </c>
      <c r="D1342" s="1"/>
      <c r="E1342" s="1"/>
      <c r="F1342" s="1"/>
      <c r="G1342" s="1"/>
      <c r="H1342" s="1"/>
      <c r="I1342" s="40"/>
      <c r="J1342" s="40"/>
      <c r="K1342" s="40"/>
      <c r="L1342" s="40"/>
      <c r="M1342" s="40"/>
      <c r="N1342" s="40"/>
      <c r="O1342" s="40"/>
      <c r="P1342" s="85"/>
      <c r="Q1342" s="40"/>
      <c r="R1342" s="40"/>
      <c r="S1342" s="40"/>
      <c r="T1342" s="55"/>
    </row>
    <row r="1343" spans="1:20" ht="15.95" customHeight="1" x14ac:dyDescent="0.2">
      <c r="A1343" s="34"/>
      <c r="B1343" s="25" t="s">
        <v>1</v>
      </c>
      <c r="C1343" s="2">
        <f>D1343+E1343+F1343+G1343+H1343</f>
        <v>50000</v>
      </c>
      <c r="D1343" s="1"/>
      <c r="E1343" s="1">
        <f>0+60000-10000</f>
        <v>50000</v>
      </c>
      <c r="F1343" s="1"/>
      <c r="G1343" s="1"/>
      <c r="H1343" s="1"/>
      <c r="I1343" s="40"/>
      <c r="J1343" s="40"/>
      <c r="K1343" s="40"/>
      <c r="L1343" s="40"/>
      <c r="M1343" s="40"/>
      <c r="N1343" s="40"/>
      <c r="O1343" s="40"/>
      <c r="P1343" s="85"/>
      <c r="Q1343" s="40"/>
      <c r="R1343" s="40"/>
      <c r="S1343" s="40"/>
      <c r="T1343" s="55"/>
    </row>
    <row r="1344" spans="1:20" ht="15.95" customHeight="1" x14ac:dyDescent="0.2">
      <c r="A1344" s="34"/>
      <c r="B1344" s="25" t="s">
        <v>2</v>
      </c>
      <c r="C1344" s="2">
        <f>D1344+E1344+F1344+G1344+H1344</f>
        <v>606.06060000000002</v>
      </c>
      <c r="D1344" s="1"/>
      <c r="E1344" s="1">
        <f>0+606.0606</f>
        <v>606.06060000000002</v>
      </c>
      <c r="F1344" s="1"/>
      <c r="G1344" s="1"/>
      <c r="H1344" s="1"/>
      <c r="I1344" s="40"/>
      <c r="J1344" s="40"/>
      <c r="K1344" s="40"/>
      <c r="L1344" s="40"/>
      <c r="M1344" s="40"/>
      <c r="N1344" s="40"/>
      <c r="O1344" s="40"/>
      <c r="P1344" s="85"/>
      <c r="Q1344" s="40"/>
      <c r="R1344" s="40"/>
      <c r="S1344" s="40"/>
      <c r="T1344" s="55"/>
    </row>
    <row r="1345" spans="1:20" ht="15.95" customHeight="1" x14ac:dyDescent="0.2">
      <c r="A1345" s="34"/>
      <c r="B1345" s="25" t="s">
        <v>3</v>
      </c>
      <c r="C1345" s="2">
        <f>D1345+E1345+F1345+G1345+H1345</f>
        <v>0</v>
      </c>
      <c r="D1345" s="1"/>
      <c r="E1345" s="1"/>
      <c r="F1345" s="1"/>
      <c r="G1345" s="1"/>
      <c r="H1345" s="1"/>
      <c r="I1345" s="41"/>
      <c r="J1345" s="41"/>
      <c r="K1345" s="41"/>
      <c r="L1345" s="41"/>
      <c r="M1345" s="41"/>
      <c r="N1345" s="41"/>
      <c r="O1345" s="41"/>
      <c r="P1345" s="86"/>
      <c r="Q1345" s="41"/>
      <c r="R1345" s="41"/>
      <c r="S1345" s="41"/>
      <c r="T1345" s="55"/>
    </row>
    <row r="1346" spans="1:20" ht="15.95" customHeight="1" x14ac:dyDescent="0.2">
      <c r="A1346" s="89" t="s">
        <v>37</v>
      </c>
      <c r="B1346" s="50" t="s">
        <v>102</v>
      </c>
      <c r="C1346" s="50"/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1"/>
    </row>
    <row r="1347" spans="1:20" ht="15.95" customHeight="1" x14ac:dyDescent="0.2">
      <c r="A1347" s="89"/>
      <c r="B1347" s="31" t="s">
        <v>5</v>
      </c>
      <c r="C1347" s="3">
        <f>SUM(C1348:C1351)</f>
        <v>10800.7</v>
      </c>
      <c r="D1347" s="3">
        <f>D1348+D1349+D1350+D1351</f>
        <v>0</v>
      </c>
      <c r="E1347" s="3">
        <f t="shared" ref="E1347:H1347" si="315">E1348+E1349+E1350+E1351</f>
        <v>7151.03</v>
      </c>
      <c r="F1347" s="3">
        <f t="shared" ref="F1347" si="316">F1348+F1349+F1350+F1351</f>
        <v>3649.67</v>
      </c>
      <c r="G1347" s="3">
        <f t="shared" si="315"/>
        <v>0</v>
      </c>
      <c r="H1347" s="3">
        <f t="shared" si="315"/>
        <v>0</v>
      </c>
      <c r="I1347" s="117"/>
      <c r="J1347" s="117"/>
      <c r="K1347" s="117"/>
      <c r="L1347" s="117"/>
      <c r="M1347" s="117"/>
      <c r="N1347" s="117"/>
      <c r="O1347" s="117"/>
      <c r="P1347" s="117"/>
      <c r="Q1347" s="117"/>
      <c r="R1347" s="117"/>
      <c r="S1347" s="117"/>
      <c r="T1347" s="118"/>
    </row>
    <row r="1348" spans="1:20" ht="15.95" customHeight="1" x14ac:dyDescent="0.2">
      <c r="A1348" s="89"/>
      <c r="B1348" s="31" t="s">
        <v>0</v>
      </c>
      <c r="C1348" s="3">
        <f>D1348+E1348+F1348+H1348+G1348</f>
        <v>0</v>
      </c>
      <c r="D1348" s="3">
        <f>D1356+D1364</f>
        <v>0</v>
      </c>
      <c r="E1348" s="3">
        <f t="shared" ref="E1348:H1348" si="317">E1356+E1364</f>
        <v>0</v>
      </c>
      <c r="F1348" s="3">
        <f t="shared" ref="F1348" si="318">F1356+F1364</f>
        <v>0</v>
      </c>
      <c r="G1348" s="3">
        <f t="shared" si="317"/>
        <v>0</v>
      </c>
      <c r="H1348" s="3">
        <f t="shared" si="317"/>
        <v>0</v>
      </c>
      <c r="I1348" s="117"/>
      <c r="J1348" s="117"/>
      <c r="K1348" s="117"/>
      <c r="L1348" s="117"/>
      <c r="M1348" s="117"/>
      <c r="N1348" s="117"/>
      <c r="O1348" s="117"/>
      <c r="P1348" s="117"/>
      <c r="Q1348" s="117"/>
      <c r="R1348" s="117"/>
      <c r="S1348" s="117"/>
      <c r="T1348" s="118"/>
    </row>
    <row r="1349" spans="1:20" ht="15.95" customHeight="1" x14ac:dyDescent="0.2">
      <c r="A1349" s="89"/>
      <c r="B1349" s="31" t="s">
        <v>1</v>
      </c>
      <c r="C1349" s="3">
        <f>D1349+E1349+F1349+H1349+G1349</f>
        <v>10800.7</v>
      </c>
      <c r="D1349" s="3">
        <f t="shared" ref="D1349:H1349" si="319">D1357+D1365</f>
        <v>0</v>
      </c>
      <c r="E1349" s="3">
        <f t="shared" si="319"/>
        <v>7151.03</v>
      </c>
      <c r="F1349" s="3">
        <f t="shared" ref="F1349" si="320">F1357+F1365</f>
        <v>3649.67</v>
      </c>
      <c r="G1349" s="3">
        <f t="shared" si="319"/>
        <v>0</v>
      </c>
      <c r="H1349" s="3">
        <f t="shared" si="319"/>
        <v>0</v>
      </c>
      <c r="I1349" s="117"/>
      <c r="J1349" s="117"/>
      <c r="K1349" s="117"/>
      <c r="L1349" s="117"/>
      <c r="M1349" s="117"/>
      <c r="N1349" s="117"/>
      <c r="O1349" s="117"/>
      <c r="P1349" s="117"/>
      <c r="Q1349" s="117"/>
      <c r="R1349" s="117"/>
      <c r="S1349" s="117"/>
      <c r="T1349" s="118"/>
    </row>
    <row r="1350" spans="1:20" ht="15.95" customHeight="1" x14ac:dyDescent="0.2">
      <c r="A1350" s="89"/>
      <c r="B1350" s="31" t="s">
        <v>2</v>
      </c>
      <c r="C1350" s="3">
        <f>D1350+E1350+F1350+H1350+G1350</f>
        <v>0</v>
      </c>
      <c r="D1350" s="3">
        <f t="shared" ref="D1350:H1350" si="321">D1358+D1366</f>
        <v>0</v>
      </c>
      <c r="E1350" s="3">
        <f t="shared" si="321"/>
        <v>0</v>
      </c>
      <c r="F1350" s="3">
        <f t="shared" ref="F1350" si="322">F1358+F1366</f>
        <v>0</v>
      </c>
      <c r="G1350" s="3">
        <f t="shared" si="321"/>
        <v>0</v>
      </c>
      <c r="H1350" s="3">
        <f t="shared" si="321"/>
        <v>0</v>
      </c>
      <c r="I1350" s="117"/>
      <c r="J1350" s="117"/>
      <c r="K1350" s="117"/>
      <c r="L1350" s="117"/>
      <c r="M1350" s="117"/>
      <c r="N1350" s="117"/>
      <c r="O1350" s="117"/>
      <c r="P1350" s="117"/>
      <c r="Q1350" s="117"/>
      <c r="R1350" s="117"/>
      <c r="S1350" s="117"/>
      <c r="T1350" s="118"/>
    </row>
    <row r="1351" spans="1:20" ht="15.95" customHeight="1" x14ac:dyDescent="0.2">
      <c r="A1351" s="89"/>
      <c r="B1351" s="31" t="s">
        <v>3</v>
      </c>
      <c r="C1351" s="3">
        <f>D1351+E1351+F1351+H1351+G1351</f>
        <v>0</v>
      </c>
      <c r="D1351" s="3">
        <f t="shared" ref="D1351:H1351" si="323">D1359+D1367</f>
        <v>0</v>
      </c>
      <c r="E1351" s="3">
        <f t="shared" si="323"/>
        <v>0</v>
      </c>
      <c r="F1351" s="3">
        <f t="shared" ref="F1351" si="324">F1359+F1367</f>
        <v>0</v>
      </c>
      <c r="G1351" s="3">
        <f t="shared" si="323"/>
        <v>0</v>
      </c>
      <c r="H1351" s="3">
        <f t="shared" si="323"/>
        <v>0</v>
      </c>
      <c r="I1351" s="117"/>
      <c r="J1351" s="117"/>
      <c r="K1351" s="117"/>
      <c r="L1351" s="117"/>
      <c r="M1351" s="117"/>
      <c r="N1351" s="117"/>
      <c r="O1351" s="117"/>
      <c r="P1351" s="117"/>
      <c r="Q1351" s="117"/>
      <c r="R1351" s="117"/>
      <c r="S1351" s="117"/>
      <c r="T1351" s="118"/>
    </row>
    <row r="1352" spans="1:20" ht="15.95" customHeight="1" x14ac:dyDescent="0.2">
      <c r="A1352" s="34" t="s">
        <v>133</v>
      </c>
      <c r="B1352" s="78" t="s">
        <v>103</v>
      </c>
      <c r="C1352" s="78"/>
      <c r="D1352" s="78"/>
      <c r="E1352" s="78"/>
      <c r="F1352" s="78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  <c r="R1352" s="78"/>
      <c r="S1352" s="78"/>
      <c r="T1352" s="79"/>
    </row>
    <row r="1353" spans="1:20" ht="15.95" customHeight="1" x14ac:dyDescent="0.2">
      <c r="A1353" s="34"/>
      <c r="B1353" s="50" t="s">
        <v>104</v>
      </c>
      <c r="C1353" s="50"/>
      <c r="D1353" s="50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1"/>
    </row>
    <row r="1354" spans="1:20" ht="45" customHeight="1" x14ac:dyDescent="0.2">
      <c r="A1354" s="34"/>
      <c r="B1354" s="80" t="s">
        <v>105</v>
      </c>
      <c r="C1354" s="80"/>
      <c r="D1354" s="80"/>
      <c r="E1354" s="80"/>
      <c r="F1354" s="80"/>
      <c r="G1354" s="80"/>
      <c r="H1354" s="80"/>
      <c r="I1354" s="48" t="s">
        <v>23</v>
      </c>
      <c r="J1354" s="48"/>
      <c r="K1354" s="48" t="s">
        <v>35</v>
      </c>
      <c r="L1354" s="48" t="s">
        <v>159</v>
      </c>
      <c r="M1354" s="48" t="s">
        <v>103</v>
      </c>
      <c r="N1354" s="48" t="s">
        <v>103</v>
      </c>
      <c r="O1354" s="48" t="s">
        <v>103</v>
      </c>
      <c r="P1354" s="38" t="s">
        <v>177</v>
      </c>
      <c r="Q1354" s="48" t="s">
        <v>29</v>
      </c>
      <c r="R1354" s="48" t="s">
        <v>36</v>
      </c>
      <c r="S1354" s="48" t="s">
        <v>30</v>
      </c>
      <c r="T1354" s="55" t="s">
        <v>187</v>
      </c>
    </row>
    <row r="1355" spans="1:20" ht="15.95" customHeight="1" x14ac:dyDescent="0.2">
      <c r="A1355" s="34"/>
      <c r="B1355" s="25" t="s">
        <v>5</v>
      </c>
      <c r="C1355" s="2">
        <f t="shared" ref="C1355:C1356" si="325">D1355+E1355+F1355+H1355+G1355</f>
        <v>3501.24</v>
      </c>
      <c r="D1355" s="1">
        <f t="shared" ref="D1355:H1355" si="326">SUM(D1356:D1359)</f>
        <v>0</v>
      </c>
      <c r="E1355" s="1">
        <f t="shared" si="326"/>
        <v>3501.24</v>
      </c>
      <c r="F1355" s="1">
        <f t="shared" si="326"/>
        <v>0</v>
      </c>
      <c r="G1355" s="1">
        <f t="shared" si="326"/>
        <v>0</v>
      </c>
      <c r="H1355" s="1">
        <f t="shared" si="326"/>
        <v>0</v>
      </c>
      <c r="I1355" s="48"/>
      <c r="J1355" s="48"/>
      <c r="K1355" s="48"/>
      <c r="L1355" s="48"/>
      <c r="M1355" s="48"/>
      <c r="N1355" s="48"/>
      <c r="O1355" s="48"/>
      <c r="P1355" s="38"/>
      <c r="Q1355" s="48"/>
      <c r="R1355" s="48"/>
      <c r="S1355" s="48"/>
      <c r="T1355" s="55"/>
    </row>
    <row r="1356" spans="1:20" ht="15.95" customHeight="1" x14ac:dyDescent="0.2">
      <c r="A1356" s="34"/>
      <c r="B1356" s="25" t="s">
        <v>0</v>
      </c>
      <c r="C1356" s="2">
        <f t="shared" si="325"/>
        <v>0</v>
      </c>
      <c r="D1356" s="1"/>
      <c r="E1356" s="1"/>
      <c r="F1356" s="1"/>
      <c r="G1356" s="1"/>
      <c r="H1356" s="1"/>
      <c r="I1356" s="48"/>
      <c r="J1356" s="48"/>
      <c r="K1356" s="48"/>
      <c r="L1356" s="48"/>
      <c r="M1356" s="48"/>
      <c r="N1356" s="48"/>
      <c r="O1356" s="48"/>
      <c r="P1356" s="38"/>
      <c r="Q1356" s="48"/>
      <c r="R1356" s="48"/>
      <c r="S1356" s="48"/>
      <c r="T1356" s="55"/>
    </row>
    <row r="1357" spans="1:20" ht="15.95" customHeight="1" x14ac:dyDescent="0.2">
      <c r="A1357" s="34"/>
      <c r="B1357" s="25" t="s">
        <v>1</v>
      </c>
      <c r="C1357" s="2">
        <f>D1357+E1357+F1357+H1357+G1357</f>
        <v>3501.24</v>
      </c>
      <c r="D1357" s="1">
        <f>3501.23-3501.23</f>
        <v>0</v>
      </c>
      <c r="E1357" s="1">
        <v>3501.24</v>
      </c>
      <c r="F1357" s="1"/>
      <c r="G1357" s="1"/>
      <c r="H1357" s="1"/>
      <c r="I1357" s="48"/>
      <c r="J1357" s="48"/>
      <c r="K1357" s="48"/>
      <c r="L1357" s="48"/>
      <c r="M1357" s="48"/>
      <c r="N1357" s="48"/>
      <c r="O1357" s="48"/>
      <c r="P1357" s="38"/>
      <c r="Q1357" s="48"/>
      <c r="R1357" s="48"/>
      <c r="S1357" s="48"/>
      <c r="T1357" s="55"/>
    </row>
    <row r="1358" spans="1:20" ht="15.95" customHeight="1" x14ac:dyDescent="0.2">
      <c r="A1358" s="34"/>
      <c r="B1358" s="25" t="s">
        <v>2</v>
      </c>
      <c r="C1358" s="2">
        <f t="shared" ref="C1358:C1359" si="327">D1358+E1358+F1358+H1358+G1358</f>
        <v>0</v>
      </c>
      <c r="D1358" s="1"/>
      <c r="E1358" s="1"/>
      <c r="F1358" s="1"/>
      <c r="G1358" s="1"/>
      <c r="H1358" s="1"/>
      <c r="I1358" s="48"/>
      <c r="J1358" s="48"/>
      <c r="K1358" s="48"/>
      <c r="L1358" s="48"/>
      <c r="M1358" s="48"/>
      <c r="N1358" s="48"/>
      <c r="O1358" s="48"/>
      <c r="P1358" s="38"/>
      <c r="Q1358" s="48"/>
      <c r="R1358" s="48"/>
      <c r="S1358" s="48"/>
      <c r="T1358" s="55"/>
    </row>
    <row r="1359" spans="1:20" ht="15.95" customHeight="1" x14ac:dyDescent="0.2">
      <c r="A1359" s="34"/>
      <c r="B1359" s="25" t="s">
        <v>3</v>
      </c>
      <c r="C1359" s="2">
        <f t="shared" si="327"/>
        <v>0</v>
      </c>
      <c r="D1359" s="1"/>
      <c r="E1359" s="1"/>
      <c r="F1359" s="1"/>
      <c r="G1359" s="1"/>
      <c r="H1359" s="1"/>
      <c r="I1359" s="48"/>
      <c r="J1359" s="48"/>
      <c r="K1359" s="48"/>
      <c r="L1359" s="48"/>
      <c r="M1359" s="48"/>
      <c r="N1359" s="48"/>
      <c r="O1359" s="48"/>
      <c r="P1359" s="38"/>
      <c r="Q1359" s="48"/>
      <c r="R1359" s="48"/>
      <c r="S1359" s="48"/>
      <c r="T1359" s="55"/>
    </row>
    <row r="1360" spans="1:20" ht="15.95" customHeight="1" x14ac:dyDescent="0.2">
      <c r="A1360" s="34" t="s">
        <v>134</v>
      </c>
      <c r="B1360" s="78" t="s">
        <v>103</v>
      </c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8"/>
      <c r="O1360" s="78"/>
      <c r="P1360" s="78"/>
      <c r="Q1360" s="78"/>
      <c r="R1360" s="78"/>
      <c r="S1360" s="78"/>
      <c r="T1360" s="79"/>
    </row>
    <row r="1361" spans="1:20" ht="15.95" customHeight="1" x14ac:dyDescent="0.2">
      <c r="A1361" s="34"/>
      <c r="B1361" s="50" t="s">
        <v>104</v>
      </c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1"/>
    </row>
    <row r="1362" spans="1:20" ht="45" customHeight="1" x14ac:dyDescent="0.2">
      <c r="A1362" s="34"/>
      <c r="B1362" s="80" t="s">
        <v>166</v>
      </c>
      <c r="C1362" s="80"/>
      <c r="D1362" s="80"/>
      <c r="E1362" s="80"/>
      <c r="F1362" s="80"/>
      <c r="G1362" s="80"/>
      <c r="H1362" s="80"/>
      <c r="I1362" s="48" t="s">
        <v>160</v>
      </c>
      <c r="J1362" s="48"/>
      <c r="K1362" s="48" t="s">
        <v>35</v>
      </c>
      <c r="L1362" s="48" t="s">
        <v>161</v>
      </c>
      <c r="M1362" s="48" t="s">
        <v>103</v>
      </c>
      <c r="N1362" s="48" t="s">
        <v>103</v>
      </c>
      <c r="O1362" s="48" t="s">
        <v>103</v>
      </c>
      <c r="P1362" s="38" t="s">
        <v>178</v>
      </c>
      <c r="Q1362" s="48" t="s">
        <v>29</v>
      </c>
      <c r="R1362" s="48" t="s">
        <v>33</v>
      </c>
      <c r="S1362" s="48" t="s">
        <v>30</v>
      </c>
      <c r="T1362" s="55" t="s">
        <v>188</v>
      </c>
    </row>
    <row r="1363" spans="1:20" ht="15.95" customHeight="1" x14ac:dyDescent="0.2">
      <c r="A1363" s="34"/>
      <c r="B1363" s="25" t="s">
        <v>5</v>
      </c>
      <c r="C1363" s="2">
        <f t="shared" ref="C1363:C1367" si="328">D1363+E1363+F1363+H1363+G1363</f>
        <v>7299.46</v>
      </c>
      <c r="D1363" s="1">
        <f t="shared" ref="D1363" si="329">SUM(D1364:D1367)</f>
        <v>0</v>
      </c>
      <c r="E1363" s="1">
        <f t="shared" ref="E1363:F1363" si="330">SUM(E1364:E1367)</f>
        <v>3649.79</v>
      </c>
      <c r="F1363" s="1">
        <f t="shared" si="330"/>
        <v>3649.67</v>
      </c>
      <c r="G1363" s="1">
        <f t="shared" ref="G1363:H1363" si="331">SUM(G1364:G1367)</f>
        <v>0</v>
      </c>
      <c r="H1363" s="1">
        <f t="shared" si="331"/>
        <v>0</v>
      </c>
      <c r="I1363" s="48"/>
      <c r="J1363" s="48"/>
      <c r="K1363" s="48"/>
      <c r="L1363" s="48"/>
      <c r="M1363" s="48"/>
      <c r="N1363" s="48"/>
      <c r="O1363" s="48"/>
      <c r="P1363" s="38"/>
      <c r="Q1363" s="48"/>
      <c r="R1363" s="48"/>
      <c r="S1363" s="48"/>
      <c r="T1363" s="55"/>
    </row>
    <row r="1364" spans="1:20" ht="15.95" customHeight="1" x14ac:dyDescent="0.2">
      <c r="A1364" s="34"/>
      <c r="B1364" s="25" t="s">
        <v>0</v>
      </c>
      <c r="C1364" s="2">
        <f t="shared" si="328"/>
        <v>0</v>
      </c>
      <c r="D1364" s="1"/>
      <c r="E1364" s="1"/>
      <c r="F1364" s="1"/>
      <c r="G1364" s="1"/>
      <c r="H1364" s="1"/>
      <c r="I1364" s="48"/>
      <c r="J1364" s="48"/>
      <c r="K1364" s="48"/>
      <c r="L1364" s="48"/>
      <c r="M1364" s="48"/>
      <c r="N1364" s="48"/>
      <c r="O1364" s="48"/>
      <c r="P1364" s="38"/>
      <c r="Q1364" s="48"/>
      <c r="R1364" s="48"/>
      <c r="S1364" s="48"/>
      <c r="T1364" s="55"/>
    </row>
    <row r="1365" spans="1:20" ht="15.95" customHeight="1" x14ac:dyDescent="0.2">
      <c r="A1365" s="34"/>
      <c r="B1365" s="25" t="s">
        <v>1</v>
      </c>
      <c r="C1365" s="2">
        <f t="shared" si="328"/>
        <v>7299.46</v>
      </c>
      <c r="D1365" s="1">
        <f>3649.79-3649.79</f>
        <v>0</v>
      </c>
      <c r="E1365" s="1">
        <v>3649.79</v>
      </c>
      <c r="F1365" s="1">
        <v>3649.67</v>
      </c>
      <c r="G1365" s="1"/>
      <c r="H1365" s="1"/>
      <c r="I1365" s="48"/>
      <c r="J1365" s="48"/>
      <c r="K1365" s="48"/>
      <c r="L1365" s="48"/>
      <c r="M1365" s="48"/>
      <c r="N1365" s="48"/>
      <c r="O1365" s="48"/>
      <c r="P1365" s="38"/>
      <c r="Q1365" s="48"/>
      <c r="R1365" s="48"/>
      <c r="S1365" s="48"/>
      <c r="T1365" s="55"/>
    </row>
    <row r="1366" spans="1:20" ht="15.95" customHeight="1" x14ac:dyDescent="0.2">
      <c r="A1366" s="34"/>
      <c r="B1366" s="25" t="s">
        <v>2</v>
      </c>
      <c r="C1366" s="2">
        <f t="shared" si="328"/>
        <v>0</v>
      </c>
      <c r="D1366" s="1"/>
      <c r="E1366" s="1"/>
      <c r="F1366" s="1"/>
      <c r="G1366" s="1"/>
      <c r="H1366" s="1"/>
      <c r="I1366" s="48"/>
      <c r="J1366" s="48"/>
      <c r="K1366" s="48"/>
      <c r="L1366" s="48"/>
      <c r="M1366" s="48"/>
      <c r="N1366" s="48"/>
      <c r="O1366" s="48"/>
      <c r="P1366" s="38"/>
      <c r="Q1366" s="48"/>
      <c r="R1366" s="48"/>
      <c r="S1366" s="48"/>
      <c r="T1366" s="55"/>
    </row>
    <row r="1367" spans="1:20" ht="15.95" customHeight="1" x14ac:dyDescent="0.2">
      <c r="A1367" s="34"/>
      <c r="B1367" s="25" t="s">
        <v>3</v>
      </c>
      <c r="C1367" s="2">
        <f t="shared" si="328"/>
        <v>0</v>
      </c>
      <c r="D1367" s="1"/>
      <c r="E1367" s="1"/>
      <c r="F1367" s="1"/>
      <c r="G1367" s="1"/>
      <c r="H1367" s="1"/>
      <c r="I1367" s="48"/>
      <c r="J1367" s="48"/>
      <c r="K1367" s="48"/>
      <c r="L1367" s="48"/>
      <c r="M1367" s="48"/>
      <c r="N1367" s="48"/>
      <c r="O1367" s="48"/>
      <c r="P1367" s="38"/>
      <c r="Q1367" s="48"/>
      <c r="R1367" s="48"/>
      <c r="S1367" s="48"/>
      <c r="T1367" s="55"/>
    </row>
    <row r="1368" spans="1:20" ht="15.95" customHeight="1" x14ac:dyDescent="0.2">
      <c r="A1368" s="89" t="s">
        <v>146</v>
      </c>
      <c r="B1368" s="50" t="s">
        <v>38</v>
      </c>
      <c r="C1368" s="50"/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1"/>
    </row>
    <row r="1369" spans="1:20" ht="15.95" customHeight="1" x14ac:dyDescent="0.2">
      <c r="A1369" s="89"/>
      <c r="B1369" s="31" t="s">
        <v>5</v>
      </c>
      <c r="C1369" s="3">
        <f>SUM(C1370:C1373)</f>
        <v>200730.11011000001</v>
      </c>
      <c r="D1369" s="3">
        <f t="shared" ref="D1369:H1369" si="332">SUM(D1370:D1373)</f>
        <v>40620</v>
      </c>
      <c r="E1369" s="3">
        <f t="shared" si="332"/>
        <v>50000</v>
      </c>
      <c r="F1369" s="3">
        <f t="shared" si="332"/>
        <v>60060.060060000003</v>
      </c>
      <c r="G1369" s="3">
        <f t="shared" si="332"/>
        <v>50050.050049999998</v>
      </c>
      <c r="H1369" s="3">
        <f t="shared" si="332"/>
        <v>0</v>
      </c>
      <c r="I1369" s="117"/>
      <c r="J1369" s="117"/>
      <c r="K1369" s="117"/>
      <c r="L1369" s="117"/>
      <c r="M1369" s="117"/>
      <c r="N1369" s="117"/>
      <c r="O1369" s="117"/>
      <c r="P1369" s="117"/>
      <c r="Q1369" s="117"/>
      <c r="R1369" s="117"/>
      <c r="S1369" s="117"/>
      <c r="T1369" s="118"/>
    </row>
    <row r="1370" spans="1:20" ht="15.95" customHeight="1" x14ac:dyDescent="0.2">
      <c r="A1370" s="89"/>
      <c r="B1370" s="31" t="s">
        <v>0</v>
      </c>
      <c r="C1370" s="3">
        <f>D1370+E1370+F1370+H1370+G1370</f>
        <v>0</v>
      </c>
      <c r="D1370" s="3">
        <f>D1378+D1386+D1394+D1402</f>
        <v>0</v>
      </c>
      <c r="E1370" s="3">
        <f t="shared" ref="E1370:H1370" si="333">E1378+E1386+E1394+E1402</f>
        <v>0</v>
      </c>
      <c r="F1370" s="3">
        <f t="shared" si="333"/>
        <v>0</v>
      </c>
      <c r="G1370" s="3">
        <f t="shared" si="333"/>
        <v>0</v>
      </c>
      <c r="H1370" s="3">
        <f t="shared" si="333"/>
        <v>0</v>
      </c>
      <c r="I1370" s="117"/>
      <c r="J1370" s="117"/>
      <c r="K1370" s="117"/>
      <c r="L1370" s="117"/>
      <c r="M1370" s="117"/>
      <c r="N1370" s="117"/>
      <c r="O1370" s="117"/>
      <c r="P1370" s="117"/>
      <c r="Q1370" s="117"/>
      <c r="R1370" s="117"/>
      <c r="S1370" s="117"/>
      <c r="T1370" s="118"/>
    </row>
    <row r="1371" spans="1:20" ht="15.95" customHeight="1" x14ac:dyDescent="0.2">
      <c r="A1371" s="89"/>
      <c r="B1371" s="31" t="s">
        <v>1</v>
      </c>
      <c r="C1371" s="3">
        <f>D1371+E1371+F1371+H1371+G1371</f>
        <v>200620</v>
      </c>
      <c r="D1371" s="3">
        <f t="shared" ref="D1371:H1373" si="334">D1379+D1387+D1395+D1403</f>
        <v>40620</v>
      </c>
      <c r="E1371" s="3">
        <f t="shared" si="334"/>
        <v>50000</v>
      </c>
      <c r="F1371" s="3">
        <f t="shared" si="334"/>
        <v>60000</v>
      </c>
      <c r="G1371" s="3">
        <f t="shared" si="334"/>
        <v>50000</v>
      </c>
      <c r="H1371" s="3">
        <f t="shared" si="334"/>
        <v>0</v>
      </c>
      <c r="I1371" s="117"/>
      <c r="J1371" s="117"/>
      <c r="K1371" s="117"/>
      <c r="L1371" s="117"/>
      <c r="M1371" s="117"/>
      <c r="N1371" s="117"/>
      <c r="O1371" s="117"/>
      <c r="P1371" s="117"/>
      <c r="Q1371" s="117"/>
      <c r="R1371" s="117"/>
      <c r="S1371" s="117"/>
      <c r="T1371" s="118"/>
    </row>
    <row r="1372" spans="1:20" ht="15.95" customHeight="1" x14ac:dyDescent="0.2">
      <c r="A1372" s="89"/>
      <c r="B1372" s="31" t="s">
        <v>2</v>
      </c>
      <c r="C1372" s="3">
        <f>D1372+E1372+F1372+H1372+G1372</f>
        <v>110.11010999999999</v>
      </c>
      <c r="D1372" s="3">
        <f t="shared" si="334"/>
        <v>0</v>
      </c>
      <c r="E1372" s="3">
        <f t="shared" si="334"/>
        <v>0</v>
      </c>
      <c r="F1372" s="3">
        <f t="shared" si="334"/>
        <v>60.06006</v>
      </c>
      <c r="G1372" s="3">
        <f t="shared" si="334"/>
        <v>50.050049999999999</v>
      </c>
      <c r="H1372" s="3">
        <f t="shared" si="334"/>
        <v>0</v>
      </c>
      <c r="I1372" s="117"/>
      <c r="J1372" s="117"/>
      <c r="K1372" s="117"/>
      <c r="L1372" s="117"/>
      <c r="M1372" s="117"/>
      <c r="N1372" s="117"/>
      <c r="O1372" s="117"/>
      <c r="P1372" s="117"/>
      <c r="Q1372" s="117"/>
      <c r="R1372" s="117"/>
      <c r="S1372" s="117"/>
      <c r="T1372" s="118"/>
    </row>
    <row r="1373" spans="1:20" ht="15.95" customHeight="1" x14ac:dyDescent="0.2">
      <c r="A1373" s="89"/>
      <c r="B1373" s="31" t="s">
        <v>3</v>
      </c>
      <c r="C1373" s="3">
        <f>D1373+E1373+F1373+H1373+G1373</f>
        <v>0</v>
      </c>
      <c r="D1373" s="3">
        <f t="shared" si="334"/>
        <v>0</v>
      </c>
      <c r="E1373" s="3">
        <f t="shared" si="334"/>
        <v>0</v>
      </c>
      <c r="F1373" s="3">
        <f t="shared" si="334"/>
        <v>0</v>
      </c>
      <c r="G1373" s="3">
        <f t="shared" si="334"/>
        <v>0</v>
      </c>
      <c r="H1373" s="3">
        <f t="shared" si="334"/>
        <v>0</v>
      </c>
      <c r="I1373" s="117"/>
      <c r="J1373" s="117"/>
      <c r="K1373" s="117"/>
      <c r="L1373" s="117"/>
      <c r="M1373" s="117"/>
      <c r="N1373" s="117"/>
      <c r="O1373" s="117"/>
      <c r="P1373" s="117"/>
      <c r="Q1373" s="117"/>
      <c r="R1373" s="117"/>
      <c r="S1373" s="117"/>
      <c r="T1373" s="118"/>
    </row>
    <row r="1374" spans="1:20" ht="15.95" customHeight="1" x14ac:dyDescent="0.2">
      <c r="A1374" s="34" t="s">
        <v>135</v>
      </c>
      <c r="B1374" s="78" t="s">
        <v>470</v>
      </c>
      <c r="C1374" s="78"/>
      <c r="D1374" s="78"/>
      <c r="E1374" s="78"/>
      <c r="F1374" s="78"/>
      <c r="G1374" s="78"/>
      <c r="H1374" s="78"/>
      <c r="I1374" s="78"/>
      <c r="J1374" s="78"/>
      <c r="K1374" s="78"/>
      <c r="L1374" s="78"/>
      <c r="M1374" s="78"/>
      <c r="N1374" s="78"/>
      <c r="O1374" s="78"/>
      <c r="P1374" s="78"/>
      <c r="Q1374" s="78"/>
      <c r="R1374" s="78"/>
      <c r="S1374" s="78"/>
      <c r="T1374" s="79"/>
    </row>
    <row r="1375" spans="1:20" ht="15.95" customHeight="1" x14ac:dyDescent="0.2">
      <c r="A1375" s="34"/>
      <c r="B1375" s="50" t="s">
        <v>39</v>
      </c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1"/>
    </row>
    <row r="1376" spans="1:20" ht="45" customHeight="1" x14ac:dyDescent="0.2">
      <c r="A1376" s="34"/>
      <c r="B1376" s="80" t="s">
        <v>287</v>
      </c>
      <c r="C1376" s="80"/>
      <c r="D1376" s="80"/>
      <c r="E1376" s="80"/>
      <c r="F1376" s="80"/>
      <c r="G1376" s="80"/>
      <c r="H1376" s="80"/>
      <c r="I1376" s="48" t="s">
        <v>42</v>
      </c>
      <c r="J1376" s="48" t="s">
        <v>28</v>
      </c>
      <c r="K1376" s="48" t="s">
        <v>40</v>
      </c>
      <c r="L1376" s="48"/>
      <c r="M1376" s="48" t="s">
        <v>41</v>
      </c>
      <c r="N1376" s="48" t="s">
        <v>167</v>
      </c>
      <c r="O1376" s="48" t="s">
        <v>167</v>
      </c>
      <c r="P1376" s="48"/>
      <c r="Q1376" s="48" t="s">
        <v>7</v>
      </c>
      <c r="R1376" s="48" t="s">
        <v>41</v>
      </c>
      <c r="S1376" s="48" t="s">
        <v>30</v>
      </c>
      <c r="T1376" s="55"/>
    </row>
    <row r="1377" spans="1:20" ht="15.95" customHeight="1" x14ac:dyDescent="0.2">
      <c r="A1377" s="34"/>
      <c r="B1377" s="25" t="s">
        <v>5</v>
      </c>
      <c r="C1377" s="2">
        <f>SUM(C1378:C1381)</f>
        <v>60060.060060000003</v>
      </c>
      <c r="D1377" s="1">
        <f>SUM(D1378:D1381)</f>
        <v>0</v>
      </c>
      <c r="E1377" s="1">
        <f t="shared" ref="E1377:F1377" si="335">SUM(E1378:E1381)</f>
        <v>0</v>
      </c>
      <c r="F1377" s="1">
        <f t="shared" si="335"/>
        <v>10010.01001</v>
      </c>
      <c r="G1377" s="1">
        <f>SUM(G1378:G1381)</f>
        <v>50050.050049999998</v>
      </c>
      <c r="H1377" s="1">
        <f>SUM(H1378:H1381)</f>
        <v>0</v>
      </c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55"/>
    </row>
    <row r="1378" spans="1:20" ht="15.95" customHeight="1" x14ac:dyDescent="0.2">
      <c r="A1378" s="34"/>
      <c r="B1378" s="25" t="s">
        <v>0</v>
      </c>
      <c r="C1378" s="2">
        <f>SUM(D1378:H1378)</f>
        <v>0</v>
      </c>
      <c r="D1378" s="1"/>
      <c r="E1378" s="1"/>
      <c r="F1378" s="1"/>
      <c r="G1378" s="1"/>
      <c r="H1378" s="1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55"/>
    </row>
    <row r="1379" spans="1:20" ht="15.95" customHeight="1" x14ac:dyDescent="0.2">
      <c r="A1379" s="34"/>
      <c r="B1379" s="25" t="s">
        <v>1</v>
      </c>
      <c r="C1379" s="2">
        <f>SUM(D1379:H1379)</f>
        <v>60000</v>
      </c>
      <c r="D1379" s="1"/>
      <c r="E1379" s="1"/>
      <c r="F1379" s="1">
        <v>10000</v>
      </c>
      <c r="G1379" s="1">
        <v>50000</v>
      </c>
      <c r="H1379" s="1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55"/>
    </row>
    <row r="1380" spans="1:20" ht="15.95" customHeight="1" x14ac:dyDescent="0.2">
      <c r="A1380" s="34"/>
      <c r="B1380" s="25" t="s">
        <v>2</v>
      </c>
      <c r="C1380" s="2">
        <f>SUM(D1380:H1380)</f>
        <v>60.06006</v>
      </c>
      <c r="D1380" s="1"/>
      <c r="E1380" s="1"/>
      <c r="F1380" s="1">
        <v>10.010009999999999</v>
      </c>
      <c r="G1380" s="1">
        <v>50.050049999999999</v>
      </c>
      <c r="H1380" s="1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55"/>
    </row>
    <row r="1381" spans="1:20" ht="15.95" customHeight="1" x14ac:dyDescent="0.2">
      <c r="A1381" s="34"/>
      <c r="B1381" s="25" t="s">
        <v>3</v>
      </c>
      <c r="C1381" s="2">
        <f>SUM(D1381:H1381)</f>
        <v>0</v>
      </c>
      <c r="D1381" s="1"/>
      <c r="E1381" s="1"/>
      <c r="F1381" s="1"/>
      <c r="G1381" s="1"/>
      <c r="H1381" s="1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55"/>
    </row>
    <row r="1382" spans="1:20" ht="15.95" customHeight="1" x14ac:dyDescent="0.2">
      <c r="A1382" s="34" t="s">
        <v>136</v>
      </c>
      <c r="B1382" s="78" t="s">
        <v>470</v>
      </c>
      <c r="C1382" s="78"/>
      <c r="D1382" s="78"/>
      <c r="E1382" s="78"/>
      <c r="F1382" s="78"/>
      <c r="G1382" s="78"/>
      <c r="H1382" s="78"/>
      <c r="I1382" s="78"/>
      <c r="J1382" s="78"/>
      <c r="K1382" s="78"/>
      <c r="L1382" s="78"/>
      <c r="M1382" s="78"/>
      <c r="N1382" s="78"/>
      <c r="O1382" s="78"/>
      <c r="P1382" s="78"/>
      <c r="Q1382" s="78"/>
      <c r="R1382" s="78"/>
      <c r="S1382" s="78"/>
      <c r="T1382" s="79"/>
    </row>
    <row r="1383" spans="1:20" ht="15.95" customHeight="1" x14ac:dyDescent="0.2">
      <c r="A1383" s="34"/>
      <c r="B1383" s="50" t="s">
        <v>39</v>
      </c>
      <c r="C1383" s="50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1"/>
    </row>
    <row r="1384" spans="1:20" ht="45" customHeight="1" x14ac:dyDescent="0.2">
      <c r="A1384" s="34"/>
      <c r="B1384" s="80" t="s">
        <v>168</v>
      </c>
      <c r="C1384" s="80"/>
      <c r="D1384" s="80"/>
      <c r="E1384" s="80"/>
      <c r="F1384" s="80"/>
      <c r="G1384" s="80"/>
      <c r="H1384" s="80"/>
      <c r="I1384" s="48" t="s">
        <v>42</v>
      </c>
      <c r="J1384" s="48" t="s">
        <v>28</v>
      </c>
      <c r="K1384" s="48" t="s">
        <v>40</v>
      </c>
      <c r="L1384" s="48"/>
      <c r="M1384" s="48" t="s">
        <v>36</v>
      </c>
      <c r="N1384" s="48" t="s">
        <v>147</v>
      </c>
      <c r="O1384" s="48" t="s">
        <v>147</v>
      </c>
      <c r="P1384" s="48"/>
      <c r="Q1384" s="48" t="s">
        <v>7</v>
      </c>
      <c r="R1384" s="48" t="s">
        <v>36</v>
      </c>
      <c r="S1384" s="48" t="s">
        <v>24</v>
      </c>
      <c r="T1384" s="55"/>
    </row>
    <row r="1385" spans="1:20" ht="15.95" customHeight="1" x14ac:dyDescent="0.2">
      <c r="A1385" s="34"/>
      <c r="B1385" s="25" t="s">
        <v>5</v>
      </c>
      <c r="C1385" s="2">
        <f t="shared" ref="C1385:H1385" si="336">SUM(C1386:C1389)</f>
        <v>50050.050049999998</v>
      </c>
      <c r="D1385" s="1">
        <f t="shared" si="336"/>
        <v>0</v>
      </c>
      <c r="E1385" s="1">
        <f t="shared" si="336"/>
        <v>0</v>
      </c>
      <c r="F1385" s="1">
        <f t="shared" si="336"/>
        <v>50050.050049999998</v>
      </c>
      <c r="G1385" s="1">
        <f t="shared" si="336"/>
        <v>0</v>
      </c>
      <c r="H1385" s="1">
        <f t="shared" si="336"/>
        <v>0</v>
      </c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55"/>
    </row>
    <row r="1386" spans="1:20" ht="15.95" customHeight="1" x14ac:dyDescent="0.2">
      <c r="A1386" s="34"/>
      <c r="B1386" s="25" t="s">
        <v>0</v>
      </c>
      <c r="C1386" s="2">
        <f>SUM(D1386:H1386)</f>
        <v>0</v>
      </c>
      <c r="D1386" s="1"/>
      <c r="E1386" s="1"/>
      <c r="F1386" s="1"/>
      <c r="G1386" s="1"/>
      <c r="H1386" s="1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55"/>
    </row>
    <row r="1387" spans="1:20" ht="15.95" customHeight="1" x14ac:dyDescent="0.2">
      <c r="A1387" s="34"/>
      <c r="B1387" s="25" t="s">
        <v>1</v>
      </c>
      <c r="C1387" s="2">
        <f>SUM(D1387:H1387)</f>
        <v>50000</v>
      </c>
      <c r="D1387" s="1"/>
      <c r="E1387" s="1"/>
      <c r="F1387" s="1">
        <v>50000</v>
      </c>
      <c r="G1387" s="1"/>
      <c r="H1387" s="1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55"/>
    </row>
    <row r="1388" spans="1:20" ht="15.95" customHeight="1" x14ac:dyDescent="0.2">
      <c r="A1388" s="34"/>
      <c r="B1388" s="25" t="s">
        <v>2</v>
      </c>
      <c r="C1388" s="2">
        <f>SUM(D1388:H1388)</f>
        <v>50.050049999999999</v>
      </c>
      <c r="D1388" s="1"/>
      <c r="E1388" s="1"/>
      <c r="F1388" s="1">
        <v>50.050049999999999</v>
      </c>
      <c r="G1388" s="1"/>
      <c r="H1388" s="1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55"/>
    </row>
    <row r="1389" spans="1:20" ht="15.95" customHeight="1" x14ac:dyDescent="0.2">
      <c r="A1389" s="34"/>
      <c r="B1389" s="25" t="s">
        <v>3</v>
      </c>
      <c r="C1389" s="2">
        <f>SUM(D1389:H1389)</f>
        <v>0</v>
      </c>
      <c r="D1389" s="1"/>
      <c r="E1389" s="1"/>
      <c r="F1389" s="1"/>
      <c r="G1389" s="1"/>
      <c r="H1389" s="1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55"/>
    </row>
    <row r="1390" spans="1:20" ht="15.95" customHeight="1" x14ac:dyDescent="0.2">
      <c r="A1390" s="75" t="s">
        <v>648</v>
      </c>
      <c r="B1390" s="78" t="s">
        <v>470</v>
      </c>
      <c r="C1390" s="78"/>
      <c r="D1390" s="78"/>
      <c r="E1390" s="78"/>
      <c r="F1390" s="78"/>
      <c r="G1390" s="78"/>
      <c r="H1390" s="78"/>
      <c r="I1390" s="78"/>
      <c r="J1390" s="78"/>
      <c r="K1390" s="78"/>
      <c r="L1390" s="78"/>
      <c r="M1390" s="78"/>
      <c r="N1390" s="78"/>
      <c r="O1390" s="78"/>
      <c r="P1390" s="78"/>
      <c r="Q1390" s="78"/>
      <c r="R1390" s="78"/>
      <c r="S1390" s="78"/>
      <c r="T1390" s="79"/>
    </row>
    <row r="1391" spans="1:20" ht="15.95" customHeight="1" x14ac:dyDescent="0.2">
      <c r="A1391" s="76"/>
      <c r="B1391" s="50" t="s">
        <v>39</v>
      </c>
      <c r="C1391" s="50"/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1"/>
    </row>
    <row r="1392" spans="1:20" ht="50.1" customHeight="1" x14ac:dyDescent="0.2">
      <c r="A1392" s="76"/>
      <c r="B1392" s="80" t="s">
        <v>775</v>
      </c>
      <c r="C1392" s="80"/>
      <c r="D1392" s="80"/>
      <c r="E1392" s="80"/>
      <c r="F1392" s="80"/>
      <c r="G1392" s="80"/>
      <c r="H1392" s="80"/>
      <c r="I1392" s="48" t="s">
        <v>42</v>
      </c>
      <c r="J1392" s="48" t="s">
        <v>23</v>
      </c>
      <c r="K1392" s="123" t="s">
        <v>726</v>
      </c>
      <c r="L1392" s="48"/>
      <c r="M1392" s="48" t="s">
        <v>649</v>
      </c>
      <c r="N1392" s="48" t="s">
        <v>649</v>
      </c>
      <c r="O1392" s="48" t="s">
        <v>649</v>
      </c>
      <c r="P1392" s="48"/>
      <c r="Q1392" s="48" t="s">
        <v>29</v>
      </c>
      <c r="R1392" s="48" t="s">
        <v>33</v>
      </c>
      <c r="S1392" s="48" t="s">
        <v>24</v>
      </c>
      <c r="T1392" s="55"/>
    </row>
    <row r="1393" spans="1:20" ht="15.95" customHeight="1" x14ac:dyDescent="0.2">
      <c r="A1393" s="76"/>
      <c r="B1393" s="25" t="s">
        <v>5</v>
      </c>
      <c r="C1393" s="2">
        <f t="shared" ref="C1393:H1393" si="337">SUM(C1394:C1397)</f>
        <v>90000</v>
      </c>
      <c r="D1393" s="1">
        <f t="shared" si="337"/>
        <v>40000</v>
      </c>
      <c r="E1393" s="1">
        <f t="shared" si="337"/>
        <v>50000</v>
      </c>
      <c r="F1393" s="1">
        <f t="shared" si="337"/>
        <v>0</v>
      </c>
      <c r="G1393" s="1">
        <f t="shared" si="337"/>
        <v>0</v>
      </c>
      <c r="H1393" s="1">
        <f t="shared" si="337"/>
        <v>0</v>
      </c>
      <c r="I1393" s="48"/>
      <c r="J1393" s="48"/>
      <c r="K1393" s="123"/>
      <c r="L1393" s="48"/>
      <c r="M1393" s="48"/>
      <c r="N1393" s="48"/>
      <c r="O1393" s="48"/>
      <c r="P1393" s="48"/>
      <c r="Q1393" s="48"/>
      <c r="R1393" s="48"/>
      <c r="S1393" s="48"/>
      <c r="T1393" s="55"/>
    </row>
    <row r="1394" spans="1:20" ht="15.95" customHeight="1" x14ac:dyDescent="0.2">
      <c r="A1394" s="76"/>
      <c r="B1394" s="25" t="s">
        <v>0</v>
      </c>
      <c r="C1394" s="2">
        <f>SUM(D1394:H1394)</f>
        <v>0</v>
      </c>
      <c r="D1394" s="1"/>
      <c r="E1394" s="1"/>
      <c r="F1394" s="1"/>
      <c r="G1394" s="1"/>
      <c r="H1394" s="1"/>
      <c r="I1394" s="48"/>
      <c r="J1394" s="48"/>
      <c r="K1394" s="123"/>
      <c r="L1394" s="48"/>
      <c r="M1394" s="48"/>
      <c r="N1394" s="48"/>
      <c r="O1394" s="48"/>
      <c r="P1394" s="48"/>
      <c r="Q1394" s="48"/>
      <c r="R1394" s="48"/>
      <c r="S1394" s="48"/>
      <c r="T1394" s="55"/>
    </row>
    <row r="1395" spans="1:20" ht="15.95" customHeight="1" x14ac:dyDescent="0.2">
      <c r="A1395" s="76"/>
      <c r="B1395" s="25" t="s">
        <v>1</v>
      </c>
      <c r="C1395" s="2">
        <f>SUM(D1395:H1395)</f>
        <v>90000</v>
      </c>
      <c r="D1395" s="1">
        <v>40000</v>
      </c>
      <c r="E1395" s="1">
        <v>50000</v>
      </c>
      <c r="F1395" s="1"/>
      <c r="G1395" s="1"/>
      <c r="H1395" s="1"/>
      <c r="I1395" s="48"/>
      <c r="J1395" s="48"/>
      <c r="K1395" s="123"/>
      <c r="L1395" s="48"/>
      <c r="M1395" s="48"/>
      <c r="N1395" s="48"/>
      <c r="O1395" s="48"/>
      <c r="P1395" s="48"/>
      <c r="Q1395" s="48"/>
      <c r="R1395" s="48"/>
      <c r="S1395" s="48"/>
      <c r="T1395" s="55"/>
    </row>
    <row r="1396" spans="1:20" ht="15.95" customHeight="1" x14ac:dyDescent="0.2">
      <c r="A1396" s="76"/>
      <c r="B1396" s="25" t="s">
        <v>2</v>
      </c>
      <c r="C1396" s="2">
        <f>SUM(D1396:H1396)</f>
        <v>0</v>
      </c>
      <c r="D1396" s="1"/>
      <c r="E1396" s="1"/>
      <c r="F1396" s="1"/>
      <c r="G1396" s="1"/>
      <c r="H1396" s="1"/>
      <c r="I1396" s="48"/>
      <c r="J1396" s="48"/>
      <c r="K1396" s="123"/>
      <c r="L1396" s="48"/>
      <c r="M1396" s="48"/>
      <c r="N1396" s="48"/>
      <c r="O1396" s="48"/>
      <c r="P1396" s="48"/>
      <c r="Q1396" s="48"/>
      <c r="R1396" s="48"/>
      <c r="S1396" s="48"/>
      <c r="T1396" s="55"/>
    </row>
    <row r="1397" spans="1:20" ht="15.95" customHeight="1" x14ac:dyDescent="0.2">
      <c r="A1397" s="77"/>
      <c r="B1397" s="25" t="s">
        <v>3</v>
      </c>
      <c r="C1397" s="2">
        <f>SUM(D1397:H1397)</f>
        <v>0</v>
      </c>
      <c r="D1397" s="1"/>
      <c r="E1397" s="1"/>
      <c r="F1397" s="1"/>
      <c r="G1397" s="1"/>
      <c r="H1397" s="1"/>
      <c r="I1397" s="48"/>
      <c r="J1397" s="48"/>
      <c r="K1397" s="123"/>
      <c r="L1397" s="48"/>
      <c r="M1397" s="48"/>
      <c r="N1397" s="48"/>
      <c r="O1397" s="48"/>
      <c r="P1397" s="48"/>
      <c r="Q1397" s="48"/>
      <c r="R1397" s="48"/>
      <c r="S1397" s="48"/>
      <c r="T1397" s="55"/>
    </row>
    <row r="1398" spans="1:20" ht="15.95" customHeight="1" x14ac:dyDescent="0.2">
      <c r="A1398" s="75" t="s">
        <v>825</v>
      </c>
      <c r="B1398" s="78" t="s">
        <v>470</v>
      </c>
      <c r="C1398" s="78"/>
      <c r="D1398" s="78"/>
      <c r="E1398" s="78"/>
      <c r="F1398" s="78"/>
      <c r="G1398" s="78"/>
      <c r="H1398" s="78"/>
      <c r="I1398" s="78"/>
      <c r="J1398" s="78"/>
      <c r="K1398" s="78"/>
      <c r="L1398" s="78"/>
      <c r="M1398" s="78"/>
      <c r="N1398" s="78"/>
      <c r="O1398" s="78"/>
      <c r="P1398" s="78"/>
      <c r="Q1398" s="78"/>
      <c r="R1398" s="78"/>
      <c r="S1398" s="78"/>
      <c r="T1398" s="79"/>
    </row>
    <row r="1399" spans="1:20" ht="15.95" customHeight="1" x14ac:dyDescent="0.2">
      <c r="A1399" s="76"/>
      <c r="B1399" s="50" t="s">
        <v>39</v>
      </c>
      <c r="C1399" s="50"/>
      <c r="D1399" s="50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1"/>
    </row>
    <row r="1400" spans="1:20" ht="45" customHeight="1" x14ac:dyDescent="0.2">
      <c r="A1400" s="76"/>
      <c r="B1400" s="80" t="s">
        <v>826</v>
      </c>
      <c r="C1400" s="80"/>
      <c r="D1400" s="80"/>
      <c r="E1400" s="80"/>
      <c r="F1400" s="80"/>
      <c r="G1400" s="80"/>
      <c r="H1400" s="80"/>
      <c r="I1400" s="48">
        <v>2025</v>
      </c>
      <c r="J1400" s="48" t="s">
        <v>23</v>
      </c>
      <c r="K1400" s="48" t="s">
        <v>10</v>
      </c>
      <c r="L1400" s="48"/>
      <c r="M1400" s="48" t="s">
        <v>46</v>
      </c>
      <c r="N1400" s="48" t="s">
        <v>46</v>
      </c>
      <c r="O1400" s="48" t="s">
        <v>46</v>
      </c>
      <c r="P1400" s="48"/>
      <c r="Q1400" s="48" t="s">
        <v>7</v>
      </c>
      <c r="R1400" s="48" t="s">
        <v>827</v>
      </c>
      <c r="S1400" s="48" t="s">
        <v>24</v>
      </c>
      <c r="T1400" s="55"/>
    </row>
    <row r="1401" spans="1:20" ht="15.95" customHeight="1" x14ac:dyDescent="0.2">
      <c r="A1401" s="76"/>
      <c r="B1401" s="25" t="s">
        <v>5</v>
      </c>
      <c r="C1401" s="2">
        <f>SUM(C1402:C1405)</f>
        <v>620</v>
      </c>
      <c r="D1401" s="2">
        <f t="shared" ref="D1401:H1401" si="338">SUM(D1402:D1405)</f>
        <v>620</v>
      </c>
      <c r="E1401" s="2">
        <f t="shared" si="338"/>
        <v>0</v>
      </c>
      <c r="F1401" s="2">
        <f t="shared" si="338"/>
        <v>0</v>
      </c>
      <c r="G1401" s="2">
        <f t="shared" si="338"/>
        <v>0</v>
      </c>
      <c r="H1401" s="2">
        <f t="shared" si="338"/>
        <v>0</v>
      </c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55"/>
    </row>
    <row r="1402" spans="1:20" ht="15.95" customHeight="1" x14ac:dyDescent="0.2">
      <c r="A1402" s="76"/>
      <c r="B1402" s="25" t="s">
        <v>0</v>
      </c>
      <c r="C1402" s="2">
        <f>SUM(D1402:H1402)</f>
        <v>0</v>
      </c>
      <c r="D1402" s="1"/>
      <c r="E1402" s="1"/>
      <c r="F1402" s="1"/>
      <c r="G1402" s="1"/>
      <c r="H1402" s="1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55"/>
    </row>
    <row r="1403" spans="1:20" ht="15.95" customHeight="1" x14ac:dyDescent="0.2">
      <c r="A1403" s="76"/>
      <c r="B1403" s="25" t="s">
        <v>1</v>
      </c>
      <c r="C1403" s="2">
        <f t="shared" ref="C1403:C1405" si="339">SUM(D1403:H1403)</f>
        <v>620</v>
      </c>
      <c r="D1403" s="1">
        <f>0+620</f>
        <v>620</v>
      </c>
      <c r="E1403" s="1"/>
      <c r="F1403" s="1"/>
      <c r="G1403" s="1"/>
      <c r="H1403" s="1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55"/>
    </row>
    <row r="1404" spans="1:20" ht="15.95" customHeight="1" x14ac:dyDescent="0.2">
      <c r="A1404" s="76"/>
      <c r="B1404" s="25" t="s">
        <v>2</v>
      </c>
      <c r="C1404" s="2">
        <f t="shared" si="339"/>
        <v>0</v>
      </c>
      <c r="D1404" s="1"/>
      <c r="E1404" s="1"/>
      <c r="F1404" s="1"/>
      <c r="G1404" s="1"/>
      <c r="H1404" s="1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55"/>
    </row>
    <row r="1405" spans="1:20" ht="15.95" customHeight="1" x14ac:dyDescent="0.2">
      <c r="A1405" s="77"/>
      <c r="B1405" s="25" t="s">
        <v>3</v>
      </c>
      <c r="C1405" s="2">
        <f t="shared" si="339"/>
        <v>0</v>
      </c>
      <c r="D1405" s="1"/>
      <c r="E1405" s="1"/>
      <c r="F1405" s="1"/>
      <c r="G1405" s="1"/>
      <c r="H1405" s="1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55"/>
    </row>
    <row r="1406" spans="1:20" ht="15.95" customHeight="1" x14ac:dyDescent="0.2">
      <c r="A1406" s="34" t="s">
        <v>74</v>
      </c>
      <c r="B1406" s="50" t="s">
        <v>189</v>
      </c>
      <c r="C1406" s="50"/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1"/>
    </row>
    <row r="1407" spans="1:20" ht="15.95" customHeight="1" x14ac:dyDescent="0.2">
      <c r="A1407" s="34"/>
      <c r="B1407" s="31" t="s">
        <v>5</v>
      </c>
      <c r="C1407" s="3">
        <f>SUM(C1408:C1411)</f>
        <v>282238.03999999998</v>
      </c>
      <c r="D1407" s="3">
        <f>SUM(D1408:D1411)</f>
        <v>145844.9</v>
      </c>
      <c r="E1407" s="3">
        <f t="shared" ref="E1407:H1407" si="340">SUM(E1408:E1411)</f>
        <v>0</v>
      </c>
      <c r="F1407" s="3">
        <f t="shared" ref="F1407" si="341">SUM(F1408:F1411)</f>
        <v>136393.13999999998</v>
      </c>
      <c r="G1407" s="3">
        <f t="shared" si="340"/>
        <v>0</v>
      </c>
      <c r="H1407" s="3">
        <f t="shared" si="340"/>
        <v>0</v>
      </c>
      <c r="I1407" s="117"/>
      <c r="J1407" s="117"/>
      <c r="K1407" s="117"/>
      <c r="L1407" s="117"/>
      <c r="M1407" s="117"/>
      <c r="N1407" s="117"/>
      <c r="O1407" s="117"/>
      <c r="P1407" s="117"/>
      <c r="Q1407" s="117"/>
      <c r="R1407" s="117"/>
      <c r="S1407" s="117"/>
      <c r="T1407" s="118"/>
    </row>
    <row r="1408" spans="1:20" ht="15.95" customHeight="1" x14ac:dyDescent="0.2">
      <c r="A1408" s="34"/>
      <c r="B1408" s="31" t="s">
        <v>0</v>
      </c>
      <c r="C1408" s="3">
        <f>D1408+E1408+F1408+H1408+G1408</f>
        <v>137167.1</v>
      </c>
      <c r="D1408" s="3">
        <f>D1416+D1424+D1432+D1440+D1448</f>
        <v>137167.1</v>
      </c>
      <c r="E1408" s="3">
        <f t="shared" ref="E1408:H1408" si="342">E1416+E1424+E1432+E1440+E1448</f>
        <v>0</v>
      </c>
      <c r="F1408" s="3">
        <f t="shared" si="342"/>
        <v>0</v>
      </c>
      <c r="G1408" s="3">
        <f t="shared" si="342"/>
        <v>0</v>
      </c>
      <c r="H1408" s="3">
        <f t="shared" si="342"/>
        <v>0</v>
      </c>
      <c r="I1408" s="117"/>
      <c r="J1408" s="117"/>
      <c r="K1408" s="117"/>
      <c r="L1408" s="117"/>
      <c r="M1408" s="117"/>
      <c r="N1408" s="117"/>
      <c r="O1408" s="117"/>
      <c r="P1408" s="117"/>
      <c r="Q1408" s="117"/>
      <c r="R1408" s="117"/>
      <c r="S1408" s="117"/>
      <c r="T1408" s="118"/>
    </row>
    <row r="1409" spans="1:20" ht="15.95" customHeight="1" x14ac:dyDescent="0.2">
      <c r="A1409" s="34"/>
      <c r="B1409" s="31" t="s">
        <v>1</v>
      </c>
      <c r="C1409" s="3">
        <f>D1409+E1409+F1409+H1409+G1409</f>
        <v>133802.64499999999</v>
      </c>
      <c r="D1409" s="3">
        <f t="shared" ref="D1409:H1411" si="343">D1417+D1425+D1433+D1441+D1449</f>
        <v>1385.56</v>
      </c>
      <c r="E1409" s="3">
        <f t="shared" si="343"/>
        <v>0</v>
      </c>
      <c r="F1409" s="3">
        <f t="shared" si="343"/>
        <v>132417.08499999999</v>
      </c>
      <c r="G1409" s="3">
        <f t="shared" si="343"/>
        <v>0</v>
      </c>
      <c r="H1409" s="3">
        <f t="shared" si="343"/>
        <v>0</v>
      </c>
      <c r="I1409" s="117"/>
      <c r="J1409" s="117"/>
      <c r="K1409" s="117"/>
      <c r="L1409" s="117"/>
      <c r="M1409" s="117"/>
      <c r="N1409" s="117"/>
      <c r="O1409" s="117"/>
      <c r="P1409" s="117"/>
      <c r="Q1409" s="117"/>
      <c r="R1409" s="117"/>
      <c r="S1409" s="117"/>
      <c r="T1409" s="118"/>
    </row>
    <row r="1410" spans="1:20" ht="15.95" customHeight="1" x14ac:dyDescent="0.2">
      <c r="A1410" s="34"/>
      <c r="B1410" s="31" t="s">
        <v>2</v>
      </c>
      <c r="C1410" s="3">
        <f>D1410+E1410+F1410+H1410+G1410</f>
        <v>11268.295</v>
      </c>
      <c r="D1410" s="3">
        <f t="shared" si="343"/>
        <v>7292.24</v>
      </c>
      <c r="E1410" s="3">
        <f t="shared" si="343"/>
        <v>0</v>
      </c>
      <c r="F1410" s="3">
        <f t="shared" si="343"/>
        <v>3976.0550000000003</v>
      </c>
      <c r="G1410" s="3">
        <f t="shared" si="343"/>
        <v>0</v>
      </c>
      <c r="H1410" s="3">
        <f t="shared" si="343"/>
        <v>0</v>
      </c>
      <c r="I1410" s="117"/>
      <c r="J1410" s="117"/>
      <c r="K1410" s="117"/>
      <c r="L1410" s="117"/>
      <c r="M1410" s="117"/>
      <c r="N1410" s="117"/>
      <c r="O1410" s="117"/>
      <c r="P1410" s="117"/>
      <c r="Q1410" s="117"/>
      <c r="R1410" s="117"/>
      <c r="S1410" s="117"/>
      <c r="T1410" s="118"/>
    </row>
    <row r="1411" spans="1:20" ht="15.95" customHeight="1" x14ac:dyDescent="0.2">
      <c r="A1411" s="34"/>
      <c r="B1411" s="31" t="s">
        <v>3</v>
      </c>
      <c r="C1411" s="3">
        <f>D1411+E1411+F1411+H1411+G1411</f>
        <v>0</v>
      </c>
      <c r="D1411" s="3">
        <f t="shared" si="343"/>
        <v>0</v>
      </c>
      <c r="E1411" s="3">
        <f t="shared" si="343"/>
        <v>0</v>
      </c>
      <c r="F1411" s="3">
        <f t="shared" si="343"/>
        <v>0</v>
      </c>
      <c r="G1411" s="3">
        <f t="shared" si="343"/>
        <v>0</v>
      </c>
      <c r="H1411" s="3">
        <f t="shared" si="343"/>
        <v>0</v>
      </c>
      <c r="I1411" s="117"/>
      <c r="J1411" s="117"/>
      <c r="K1411" s="117"/>
      <c r="L1411" s="117"/>
      <c r="M1411" s="117"/>
      <c r="N1411" s="117"/>
      <c r="O1411" s="117"/>
      <c r="P1411" s="117"/>
      <c r="Q1411" s="117"/>
      <c r="R1411" s="117"/>
      <c r="S1411" s="117"/>
      <c r="T1411" s="118"/>
    </row>
    <row r="1412" spans="1:20" ht="15.95" customHeight="1" x14ac:dyDescent="0.2">
      <c r="A1412" s="34" t="s">
        <v>137</v>
      </c>
      <c r="B1412" s="78" t="s">
        <v>162</v>
      </c>
      <c r="C1412" s="78"/>
      <c r="D1412" s="78"/>
      <c r="E1412" s="78"/>
      <c r="F1412" s="78"/>
      <c r="G1412" s="78"/>
      <c r="H1412" s="78"/>
      <c r="I1412" s="78"/>
      <c r="J1412" s="78"/>
      <c r="K1412" s="78"/>
      <c r="L1412" s="78"/>
      <c r="M1412" s="78"/>
      <c r="N1412" s="78"/>
      <c r="O1412" s="78"/>
      <c r="P1412" s="78"/>
      <c r="Q1412" s="78"/>
      <c r="R1412" s="78"/>
      <c r="S1412" s="78"/>
      <c r="T1412" s="79"/>
    </row>
    <row r="1413" spans="1:20" ht="15.95" customHeight="1" x14ac:dyDescent="0.2">
      <c r="A1413" s="34"/>
      <c r="B1413" s="50" t="s">
        <v>180</v>
      </c>
      <c r="C1413" s="50"/>
      <c r="D1413" s="50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1"/>
    </row>
    <row r="1414" spans="1:20" ht="39.950000000000003" customHeight="1" x14ac:dyDescent="0.2">
      <c r="A1414" s="34"/>
      <c r="B1414" s="78" t="s">
        <v>369</v>
      </c>
      <c r="C1414" s="78"/>
      <c r="D1414" s="78"/>
      <c r="E1414" s="78"/>
      <c r="F1414" s="78"/>
      <c r="G1414" s="78"/>
      <c r="H1414" s="78"/>
      <c r="I1414" s="48" t="s">
        <v>22</v>
      </c>
      <c r="J1414" s="39"/>
      <c r="K1414" s="48" t="s">
        <v>10</v>
      </c>
      <c r="L1414" s="48" t="s">
        <v>106</v>
      </c>
      <c r="M1414" s="48" t="s">
        <v>397</v>
      </c>
      <c r="N1414" s="48" t="s">
        <v>47</v>
      </c>
      <c r="O1414" s="48" t="s">
        <v>47</v>
      </c>
      <c r="P1414" s="38" t="s">
        <v>396</v>
      </c>
      <c r="Q1414" s="48" t="s">
        <v>7</v>
      </c>
      <c r="R1414" s="48" t="s">
        <v>534</v>
      </c>
      <c r="S1414" s="48" t="s">
        <v>31</v>
      </c>
      <c r="T1414" s="55" t="s">
        <v>395</v>
      </c>
    </row>
    <row r="1415" spans="1:20" ht="15.95" customHeight="1" x14ac:dyDescent="0.2">
      <c r="A1415" s="34"/>
      <c r="B1415" s="25" t="s">
        <v>5</v>
      </c>
      <c r="C1415" s="2">
        <f>D1415+E1415+F1415+G1415+H1415</f>
        <v>145844.9</v>
      </c>
      <c r="D1415" s="1">
        <f>D1416+D1417+D1418</f>
        <v>145844.9</v>
      </c>
      <c r="E1415" s="1">
        <f t="shared" ref="E1415:F1415" si="344">E1416+E1417+E1418</f>
        <v>0</v>
      </c>
      <c r="F1415" s="1">
        <f t="shared" si="344"/>
        <v>0</v>
      </c>
      <c r="G1415" s="1">
        <f t="shared" ref="G1415:H1415" si="345">G1416+G1417+G1418</f>
        <v>0</v>
      </c>
      <c r="H1415" s="1">
        <f t="shared" si="345"/>
        <v>0</v>
      </c>
      <c r="I1415" s="48"/>
      <c r="J1415" s="40"/>
      <c r="K1415" s="48"/>
      <c r="L1415" s="48"/>
      <c r="M1415" s="48"/>
      <c r="N1415" s="48"/>
      <c r="O1415" s="48"/>
      <c r="P1415" s="38"/>
      <c r="Q1415" s="48"/>
      <c r="R1415" s="48"/>
      <c r="S1415" s="48"/>
      <c r="T1415" s="55"/>
    </row>
    <row r="1416" spans="1:20" ht="15.95" customHeight="1" x14ac:dyDescent="0.2">
      <c r="A1416" s="34"/>
      <c r="B1416" s="25" t="s">
        <v>0</v>
      </c>
      <c r="C1416" s="2">
        <f>D1416+E1416+F1416+G1416+H1416</f>
        <v>137167.1</v>
      </c>
      <c r="D1416" s="1">
        <f>0+137167.1</f>
        <v>137167.1</v>
      </c>
      <c r="E1416" s="1"/>
      <c r="F1416" s="1"/>
      <c r="G1416" s="1"/>
      <c r="H1416" s="1"/>
      <c r="I1416" s="48"/>
      <c r="J1416" s="40"/>
      <c r="K1416" s="48"/>
      <c r="L1416" s="48"/>
      <c r="M1416" s="48"/>
      <c r="N1416" s="48"/>
      <c r="O1416" s="48"/>
      <c r="P1416" s="38"/>
      <c r="Q1416" s="48"/>
      <c r="R1416" s="48"/>
      <c r="S1416" s="48"/>
      <c r="T1416" s="55"/>
    </row>
    <row r="1417" spans="1:20" ht="15.95" customHeight="1" x14ac:dyDescent="0.2">
      <c r="A1417" s="34"/>
      <c r="B1417" s="25" t="s">
        <v>1</v>
      </c>
      <c r="C1417" s="2">
        <f>D1417+E1417+F1417+G1417+H1417</f>
        <v>1385.56</v>
      </c>
      <c r="D1417" s="1">
        <f>574.383+811.177</f>
        <v>1385.56</v>
      </c>
      <c r="E1417" s="1"/>
      <c r="F1417" s="1">
        <f>1173.1-1173.1</f>
        <v>0</v>
      </c>
      <c r="G1417" s="1"/>
      <c r="H1417" s="1"/>
      <c r="I1417" s="48"/>
      <c r="J1417" s="40"/>
      <c r="K1417" s="48"/>
      <c r="L1417" s="48"/>
      <c r="M1417" s="48"/>
      <c r="N1417" s="48"/>
      <c r="O1417" s="48"/>
      <c r="P1417" s="38"/>
      <c r="Q1417" s="48"/>
      <c r="R1417" s="48"/>
      <c r="S1417" s="48"/>
      <c r="T1417" s="55"/>
    </row>
    <row r="1418" spans="1:20" ht="15.95" customHeight="1" x14ac:dyDescent="0.2">
      <c r="A1418" s="34"/>
      <c r="B1418" s="25" t="s">
        <v>2</v>
      </c>
      <c r="C1418" s="2">
        <f>D1418+E1418+F1418+G1418+H1418</f>
        <v>7292.24</v>
      </c>
      <c r="D1418" s="1">
        <v>7292.24</v>
      </c>
      <c r="E1418" s="1"/>
      <c r="F1418" s="1"/>
      <c r="G1418" s="1"/>
      <c r="H1418" s="1"/>
      <c r="I1418" s="48"/>
      <c r="J1418" s="40"/>
      <c r="K1418" s="48"/>
      <c r="L1418" s="48"/>
      <c r="M1418" s="48"/>
      <c r="N1418" s="48"/>
      <c r="O1418" s="48"/>
      <c r="P1418" s="38"/>
      <c r="Q1418" s="48"/>
      <c r="R1418" s="48"/>
      <c r="S1418" s="48"/>
      <c r="T1418" s="55"/>
    </row>
    <row r="1419" spans="1:20" ht="15.95" customHeight="1" x14ac:dyDescent="0.2">
      <c r="A1419" s="34"/>
      <c r="B1419" s="25" t="s">
        <v>3</v>
      </c>
      <c r="C1419" s="2">
        <f>D1419+E1419+F1419+G1419+H1419</f>
        <v>0</v>
      </c>
      <c r="D1419" s="1">
        <v>0</v>
      </c>
      <c r="E1419" s="1"/>
      <c r="F1419" s="1"/>
      <c r="G1419" s="1"/>
      <c r="H1419" s="1"/>
      <c r="I1419" s="48"/>
      <c r="J1419" s="41"/>
      <c r="K1419" s="48"/>
      <c r="L1419" s="48"/>
      <c r="M1419" s="48"/>
      <c r="N1419" s="48"/>
      <c r="O1419" s="48"/>
      <c r="P1419" s="38"/>
      <c r="Q1419" s="48"/>
      <c r="R1419" s="48"/>
      <c r="S1419" s="48"/>
      <c r="T1419" s="55"/>
    </row>
    <row r="1420" spans="1:20" ht="15.95" customHeight="1" x14ac:dyDescent="0.2">
      <c r="A1420" s="34" t="s">
        <v>410</v>
      </c>
      <c r="B1420" s="78" t="s">
        <v>162</v>
      </c>
      <c r="C1420" s="78"/>
      <c r="D1420" s="78"/>
      <c r="E1420" s="78"/>
      <c r="F1420" s="78"/>
      <c r="G1420" s="78"/>
      <c r="H1420" s="78"/>
      <c r="I1420" s="78"/>
      <c r="J1420" s="78"/>
      <c r="K1420" s="78"/>
      <c r="L1420" s="78"/>
      <c r="M1420" s="78"/>
      <c r="N1420" s="78"/>
      <c r="O1420" s="78"/>
      <c r="P1420" s="78"/>
      <c r="Q1420" s="78"/>
      <c r="R1420" s="78"/>
      <c r="S1420" s="78"/>
      <c r="T1420" s="79"/>
    </row>
    <row r="1421" spans="1:20" ht="15.95" customHeight="1" x14ac:dyDescent="0.2">
      <c r="A1421" s="34"/>
      <c r="B1421" s="50" t="s">
        <v>180</v>
      </c>
      <c r="C1421" s="50"/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1"/>
    </row>
    <row r="1422" spans="1:20" ht="39.950000000000003" customHeight="1" x14ac:dyDescent="0.2">
      <c r="A1422" s="34"/>
      <c r="B1422" s="78" t="s">
        <v>822</v>
      </c>
      <c r="C1422" s="78"/>
      <c r="D1422" s="78"/>
      <c r="E1422" s="78"/>
      <c r="F1422" s="78"/>
      <c r="G1422" s="78"/>
      <c r="H1422" s="78"/>
      <c r="I1422" s="48" t="s">
        <v>28</v>
      </c>
      <c r="J1422" s="48" t="s">
        <v>289</v>
      </c>
      <c r="K1422" s="48" t="s">
        <v>10</v>
      </c>
      <c r="L1422" s="48" t="s">
        <v>420</v>
      </c>
      <c r="M1422" s="48" t="s">
        <v>421</v>
      </c>
      <c r="N1422" s="48" t="s">
        <v>422</v>
      </c>
      <c r="O1422" s="48" t="s">
        <v>422</v>
      </c>
      <c r="P1422" s="38" t="s">
        <v>423</v>
      </c>
      <c r="Q1422" s="48" t="s">
        <v>7</v>
      </c>
      <c r="R1422" s="48" t="s">
        <v>535</v>
      </c>
      <c r="S1422" s="48" t="s">
        <v>30</v>
      </c>
      <c r="T1422" s="55"/>
    </row>
    <row r="1423" spans="1:20" ht="15.95" customHeight="1" x14ac:dyDescent="0.2">
      <c r="A1423" s="34"/>
      <c r="B1423" s="25" t="s">
        <v>5</v>
      </c>
      <c r="C1423" s="2">
        <f>D1423+E1423+F1423+G1423+H1423</f>
        <v>3335.39</v>
      </c>
      <c r="D1423" s="1">
        <f>D1424+D1425+D1426</f>
        <v>0</v>
      </c>
      <c r="E1423" s="1">
        <f t="shared" ref="E1423:H1423" si="346">E1424+E1425+E1426</f>
        <v>0</v>
      </c>
      <c r="F1423" s="1">
        <f t="shared" si="346"/>
        <v>3335.39</v>
      </c>
      <c r="G1423" s="1">
        <f t="shared" si="346"/>
        <v>0</v>
      </c>
      <c r="H1423" s="1">
        <f t="shared" si="346"/>
        <v>0</v>
      </c>
      <c r="I1423" s="48"/>
      <c r="J1423" s="48"/>
      <c r="K1423" s="48"/>
      <c r="L1423" s="48"/>
      <c r="M1423" s="48"/>
      <c r="N1423" s="48"/>
      <c r="O1423" s="48"/>
      <c r="P1423" s="38"/>
      <c r="Q1423" s="48"/>
      <c r="R1423" s="48"/>
      <c r="S1423" s="48"/>
      <c r="T1423" s="55"/>
    </row>
    <row r="1424" spans="1:20" ht="15.95" customHeight="1" x14ac:dyDescent="0.2">
      <c r="A1424" s="34"/>
      <c r="B1424" s="25" t="s">
        <v>0</v>
      </c>
      <c r="C1424" s="2">
        <f>D1424+E1424+F1424+G1424+H1424</f>
        <v>0</v>
      </c>
      <c r="D1424" s="1"/>
      <c r="E1424" s="1"/>
      <c r="F1424" s="1"/>
      <c r="G1424" s="1"/>
      <c r="H1424" s="1"/>
      <c r="I1424" s="48"/>
      <c r="J1424" s="48"/>
      <c r="K1424" s="48"/>
      <c r="L1424" s="48"/>
      <c r="M1424" s="48"/>
      <c r="N1424" s="48"/>
      <c r="O1424" s="48"/>
      <c r="P1424" s="38"/>
      <c r="Q1424" s="48"/>
      <c r="R1424" s="48"/>
      <c r="S1424" s="48"/>
      <c r="T1424" s="55"/>
    </row>
    <row r="1425" spans="1:20" ht="15.95" customHeight="1" x14ac:dyDescent="0.2">
      <c r="A1425" s="34"/>
      <c r="B1425" s="25" t="s">
        <v>1</v>
      </c>
      <c r="C1425" s="2">
        <f>D1425+E1425+F1425+G1425+H1425</f>
        <v>1173.0999999999999</v>
      </c>
      <c r="D1425" s="1"/>
      <c r="E1425" s="1"/>
      <c r="F1425" s="1">
        <v>1173.0999999999999</v>
      </c>
      <c r="G1425" s="1"/>
      <c r="H1425" s="1"/>
      <c r="I1425" s="48"/>
      <c r="J1425" s="48"/>
      <c r="K1425" s="48"/>
      <c r="L1425" s="48"/>
      <c r="M1425" s="48"/>
      <c r="N1425" s="48"/>
      <c r="O1425" s="48"/>
      <c r="P1425" s="38"/>
      <c r="Q1425" s="48"/>
      <c r="R1425" s="48"/>
      <c r="S1425" s="48"/>
      <c r="T1425" s="55"/>
    </row>
    <row r="1426" spans="1:20" ht="15.95" customHeight="1" x14ac:dyDescent="0.2">
      <c r="A1426" s="34"/>
      <c r="B1426" s="25" t="s">
        <v>2</v>
      </c>
      <c r="C1426" s="2">
        <f>D1426+E1426+F1426+G1426+H1426</f>
        <v>2162.29</v>
      </c>
      <c r="D1426" s="1"/>
      <c r="E1426" s="1"/>
      <c r="F1426" s="1">
        <v>2162.29</v>
      </c>
      <c r="G1426" s="1"/>
      <c r="H1426" s="1"/>
      <c r="I1426" s="48"/>
      <c r="J1426" s="48"/>
      <c r="K1426" s="48"/>
      <c r="L1426" s="48"/>
      <c r="M1426" s="48"/>
      <c r="N1426" s="48"/>
      <c r="O1426" s="48"/>
      <c r="P1426" s="38"/>
      <c r="Q1426" s="48"/>
      <c r="R1426" s="48"/>
      <c r="S1426" s="48"/>
      <c r="T1426" s="55"/>
    </row>
    <row r="1427" spans="1:20" ht="15.95" customHeight="1" x14ac:dyDescent="0.2">
      <c r="A1427" s="34"/>
      <c r="B1427" s="25" t="s">
        <v>3</v>
      </c>
      <c r="C1427" s="2">
        <f>D1427+E1427+F1427+G1427+H1427</f>
        <v>0</v>
      </c>
      <c r="D1427" s="1"/>
      <c r="E1427" s="1"/>
      <c r="F1427" s="1"/>
      <c r="G1427" s="1"/>
      <c r="H1427" s="1"/>
      <c r="I1427" s="48"/>
      <c r="J1427" s="48"/>
      <c r="K1427" s="48"/>
      <c r="L1427" s="48"/>
      <c r="M1427" s="48"/>
      <c r="N1427" s="48"/>
      <c r="O1427" s="48"/>
      <c r="P1427" s="38"/>
      <c r="Q1427" s="48"/>
      <c r="R1427" s="48"/>
      <c r="S1427" s="48"/>
      <c r="T1427" s="55"/>
    </row>
    <row r="1428" spans="1:20" ht="15.95" customHeight="1" x14ac:dyDescent="0.2">
      <c r="A1428" s="34" t="s">
        <v>411</v>
      </c>
      <c r="B1428" s="78" t="s">
        <v>162</v>
      </c>
      <c r="C1428" s="78"/>
      <c r="D1428" s="78"/>
      <c r="E1428" s="78"/>
      <c r="F1428" s="78"/>
      <c r="G1428" s="78"/>
      <c r="H1428" s="78"/>
      <c r="I1428" s="78"/>
      <c r="J1428" s="78"/>
      <c r="K1428" s="78"/>
      <c r="L1428" s="78"/>
      <c r="M1428" s="78"/>
      <c r="N1428" s="78"/>
      <c r="O1428" s="78"/>
      <c r="P1428" s="78"/>
      <c r="Q1428" s="78"/>
      <c r="R1428" s="78"/>
      <c r="S1428" s="78"/>
      <c r="T1428" s="79"/>
    </row>
    <row r="1429" spans="1:20" ht="15.95" customHeight="1" x14ac:dyDescent="0.2">
      <c r="A1429" s="34"/>
      <c r="B1429" s="50" t="s">
        <v>823</v>
      </c>
      <c r="C1429" s="50"/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1"/>
    </row>
    <row r="1430" spans="1:20" ht="39.950000000000003" customHeight="1" x14ac:dyDescent="0.2">
      <c r="A1430" s="34"/>
      <c r="B1430" s="121" t="s">
        <v>466</v>
      </c>
      <c r="C1430" s="121"/>
      <c r="D1430" s="121"/>
      <c r="E1430" s="121"/>
      <c r="F1430" s="121"/>
      <c r="G1430" s="121"/>
      <c r="H1430" s="121"/>
      <c r="I1430" s="48" t="s">
        <v>42</v>
      </c>
      <c r="J1430" s="48" t="s">
        <v>289</v>
      </c>
      <c r="K1430" s="48" t="s">
        <v>10</v>
      </c>
      <c r="L1430" s="48" t="s">
        <v>292</v>
      </c>
      <c r="M1430" s="48" t="s">
        <v>50</v>
      </c>
      <c r="N1430" s="48" t="s">
        <v>295</v>
      </c>
      <c r="O1430" s="48" t="s">
        <v>295</v>
      </c>
      <c r="P1430" s="38" t="s">
        <v>398</v>
      </c>
      <c r="Q1430" s="48" t="s">
        <v>7</v>
      </c>
      <c r="R1430" s="48" t="s">
        <v>536</v>
      </c>
      <c r="S1430" s="48" t="s">
        <v>24</v>
      </c>
      <c r="T1430" s="55"/>
    </row>
    <row r="1431" spans="1:20" ht="15.95" customHeight="1" x14ac:dyDescent="0.2">
      <c r="A1431" s="34"/>
      <c r="B1431" s="25" t="s">
        <v>5</v>
      </c>
      <c r="C1431" s="3">
        <f>D1431+E1431+F1431+G1431+H1431</f>
        <v>5238.3500000000004</v>
      </c>
      <c r="D1431" s="3">
        <f>D1432+D1433+D1434</f>
        <v>0</v>
      </c>
      <c r="E1431" s="3">
        <f t="shared" ref="E1431:F1431" si="347">E1432+E1433+E1434</f>
        <v>0</v>
      </c>
      <c r="F1431" s="3">
        <f t="shared" si="347"/>
        <v>5238.3500000000004</v>
      </c>
      <c r="G1431" s="3">
        <f t="shared" ref="G1431:H1431" si="348">G1432+G1433+G1434</f>
        <v>0</v>
      </c>
      <c r="H1431" s="3">
        <f t="shared" si="348"/>
        <v>0</v>
      </c>
      <c r="I1431" s="48"/>
      <c r="J1431" s="48"/>
      <c r="K1431" s="48"/>
      <c r="L1431" s="48"/>
      <c r="M1431" s="48"/>
      <c r="N1431" s="48"/>
      <c r="O1431" s="48"/>
      <c r="P1431" s="38"/>
      <c r="Q1431" s="48"/>
      <c r="R1431" s="48"/>
      <c r="S1431" s="48"/>
      <c r="T1431" s="55"/>
    </row>
    <row r="1432" spans="1:20" ht="15.95" customHeight="1" x14ac:dyDescent="0.2">
      <c r="A1432" s="34"/>
      <c r="B1432" s="25" t="s">
        <v>0</v>
      </c>
      <c r="C1432" s="3">
        <f>D1432+E1432+F1432+G1432+H1432</f>
        <v>0</v>
      </c>
      <c r="D1432" s="3"/>
      <c r="E1432" s="3"/>
      <c r="F1432" s="3"/>
      <c r="G1432" s="3"/>
      <c r="H1432" s="3"/>
      <c r="I1432" s="48"/>
      <c r="J1432" s="48"/>
      <c r="K1432" s="48"/>
      <c r="L1432" s="48"/>
      <c r="M1432" s="48"/>
      <c r="N1432" s="48"/>
      <c r="O1432" s="48"/>
      <c r="P1432" s="38"/>
      <c r="Q1432" s="48"/>
      <c r="R1432" s="48"/>
      <c r="S1432" s="48"/>
      <c r="T1432" s="55"/>
    </row>
    <row r="1433" spans="1:20" ht="15.95" customHeight="1" x14ac:dyDescent="0.2">
      <c r="A1433" s="34"/>
      <c r="B1433" s="25" t="s">
        <v>1</v>
      </c>
      <c r="C1433" s="3">
        <f>D1433+E1433+F1433+G1433+H1433</f>
        <v>4714.5150000000003</v>
      </c>
      <c r="D1433" s="3"/>
      <c r="E1433" s="3"/>
      <c r="F1433" s="3">
        <v>4714.5150000000003</v>
      </c>
      <c r="G1433" s="3"/>
      <c r="H1433" s="3"/>
      <c r="I1433" s="48"/>
      <c r="J1433" s="48"/>
      <c r="K1433" s="48"/>
      <c r="L1433" s="48"/>
      <c r="M1433" s="48"/>
      <c r="N1433" s="48"/>
      <c r="O1433" s="48"/>
      <c r="P1433" s="38"/>
      <c r="Q1433" s="48"/>
      <c r="R1433" s="48"/>
      <c r="S1433" s="48"/>
      <c r="T1433" s="55"/>
    </row>
    <row r="1434" spans="1:20" ht="15.95" customHeight="1" x14ac:dyDescent="0.2">
      <c r="A1434" s="34"/>
      <c r="B1434" s="25" t="s">
        <v>2</v>
      </c>
      <c r="C1434" s="3">
        <f>D1434+E1434+F1434+G1434+H1434</f>
        <v>523.83500000000004</v>
      </c>
      <c r="D1434" s="3"/>
      <c r="E1434" s="3"/>
      <c r="F1434" s="3">
        <v>523.83500000000004</v>
      </c>
      <c r="G1434" s="3"/>
      <c r="H1434" s="3"/>
      <c r="I1434" s="48"/>
      <c r="J1434" s="48"/>
      <c r="K1434" s="48"/>
      <c r="L1434" s="48"/>
      <c r="M1434" s="48"/>
      <c r="N1434" s="48"/>
      <c r="O1434" s="48"/>
      <c r="P1434" s="38"/>
      <c r="Q1434" s="48"/>
      <c r="R1434" s="48"/>
      <c r="S1434" s="48"/>
      <c r="T1434" s="55"/>
    </row>
    <row r="1435" spans="1:20" ht="15.95" customHeight="1" x14ac:dyDescent="0.2">
      <c r="A1435" s="34"/>
      <c r="B1435" s="25" t="s">
        <v>3</v>
      </c>
      <c r="C1435" s="3">
        <f>D1435+E1435+F1435+G1435+H1435</f>
        <v>0</v>
      </c>
      <c r="D1435" s="3"/>
      <c r="E1435" s="3"/>
      <c r="F1435" s="3"/>
      <c r="G1435" s="3"/>
      <c r="H1435" s="3"/>
      <c r="I1435" s="48"/>
      <c r="J1435" s="48"/>
      <c r="K1435" s="48"/>
      <c r="L1435" s="48"/>
      <c r="M1435" s="48"/>
      <c r="N1435" s="48"/>
      <c r="O1435" s="48"/>
      <c r="P1435" s="38"/>
      <c r="Q1435" s="48"/>
      <c r="R1435" s="48"/>
      <c r="S1435" s="48"/>
      <c r="T1435" s="55"/>
    </row>
    <row r="1436" spans="1:20" ht="15.95" customHeight="1" x14ac:dyDescent="0.2">
      <c r="A1436" s="34" t="s">
        <v>412</v>
      </c>
      <c r="B1436" s="78" t="s">
        <v>162</v>
      </c>
      <c r="C1436" s="78"/>
      <c r="D1436" s="78"/>
      <c r="E1436" s="78"/>
      <c r="F1436" s="78"/>
      <c r="G1436" s="78"/>
      <c r="H1436" s="78"/>
      <c r="I1436" s="78"/>
      <c r="J1436" s="78"/>
      <c r="K1436" s="78"/>
      <c r="L1436" s="78"/>
      <c r="M1436" s="78"/>
      <c r="N1436" s="78"/>
      <c r="O1436" s="78"/>
      <c r="P1436" s="78"/>
      <c r="Q1436" s="78"/>
      <c r="R1436" s="78"/>
      <c r="S1436" s="78"/>
      <c r="T1436" s="79"/>
    </row>
    <row r="1437" spans="1:20" ht="15.95" customHeight="1" x14ac:dyDescent="0.2">
      <c r="A1437" s="34"/>
      <c r="B1437" s="50" t="s">
        <v>823</v>
      </c>
      <c r="C1437" s="50"/>
      <c r="D1437" s="50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1"/>
    </row>
    <row r="1438" spans="1:20" ht="39.950000000000003" customHeight="1" x14ac:dyDescent="0.2">
      <c r="A1438" s="34"/>
      <c r="B1438" s="121" t="s">
        <v>290</v>
      </c>
      <c r="C1438" s="121"/>
      <c r="D1438" s="121"/>
      <c r="E1438" s="121"/>
      <c r="F1438" s="121"/>
      <c r="G1438" s="121"/>
      <c r="H1438" s="121"/>
      <c r="I1438" s="48" t="s">
        <v>42</v>
      </c>
      <c r="J1438" s="48"/>
      <c r="K1438" s="48" t="s">
        <v>10</v>
      </c>
      <c r="L1438" s="48" t="s">
        <v>293</v>
      </c>
      <c r="M1438" s="48" t="s">
        <v>437</v>
      </c>
      <c r="N1438" s="48" t="s">
        <v>469</v>
      </c>
      <c r="O1438" s="48" t="s">
        <v>469</v>
      </c>
      <c r="P1438" s="38" t="s">
        <v>399</v>
      </c>
      <c r="Q1438" s="48" t="s">
        <v>7</v>
      </c>
      <c r="R1438" s="48" t="s">
        <v>437</v>
      </c>
      <c r="S1438" s="48" t="s">
        <v>30</v>
      </c>
      <c r="T1438" s="55" t="s">
        <v>400</v>
      </c>
    </row>
    <row r="1439" spans="1:20" ht="15.95" customHeight="1" x14ac:dyDescent="0.2">
      <c r="A1439" s="34"/>
      <c r="B1439" s="25" t="s">
        <v>5</v>
      </c>
      <c r="C1439" s="3">
        <f>D1439+E1439+F1439+G1439+H1439</f>
        <v>20487.8</v>
      </c>
      <c r="D1439" s="3">
        <f>D1440+D1441+D1442</f>
        <v>0</v>
      </c>
      <c r="E1439" s="3">
        <f t="shared" ref="E1439:F1439" si="349">E1440+E1441+E1442</f>
        <v>0</v>
      </c>
      <c r="F1439" s="3">
        <f t="shared" si="349"/>
        <v>20487.8</v>
      </c>
      <c r="G1439" s="3">
        <f t="shared" ref="G1439:H1439" si="350">G1440+G1441+G1442</f>
        <v>0</v>
      </c>
      <c r="H1439" s="3">
        <f t="shared" si="350"/>
        <v>0</v>
      </c>
      <c r="I1439" s="48"/>
      <c r="J1439" s="48"/>
      <c r="K1439" s="48"/>
      <c r="L1439" s="48"/>
      <c r="M1439" s="48"/>
      <c r="N1439" s="48"/>
      <c r="O1439" s="48"/>
      <c r="P1439" s="38"/>
      <c r="Q1439" s="48"/>
      <c r="R1439" s="48"/>
      <c r="S1439" s="48"/>
      <c r="T1439" s="55"/>
    </row>
    <row r="1440" spans="1:20" ht="15.95" customHeight="1" x14ac:dyDescent="0.2">
      <c r="A1440" s="34"/>
      <c r="B1440" s="25" t="s">
        <v>0</v>
      </c>
      <c r="C1440" s="3">
        <f>D1440+E1440+F1440+G1440+H1440</f>
        <v>0</v>
      </c>
      <c r="D1440" s="3"/>
      <c r="E1440" s="3"/>
      <c r="F1440" s="3"/>
      <c r="G1440" s="3"/>
      <c r="H1440" s="3"/>
      <c r="I1440" s="48"/>
      <c r="J1440" s="48"/>
      <c r="K1440" s="48"/>
      <c r="L1440" s="48"/>
      <c r="M1440" s="48"/>
      <c r="N1440" s="48"/>
      <c r="O1440" s="48"/>
      <c r="P1440" s="38"/>
      <c r="Q1440" s="48"/>
      <c r="R1440" s="48"/>
      <c r="S1440" s="48"/>
      <c r="T1440" s="55"/>
    </row>
    <row r="1441" spans="1:20" ht="15.95" customHeight="1" x14ac:dyDescent="0.2">
      <c r="A1441" s="34"/>
      <c r="B1441" s="25" t="s">
        <v>1</v>
      </c>
      <c r="C1441" s="3">
        <f>D1441+E1441+F1441+G1441+H1441</f>
        <v>20282.919999999998</v>
      </c>
      <c r="D1441" s="3"/>
      <c r="E1441" s="3"/>
      <c r="F1441" s="3">
        <v>20282.919999999998</v>
      </c>
      <c r="G1441" s="3"/>
      <c r="H1441" s="3"/>
      <c r="I1441" s="48"/>
      <c r="J1441" s="48"/>
      <c r="K1441" s="48"/>
      <c r="L1441" s="48"/>
      <c r="M1441" s="48"/>
      <c r="N1441" s="48"/>
      <c r="O1441" s="48"/>
      <c r="P1441" s="38"/>
      <c r="Q1441" s="48"/>
      <c r="R1441" s="48"/>
      <c r="S1441" s="48"/>
      <c r="T1441" s="55"/>
    </row>
    <row r="1442" spans="1:20" ht="15.95" customHeight="1" x14ac:dyDescent="0.2">
      <c r="A1442" s="34"/>
      <c r="B1442" s="25" t="s">
        <v>2</v>
      </c>
      <c r="C1442" s="3">
        <f>D1442+E1442+F1442+G1442+H1442</f>
        <v>204.88</v>
      </c>
      <c r="D1442" s="3"/>
      <c r="E1442" s="3"/>
      <c r="F1442" s="3">
        <v>204.88</v>
      </c>
      <c r="G1442" s="3"/>
      <c r="H1442" s="3"/>
      <c r="I1442" s="48"/>
      <c r="J1442" s="48"/>
      <c r="K1442" s="48"/>
      <c r="L1442" s="48"/>
      <c r="M1442" s="48"/>
      <c r="N1442" s="48"/>
      <c r="O1442" s="48"/>
      <c r="P1442" s="38"/>
      <c r="Q1442" s="48"/>
      <c r="R1442" s="48"/>
      <c r="S1442" s="48"/>
      <c r="T1442" s="55"/>
    </row>
    <row r="1443" spans="1:20" ht="15.95" customHeight="1" x14ac:dyDescent="0.2">
      <c r="A1443" s="34"/>
      <c r="B1443" s="25" t="s">
        <v>3</v>
      </c>
      <c r="C1443" s="3">
        <v>0</v>
      </c>
      <c r="D1443" s="3"/>
      <c r="E1443" s="3"/>
      <c r="F1443" s="3"/>
      <c r="G1443" s="3"/>
      <c r="H1443" s="3"/>
      <c r="I1443" s="48"/>
      <c r="J1443" s="48"/>
      <c r="K1443" s="48"/>
      <c r="L1443" s="48"/>
      <c r="M1443" s="48"/>
      <c r="N1443" s="48"/>
      <c r="O1443" s="48"/>
      <c r="P1443" s="38"/>
      <c r="Q1443" s="48"/>
      <c r="R1443" s="48"/>
      <c r="S1443" s="48"/>
      <c r="T1443" s="55"/>
    </row>
    <row r="1444" spans="1:20" ht="15.95" customHeight="1" x14ac:dyDescent="0.2">
      <c r="A1444" s="34" t="s">
        <v>413</v>
      </c>
      <c r="B1444" s="78" t="s">
        <v>162</v>
      </c>
      <c r="C1444" s="78"/>
      <c r="D1444" s="78"/>
      <c r="E1444" s="78"/>
      <c r="F1444" s="78"/>
      <c r="G1444" s="78"/>
      <c r="H1444" s="78"/>
      <c r="I1444" s="78"/>
      <c r="J1444" s="78"/>
      <c r="K1444" s="78"/>
      <c r="L1444" s="78"/>
      <c r="M1444" s="78"/>
      <c r="N1444" s="78"/>
      <c r="O1444" s="78"/>
      <c r="P1444" s="78"/>
      <c r="Q1444" s="78"/>
      <c r="R1444" s="78"/>
      <c r="S1444" s="78"/>
      <c r="T1444" s="79"/>
    </row>
    <row r="1445" spans="1:20" ht="15.95" customHeight="1" x14ac:dyDescent="0.2">
      <c r="A1445" s="34"/>
      <c r="B1445" s="50" t="s">
        <v>823</v>
      </c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1"/>
    </row>
    <row r="1446" spans="1:20" ht="39.950000000000003" customHeight="1" x14ac:dyDescent="0.2">
      <c r="A1446" s="34"/>
      <c r="B1446" s="121" t="s">
        <v>291</v>
      </c>
      <c r="C1446" s="121"/>
      <c r="D1446" s="121"/>
      <c r="E1446" s="121"/>
      <c r="F1446" s="121"/>
      <c r="G1446" s="121"/>
      <c r="H1446" s="121"/>
      <c r="I1446" s="48" t="s">
        <v>28</v>
      </c>
      <c r="J1446" s="48"/>
      <c r="K1446" s="48" t="s">
        <v>10</v>
      </c>
      <c r="L1446" s="48" t="s">
        <v>294</v>
      </c>
      <c r="M1446" s="48" t="s">
        <v>437</v>
      </c>
      <c r="N1446" s="48" t="s">
        <v>469</v>
      </c>
      <c r="O1446" s="48" t="s">
        <v>469</v>
      </c>
      <c r="P1446" s="38" t="s">
        <v>402</v>
      </c>
      <c r="Q1446" s="48" t="s">
        <v>7</v>
      </c>
      <c r="R1446" s="48" t="s">
        <v>437</v>
      </c>
      <c r="S1446" s="48" t="s">
        <v>30</v>
      </c>
      <c r="T1446" s="55" t="s">
        <v>401</v>
      </c>
    </row>
    <row r="1447" spans="1:20" ht="15.95" customHeight="1" x14ac:dyDescent="0.2">
      <c r="A1447" s="34"/>
      <c r="B1447" s="25" t="s">
        <v>5</v>
      </c>
      <c r="C1447" s="3">
        <f>D1447+E1447+F1447+G1447+H1447</f>
        <v>107331.59999999999</v>
      </c>
      <c r="D1447" s="3">
        <f>D1448+D1449+D1450</f>
        <v>0</v>
      </c>
      <c r="E1447" s="3">
        <f t="shared" ref="E1447:F1447" si="351">E1448+E1449+E1450</f>
        <v>0</v>
      </c>
      <c r="F1447" s="3">
        <f t="shared" si="351"/>
        <v>107331.59999999999</v>
      </c>
      <c r="G1447" s="3">
        <f t="shared" ref="G1447:H1447" si="352">G1448+G1449+G1450</f>
        <v>0</v>
      </c>
      <c r="H1447" s="3">
        <f t="shared" si="352"/>
        <v>0</v>
      </c>
      <c r="I1447" s="48"/>
      <c r="J1447" s="48"/>
      <c r="K1447" s="48"/>
      <c r="L1447" s="48"/>
      <c r="M1447" s="48"/>
      <c r="N1447" s="48"/>
      <c r="O1447" s="48"/>
      <c r="P1447" s="38"/>
      <c r="Q1447" s="48"/>
      <c r="R1447" s="48"/>
      <c r="S1447" s="48"/>
      <c r="T1447" s="55"/>
    </row>
    <row r="1448" spans="1:20" ht="15.95" customHeight="1" x14ac:dyDescent="0.2">
      <c r="A1448" s="34"/>
      <c r="B1448" s="25" t="s">
        <v>0</v>
      </c>
      <c r="C1448" s="3">
        <f>D1448+E1448+F1448+G1448+H1448</f>
        <v>0</v>
      </c>
      <c r="D1448" s="3"/>
      <c r="E1448" s="3"/>
      <c r="F1448" s="3"/>
      <c r="G1448" s="3"/>
      <c r="H1448" s="3"/>
      <c r="I1448" s="48"/>
      <c r="J1448" s="48"/>
      <c r="K1448" s="48"/>
      <c r="L1448" s="48"/>
      <c r="M1448" s="48"/>
      <c r="N1448" s="48"/>
      <c r="O1448" s="48"/>
      <c r="P1448" s="38"/>
      <c r="Q1448" s="48"/>
      <c r="R1448" s="48"/>
      <c r="S1448" s="48"/>
      <c r="T1448" s="55"/>
    </row>
    <row r="1449" spans="1:20" ht="15.95" customHeight="1" x14ac:dyDescent="0.2">
      <c r="A1449" s="34"/>
      <c r="B1449" s="25" t="s">
        <v>1</v>
      </c>
      <c r="C1449" s="3">
        <f>D1449+E1449+F1449+G1449+H1449</f>
        <v>106246.54999999999</v>
      </c>
      <c r="D1449" s="3"/>
      <c r="E1449" s="3"/>
      <c r="F1449" s="3">
        <v>106246.54999999999</v>
      </c>
      <c r="G1449" s="3"/>
      <c r="H1449" s="3"/>
      <c r="I1449" s="48"/>
      <c r="J1449" s="48"/>
      <c r="K1449" s="48"/>
      <c r="L1449" s="48"/>
      <c r="M1449" s="48"/>
      <c r="N1449" s="48"/>
      <c r="O1449" s="48"/>
      <c r="P1449" s="38"/>
      <c r="Q1449" s="48"/>
      <c r="R1449" s="48"/>
      <c r="S1449" s="48"/>
      <c r="T1449" s="55"/>
    </row>
    <row r="1450" spans="1:20" ht="15.95" customHeight="1" x14ac:dyDescent="0.2">
      <c r="A1450" s="34"/>
      <c r="B1450" s="25" t="s">
        <v>2</v>
      </c>
      <c r="C1450" s="3">
        <f>D1450+E1450+F1450+G1450+H1450</f>
        <v>1085.05</v>
      </c>
      <c r="D1450" s="3"/>
      <c r="E1450" s="3"/>
      <c r="F1450" s="3">
        <v>1085.05</v>
      </c>
      <c r="G1450" s="3"/>
      <c r="H1450" s="3"/>
      <c r="I1450" s="48"/>
      <c r="J1450" s="48"/>
      <c r="K1450" s="48"/>
      <c r="L1450" s="48"/>
      <c r="M1450" s="48"/>
      <c r="N1450" s="48"/>
      <c r="O1450" s="48"/>
      <c r="P1450" s="38"/>
      <c r="Q1450" s="48"/>
      <c r="R1450" s="48"/>
      <c r="S1450" s="48"/>
      <c r="T1450" s="55"/>
    </row>
    <row r="1451" spans="1:20" ht="15.95" customHeight="1" x14ac:dyDescent="0.2">
      <c r="A1451" s="75"/>
      <c r="B1451" s="18" t="s">
        <v>3</v>
      </c>
      <c r="C1451" s="19">
        <v>0</v>
      </c>
      <c r="D1451" s="19"/>
      <c r="E1451" s="19"/>
      <c r="F1451" s="19"/>
      <c r="G1451" s="19"/>
      <c r="H1451" s="19"/>
      <c r="I1451" s="39"/>
      <c r="J1451" s="39"/>
      <c r="K1451" s="39"/>
      <c r="L1451" s="39"/>
      <c r="M1451" s="39"/>
      <c r="N1451" s="39"/>
      <c r="O1451" s="39"/>
      <c r="P1451" s="84"/>
      <c r="Q1451" s="39"/>
      <c r="R1451" s="39"/>
      <c r="S1451" s="39"/>
      <c r="T1451" s="110"/>
    </row>
    <row r="1452" spans="1:20" ht="15.95" customHeight="1" x14ac:dyDescent="0.2">
      <c r="A1452" s="138"/>
      <c r="B1452" s="139"/>
      <c r="C1452" s="139"/>
      <c r="D1452" s="139"/>
      <c r="E1452" s="139"/>
      <c r="F1452" s="139"/>
      <c r="G1452" s="139"/>
      <c r="H1452" s="139"/>
      <c r="I1452" s="139"/>
      <c r="J1452" s="139"/>
      <c r="K1452" s="139"/>
      <c r="L1452" s="139"/>
      <c r="M1452" s="139"/>
      <c r="N1452" s="139"/>
      <c r="O1452" s="139"/>
      <c r="P1452" s="139"/>
      <c r="Q1452" s="139"/>
      <c r="R1452" s="139"/>
      <c r="S1452" s="139"/>
      <c r="T1452" s="140"/>
    </row>
    <row r="1453" spans="1:20" ht="15.95" customHeight="1" x14ac:dyDescent="0.2">
      <c r="A1453" s="56" t="s">
        <v>5</v>
      </c>
      <c r="B1453" s="57"/>
      <c r="C1453" s="3">
        <f>SUM(C1454:C1460)</f>
        <v>46390557.907389067</v>
      </c>
      <c r="D1453" s="3">
        <f>SUM(D1454:D1460)</f>
        <v>13058290.021736119</v>
      </c>
      <c r="E1453" s="3">
        <f t="shared" ref="E1453:H1453" si="353">SUM(E1454:E1460)</f>
        <v>12482874.101600001</v>
      </c>
      <c r="F1453" s="3">
        <f t="shared" si="353"/>
        <v>11952307.071386002</v>
      </c>
      <c r="G1453" s="3">
        <f t="shared" si="353"/>
        <v>7707701.4806669392</v>
      </c>
      <c r="H1453" s="3">
        <f t="shared" si="353"/>
        <v>1189385.2320000001</v>
      </c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1"/>
    </row>
    <row r="1454" spans="1:20" ht="15.95" customHeight="1" x14ac:dyDescent="0.2">
      <c r="A1454" s="56" t="s">
        <v>0</v>
      </c>
      <c r="B1454" s="57"/>
      <c r="C1454" s="3">
        <f>D1454+E1454+F1454+G1454+H1454</f>
        <v>23472162.426680002</v>
      </c>
      <c r="D1454" s="3">
        <f t="shared" ref="D1454:H1457" si="354">D12+D290+D396+D418+D456+D514+D528+D770+D1090+D1304+D1326+D1348+D1370+D1408</f>
        <v>7738227.5072799996</v>
      </c>
      <c r="E1454" s="3">
        <f t="shared" si="354"/>
        <v>8500006.2885600012</v>
      </c>
      <c r="F1454" s="3">
        <f t="shared" si="354"/>
        <v>6378992.9494099999</v>
      </c>
      <c r="G1454" s="3">
        <f t="shared" si="354"/>
        <v>854935.68143</v>
      </c>
      <c r="H1454" s="3">
        <f t="shared" si="354"/>
        <v>0</v>
      </c>
      <c r="I1454" s="62"/>
      <c r="J1454" s="62"/>
      <c r="K1454" s="62"/>
      <c r="L1454" s="62"/>
      <c r="M1454" s="62"/>
      <c r="N1454" s="62"/>
      <c r="O1454" s="62"/>
      <c r="P1454" s="62"/>
      <c r="Q1454" s="62"/>
      <c r="R1454" s="62"/>
      <c r="S1454" s="62"/>
      <c r="T1454" s="63"/>
    </row>
    <row r="1455" spans="1:20" ht="15.95" customHeight="1" x14ac:dyDescent="0.2">
      <c r="A1455" s="56" t="s">
        <v>1</v>
      </c>
      <c r="B1455" s="57"/>
      <c r="C1455" s="3">
        <f>D1455+E1455++++++++++++F1455+G1455+H1455</f>
        <v>15088317.826030899</v>
      </c>
      <c r="D1455" s="3">
        <f t="shared" si="354"/>
        <v>3795710.6942899995</v>
      </c>
      <c r="E1455" s="3">
        <f t="shared" si="354"/>
        <v>3959191.8778999997</v>
      </c>
      <c r="F1455" s="3">
        <f t="shared" si="354"/>
        <v>2096880.4368008997</v>
      </c>
      <c r="G1455" s="3">
        <f t="shared" si="354"/>
        <v>4127828.7665800001</v>
      </c>
      <c r="H1455" s="3">
        <f t="shared" si="354"/>
        <v>1108706.0504600001</v>
      </c>
      <c r="I1455" s="62"/>
      <c r="J1455" s="62"/>
      <c r="K1455" s="62"/>
      <c r="L1455" s="62"/>
      <c r="M1455" s="62"/>
      <c r="N1455" s="62"/>
      <c r="O1455" s="62"/>
      <c r="P1455" s="62"/>
      <c r="Q1455" s="62"/>
      <c r="R1455" s="62"/>
      <c r="S1455" s="62"/>
      <c r="T1455" s="63"/>
    </row>
    <row r="1456" spans="1:20" ht="15.95" customHeight="1" x14ac:dyDescent="0.2">
      <c r="A1456" s="56" t="s">
        <v>2</v>
      </c>
      <c r="B1456" s="57"/>
      <c r="C1456" s="3">
        <f>D1456+E1456++++++++++++F1456+G1456+H1456</f>
        <v>169247.86403816327</v>
      </c>
      <c r="D1456" s="3">
        <f t="shared" si="354"/>
        <v>33375.029526122446</v>
      </c>
      <c r="E1456" s="3">
        <f t="shared" si="354"/>
        <v>23675.935140000001</v>
      </c>
      <c r="F1456" s="3">
        <f t="shared" si="354"/>
        <v>24526.68517510204</v>
      </c>
      <c r="G1456" s="3">
        <f t="shared" si="354"/>
        <v>6991.0326569387744</v>
      </c>
      <c r="H1456" s="3">
        <f t="shared" si="354"/>
        <v>80679.181540000005</v>
      </c>
      <c r="I1456" s="62"/>
      <c r="J1456" s="62"/>
      <c r="K1456" s="62"/>
      <c r="L1456" s="62"/>
      <c r="M1456" s="62"/>
      <c r="N1456" s="62"/>
      <c r="O1456" s="62"/>
      <c r="P1456" s="62"/>
      <c r="Q1456" s="62"/>
      <c r="R1456" s="62"/>
      <c r="S1456" s="62"/>
      <c r="T1456" s="63"/>
    </row>
    <row r="1457" spans="1:20" ht="15.95" customHeight="1" x14ac:dyDescent="0.2">
      <c r="A1457" s="56" t="s">
        <v>3</v>
      </c>
      <c r="B1457" s="57"/>
      <c r="C1457" s="3">
        <f>D1457+E1457++++++++++++F1457+G1457+H1457</f>
        <v>6207887.64726</v>
      </c>
      <c r="D1457" s="3">
        <f t="shared" si="354"/>
        <v>38034.647259999903</v>
      </c>
      <c r="E1457" s="3">
        <f t="shared" si="354"/>
        <v>0</v>
      </c>
      <c r="F1457" s="3">
        <f t="shared" si="354"/>
        <v>3451907</v>
      </c>
      <c r="G1457" s="3">
        <f t="shared" si="354"/>
        <v>2717946</v>
      </c>
      <c r="H1457" s="3">
        <f t="shared" si="354"/>
        <v>0</v>
      </c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62"/>
      <c r="T1457" s="63"/>
    </row>
    <row r="1458" spans="1:20" ht="39.950000000000003" customHeight="1" x14ac:dyDescent="0.2">
      <c r="A1458" s="56" t="s">
        <v>143</v>
      </c>
      <c r="B1458" s="57"/>
      <c r="C1458" s="3">
        <f>D1458+E1458+F1458+G1458+H1458</f>
        <v>1207548.24064</v>
      </c>
      <c r="D1458" s="3">
        <f>D532+D774</f>
        <v>1207548.24064</v>
      </c>
      <c r="E1458" s="3">
        <f>E532+E774</f>
        <v>0</v>
      </c>
      <c r="F1458" s="3">
        <f>F532+F774</f>
        <v>0</v>
      </c>
      <c r="G1458" s="3">
        <f>G532+G774</f>
        <v>0</v>
      </c>
      <c r="H1458" s="3">
        <f>H532+H774</f>
        <v>0</v>
      </c>
      <c r="I1458" s="62"/>
      <c r="J1458" s="62"/>
      <c r="K1458" s="62"/>
      <c r="L1458" s="62"/>
      <c r="M1458" s="62"/>
      <c r="N1458" s="62"/>
      <c r="O1458" s="62"/>
      <c r="P1458" s="62"/>
      <c r="Q1458" s="62"/>
      <c r="R1458" s="62"/>
      <c r="S1458" s="62"/>
      <c r="T1458" s="63"/>
    </row>
    <row r="1459" spans="1:20" ht="32.25" customHeight="1" x14ac:dyDescent="0.2">
      <c r="A1459" s="56" t="s">
        <v>785</v>
      </c>
      <c r="B1459" s="57"/>
      <c r="C1459" s="3">
        <f t="shared" ref="C1459:C1460" si="355">D1459+E1459+F1459+G1459+H1459</f>
        <v>169543.5</v>
      </c>
      <c r="D1459" s="3">
        <f>D460</f>
        <v>169543.5</v>
      </c>
      <c r="E1459" s="3">
        <f t="shared" ref="E1459:H1459" si="356">E460</f>
        <v>0</v>
      </c>
      <c r="F1459" s="3">
        <f t="shared" si="356"/>
        <v>0</v>
      </c>
      <c r="G1459" s="3">
        <f t="shared" si="356"/>
        <v>0</v>
      </c>
      <c r="H1459" s="3">
        <f t="shared" si="356"/>
        <v>0</v>
      </c>
      <c r="I1459" s="62"/>
      <c r="J1459" s="62"/>
      <c r="K1459" s="62"/>
      <c r="L1459" s="62"/>
      <c r="M1459" s="62"/>
      <c r="N1459" s="62"/>
      <c r="O1459" s="62"/>
      <c r="P1459" s="62"/>
      <c r="Q1459" s="62"/>
      <c r="R1459" s="62"/>
      <c r="S1459" s="62"/>
      <c r="T1459" s="63"/>
    </row>
    <row r="1460" spans="1:20" ht="31.5" customHeight="1" x14ac:dyDescent="0.2">
      <c r="A1460" s="58" t="s">
        <v>786</v>
      </c>
      <c r="B1460" s="59"/>
      <c r="C1460" s="17">
        <f t="shared" si="355"/>
        <v>75850.402740000005</v>
      </c>
      <c r="D1460" s="17">
        <f>D461+D294</f>
        <v>75850.402740000005</v>
      </c>
      <c r="E1460" s="17">
        <f>E461+E294</f>
        <v>0</v>
      </c>
      <c r="F1460" s="17">
        <f>F461+F294</f>
        <v>0</v>
      </c>
      <c r="G1460" s="17">
        <f>G461+G294</f>
        <v>0</v>
      </c>
      <c r="H1460" s="17">
        <f>H461+H294</f>
        <v>0</v>
      </c>
      <c r="I1460" s="64"/>
      <c r="J1460" s="64"/>
      <c r="K1460" s="64"/>
      <c r="L1460" s="64"/>
      <c r="M1460" s="64"/>
      <c r="N1460" s="64"/>
      <c r="O1460" s="64"/>
      <c r="P1460" s="64"/>
      <c r="Q1460" s="64"/>
      <c r="R1460" s="64"/>
      <c r="S1460" s="64"/>
      <c r="T1460" s="65"/>
    </row>
    <row r="1461" spans="1:20" s="15" customFormat="1" ht="26.25" x14ac:dyDescent="0.4">
      <c r="A1461" s="114" t="s">
        <v>501</v>
      </c>
      <c r="B1461" s="114"/>
      <c r="C1461" s="114"/>
      <c r="D1461" s="114"/>
      <c r="E1461" s="114"/>
      <c r="F1461" s="114"/>
      <c r="G1461" s="114"/>
      <c r="H1461" s="114"/>
      <c r="I1461" s="114"/>
      <c r="J1461" s="114"/>
      <c r="K1461" s="114"/>
      <c r="L1461" s="114"/>
      <c r="M1461" s="114"/>
      <c r="N1461" s="114"/>
      <c r="O1461" s="114"/>
      <c r="P1461" s="114"/>
      <c r="Q1461" s="114"/>
      <c r="R1461" s="114"/>
      <c r="S1461" s="114"/>
      <c r="T1461" s="114"/>
    </row>
  </sheetData>
  <mergeCells count="2744">
    <mergeCell ref="B1080:T1080"/>
    <mergeCell ref="B1081:T1081"/>
    <mergeCell ref="B1082:H1082"/>
    <mergeCell ref="I1082:I1087"/>
    <mergeCell ref="J1082:J1087"/>
    <mergeCell ref="K1082:K1087"/>
    <mergeCell ref="L1082:L1087"/>
    <mergeCell ref="M1082:M1087"/>
    <mergeCell ref="N1082:N1087"/>
    <mergeCell ref="O1082:O1087"/>
    <mergeCell ref="P1082:P1087"/>
    <mergeCell ref="Q1082:Q1087"/>
    <mergeCell ref="R1082:R1087"/>
    <mergeCell ref="S1082:S1087"/>
    <mergeCell ref="T1082:T1087"/>
    <mergeCell ref="A311:A318"/>
    <mergeCell ref="L1050:L1055"/>
    <mergeCell ref="S962:S967"/>
    <mergeCell ref="T962:T967"/>
    <mergeCell ref="N978:N983"/>
    <mergeCell ref="S978:S983"/>
    <mergeCell ref="R1010:R1015"/>
    <mergeCell ref="P994:P999"/>
    <mergeCell ref="Q994:Q999"/>
    <mergeCell ref="K1002:K1007"/>
    <mergeCell ref="L1002:L1007"/>
    <mergeCell ref="M1002:M1007"/>
    <mergeCell ref="N1002:N1007"/>
    <mergeCell ref="S994:S999"/>
    <mergeCell ref="B1016:T1016"/>
    <mergeCell ref="B1017:T1017"/>
    <mergeCell ref="A303:A310"/>
    <mergeCell ref="B304:T304"/>
    <mergeCell ref="A335:A342"/>
    <mergeCell ref="R297:R302"/>
    <mergeCell ref="B303:T303"/>
    <mergeCell ref="A327:A334"/>
    <mergeCell ref="A343:A350"/>
    <mergeCell ref="T305:T310"/>
    <mergeCell ref="R345:R350"/>
    <mergeCell ref="L329:L334"/>
    <mergeCell ref="O329:O334"/>
    <mergeCell ref="P329:P334"/>
    <mergeCell ref="I337:I342"/>
    <mergeCell ref="J337:J342"/>
    <mergeCell ref="J353:J358"/>
    <mergeCell ref="T337:T342"/>
    <mergeCell ref="J329:J334"/>
    <mergeCell ref="K329:K334"/>
    <mergeCell ref="B321:H321"/>
    <mergeCell ref="I321:I326"/>
    <mergeCell ref="B319:T319"/>
    <mergeCell ref="B320:T320"/>
    <mergeCell ref="Q313:Q318"/>
    <mergeCell ref="R313:R318"/>
    <mergeCell ref="O297:O302"/>
    <mergeCell ref="L297:L302"/>
    <mergeCell ref="J345:J350"/>
    <mergeCell ref="B305:H305"/>
    <mergeCell ref="K297:K302"/>
    <mergeCell ref="J305:J310"/>
    <mergeCell ref="P345:P350"/>
    <mergeCell ref="Q345:Q350"/>
    <mergeCell ref="A736:A743"/>
    <mergeCell ref="A744:A751"/>
    <mergeCell ref="A752:A759"/>
    <mergeCell ref="A760:A767"/>
    <mergeCell ref="A791:A798"/>
    <mergeCell ref="A799:A806"/>
    <mergeCell ref="A807:A814"/>
    <mergeCell ref="A1238:A1245"/>
    <mergeCell ref="N1058:N1063"/>
    <mergeCell ref="O1058:O1063"/>
    <mergeCell ref="P1058:P1063"/>
    <mergeCell ref="Q1058:Q1063"/>
    <mergeCell ref="R1058:R1063"/>
    <mergeCell ref="S1058:S1063"/>
    <mergeCell ref="T1058:T1063"/>
    <mergeCell ref="N1042:N1047"/>
    <mergeCell ref="P1042:P1047"/>
    <mergeCell ref="S1042:S1047"/>
    <mergeCell ref="T1042:T1047"/>
    <mergeCell ref="A1072:A1079"/>
    <mergeCell ref="B1072:T1072"/>
    <mergeCell ref="B1073:T1073"/>
    <mergeCell ref="B1074:H1074"/>
    <mergeCell ref="J1074:J1079"/>
    <mergeCell ref="K1074:K1079"/>
    <mergeCell ref="L1074:L1079"/>
    <mergeCell ref="B1049:T1049"/>
    <mergeCell ref="B1050:H1050"/>
    <mergeCell ref="I1050:I1055"/>
    <mergeCell ref="J1050:J1055"/>
    <mergeCell ref="K1050:K1055"/>
    <mergeCell ref="A1080:A1087"/>
    <mergeCell ref="B1040:T1040"/>
    <mergeCell ref="B1041:T1041"/>
    <mergeCell ref="B1042:H1042"/>
    <mergeCell ref="I1042:I1047"/>
    <mergeCell ref="J1042:J1047"/>
    <mergeCell ref="K1042:K1047"/>
    <mergeCell ref="L1042:L1047"/>
    <mergeCell ref="B359:T359"/>
    <mergeCell ref="B930:H930"/>
    <mergeCell ref="L938:L943"/>
    <mergeCell ref="Q801:Q806"/>
    <mergeCell ref="M874:M879"/>
    <mergeCell ref="S874:S879"/>
    <mergeCell ref="T833:T838"/>
    <mergeCell ref="B831:T831"/>
    <mergeCell ref="L825:L830"/>
    <mergeCell ref="I858:I863"/>
    <mergeCell ref="J858:J863"/>
    <mergeCell ref="M730:M735"/>
    <mergeCell ref="N730:N735"/>
    <mergeCell ref="O730:O735"/>
    <mergeCell ref="P730:P735"/>
    <mergeCell ref="Q730:Q735"/>
    <mergeCell ref="J1034:J1039"/>
    <mergeCell ref="T1018:T1023"/>
    <mergeCell ref="T730:T735"/>
    <mergeCell ref="R1002:R1007"/>
    <mergeCell ref="S1002:S1007"/>
    <mergeCell ref="T1002:T1007"/>
    <mergeCell ref="S1026:S1031"/>
    <mergeCell ref="T1026:T1031"/>
    <mergeCell ref="Q849:Q855"/>
    <mergeCell ref="Q7:Q8"/>
    <mergeCell ref="R7:R8"/>
    <mergeCell ref="S7:S8"/>
    <mergeCell ref="T7:T8"/>
    <mergeCell ref="Q369:Q375"/>
    <mergeCell ref="R369:R375"/>
    <mergeCell ref="S369:S375"/>
    <mergeCell ref="L1026:L1031"/>
    <mergeCell ref="M1026:M1031"/>
    <mergeCell ref="N1010:N1015"/>
    <mergeCell ref="O1010:O1015"/>
    <mergeCell ref="Q1010:Q1015"/>
    <mergeCell ref="Q1042:Q1047"/>
    <mergeCell ref="R1042:R1047"/>
    <mergeCell ref="I369:I375"/>
    <mergeCell ref="J369:J375"/>
    <mergeCell ref="K369:K375"/>
    <mergeCell ref="L369:L375"/>
    <mergeCell ref="M369:M375"/>
    <mergeCell ref="N369:N375"/>
    <mergeCell ref="O369:O375"/>
    <mergeCell ref="P369:P375"/>
    <mergeCell ref="K1034:K1039"/>
    <mergeCell ref="L1034:L1039"/>
    <mergeCell ref="M1034:M1039"/>
    <mergeCell ref="O1002:O1007"/>
    <mergeCell ref="P1002:P1007"/>
    <mergeCell ref="Q1002:Q1007"/>
    <mergeCell ref="I785:I790"/>
    <mergeCell ref="O809:O814"/>
    <mergeCell ref="J978:J983"/>
    <mergeCell ref="K938:K943"/>
    <mergeCell ref="N1074:N1079"/>
    <mergeCell ref="A1056:A1063"/>
    <mergeCell ref="B1056:T1056"/>
    <mergeCell ref="B1057:T1057"/>
    <mergeCell ref="B1058:H1058"/>
    <mergeCell ref="I1058:I1063"/>
    <mergeCell ref="J1058:J1063"/>
    <mergeCell ref="K1058:K1063"/>
    <mergeCell ref="L1058:L1063"/>
    <mergeCell ref="M1058:M1063"/>
    <mergeCell ref="O1074:O1079"/>
    <mergeCell ref="P1074:P1079"/>
    <mergeCell ref="Q1074:Q1079"/>
    <mergeCell ref="R1074:R1079"/>
    <mergeCell ref="S1074:S1079"/>
    <mergeCell ref="T1074:T1079"/>
    <mergeCell ref="A1064:A1071"/>
    <mergeCell ref="B1064:T1064"/>
    <mergeCell ref="B1065:T1065"/>
    <mergeCell ref="B1066:H1066"/>
    <mergeCell ref="I1074:I1079"/>
    <mergeCell ref="I1066:I1071"/>
    <mergeCell ref="M1066:M1071"/>
    <mergeCell ref="N1066:N1071"/>
    <mergeCell ref="O1066:O1071"/>
    <mergeCell ref="P1066:P1071"/>
    <mergeCell ref="Q1066:Q1071"/>
    <mergeCell ref="R1066:R1071"/>
    <mergeCell ref="M1074:M1079"/>
    <mergeCell ref="J1066:J1071"/>
    <mergeCell ref="K1066:K1071"/>
    <mergeCell ref="L1066:L1071"/>
    <mergeCell ref="S1066:S1071"/>
    <mergeCell ref="A1048:A1055"/>
    <mergeCell ref="A1008:A1015"/>
    <mergeCell ref="B1008:T1008"/>
    <mergeCell ref="B1009:T1009"/>
    <mergeCell ref="B1010:H1010"/>
    <mergeCell ref="I1010:I1015"/>
    <mergeCell ref="J1010:J1015"/>
    <mergeCell ref="K1010:K1015"/>
    <mergeCell ref="L1010:L1015"/>
    <mergeCell ref="M1010:M1015"/>
    <mergeCell ref="A1024:A1031"/>
    <mergeCell ref="B1024:T1024"/>
    <mergeCell ref="B1025:T1025"/>
    <mergeCell ref="B1026:H1026"/>
    <mergeCell ref="I1026:I1031"/>
    <mergeCell ref="J1026:J1031"/>
    <mergeCell ref="K1026:K1031"/>
    <mergeCell ref="P1010:P1015"/>
    <mergeCell ref="A1040:A1047"/>
    <mergeCell ref="M1042:M1047"/>
    <mergeCell ref="B1048:T1048"/>
    <mergeCell ref="M1050:M1055"/>
    <mergeCell ref="T1066:T1071"/>
    <mergeCell ref="B1018:H1018"/>
    <mergeCell ref="I1018:I1023"/>
    <mergeCell ref="J1018:J1023"/>
    <mergeCell ref="K1018:K1023"/>
    <mergeCell ref="L1018:L1023"/>
    <mergeCell ref="M1018:M1023"/>
    <mergeCell ref="R1018:R1023"/>
    <mergeCell ref="N1034:N1039"/>
    <mergeCell ref="K962:K967"/>
    <mergeCell ref="L962:L967"/>
    <mergeCell ref="A984:A991"/>
    <mergeCell ref="B984:T984"/>
    <mergeCell ref="B985:T985"/>
    <mergeCell ref="B986:H986"/>
    <mergeCell ref="I986:I991"/>
    <mergeCell ref="J986:J991"/>
    <mergeCell ref="K986:K991"/>
    <mergeCell ref="A992:A999"/>
    <mergeCell ref="B992:T992"/>
    <mergeCell ref="I978:I983"/>
    <mergeCell ref="Q970:Q975"/>
    <mergeCell ref="R970:R975"/>
    <mergeCell ref="L986:L991"/>
    <mergeCell ref="M986:M991"/>
    <mergeCell ref="N986:N991"/>
    <mergeCell ref="Q986:Q991"/>
    <mergeCell ref="R986:R991"/>
    <mergeCell ref="T1392:T1397"/>
    <mergeCell ref="S1144:S1149"/>
    <mergeCell ref="B1096:H1096"/>
    <mergeCell ref="B1168:H1168"/>
    <mergeCell ref="I1168:I1173"/>
    <mergeCell ref="J1168:J1173"/>
    <mergeCell ref="K1168:K1173"/>
    <mergeCell ref="L1168:L1173"/>
    <mergeCell ref="M1168:M1173"/>
    <mergeCell ref="N1168:N1173"/>
    <mergeCell ref="O1168:O1173"/>
    <mergeCell ref="P1168:P1173"/>
    <mergeCell ref="B1120:H1120"/>
    <mergeCell ref="N1018:N1023"/>
    <mergeCell ref="O1018:O1023"/>
    <mergeCell ref="P1018:P1023"/>
    <mergeCell ref="P1176:P1181"/>
    <mergeCell ref="Q1176:Q1181"/>
    <mergeCell ref="R1176:R1181"/>
    <mergeCell ref="S1176:S1181"/>
    <mergeCell ref="B1331:T1331"/>
    <mergeCell ref="K1384:K1389"/>
    <mergeCell ref="L1384:L1389"/>
    <mergeCell ref="I1310:I1315"/>
    <mergeCell ref="N1362:N1367"/>
    <mergeCell ref="K1310:K1315"/>
    <mergeCell ref="N1026:N1031"/>
    <mergeCell ref="O1026:O1031"/>
    <mergeCell ref="P1026:P1031"/>
    <mergeCell ref="Q1026:Q1031"/>
    <mergeCell ref="R1026:R1031"/>
    <mergeCell ref="B1033:T1033"/>
    <mergeCell ref="I994:I999"/>
    <mergeCell ref="A976:A983"/>
    <mergeCell ref="R994:R999"/>
    <mergeCell ref="N994:N999"/>
    <mergeCell ref="O994:O999"/>
    <mergeCell ref="R962:R967"/>
    <mergeCell ref="T994:T999"/>
    <mergeCell ref="A1016:A1023"/>
    <mergeCell ref="P978:P983"/>
    <mergeCell ref="A1032:A1039"/>
    <mergeCell ref="Q1050:Q1055"/>
    <mergeCell ref="S1050:S1055"/>
    <mergeCell ref="L978:L983"/>
    <mergeCell ref="M978:M983"/>
    <mergeCell ref="O1034:O1039"/>
    <mergeCell ref="A1000:A1007"/>
    <mergeCell ref="B1000:T1000"/>
    <mergeCell ref="B1001:T1001"/>
    <mergeCell ref="B1002:H1002"/>
    <mergeCell ref="I1002:I1007"/>
    <mergeCell ref="J1002:J1007"/>
    <mergeCell ref="O978:O983"/>
    <mergeCell ref="P970:P975"/>
    <mergeCell ref="K978:K983"/>
    <mergeCell ref="I1034:I1039"/>
    <mergeCell ref="B976:T976"/>
    <mergeCell ref="A960:A967"/>
    <mergeCell ref="B960:T960"/>
    <mergeCell ref="B961:T961"/>
    <mergeCell ref="B962:H962"/>
    <mergeCell ref="I962:I967"/>
    <mergeCell ref="J962:J967"/>
    <mergeCell ref="P817:P822"/>
    <mergeCell ref="J809:J814"/>
    <mergeCell ref="K809:K814"/>
    <mergeCell ref="L809:L814"/>
    <mergeCell ref="M809:M814"/>
    <mergeCell ref="K890:K895"/>
    <mergeCell ref="B944:T944"/>
    <mergeCell ref="B945:T945"/>
    <mergeCell ref="L890:L895"/>
    <mergeCell ref="O825:O830"/>
    <mergeCell ref="P825:P830"/>
    <mergeCell ref="N809:N814"/>
    <mergeCell ref="O849:O855"/>
    <mergeCell ref="L801:L806"/>
    <mergeCell ref="M801:M806"/>
    <mergeCell ref="N801:N806"/>
    <mergeCell ref="K801:K806"/>
    <mergeCell ref="B824:T824"/>
    <mergeCell ref="B825:H825"/>
    <mergeCell ref="K833:K838"/>
    <mergeCell ref="B809:H809"/>
    <mergeCell ref="J801:J806"/>
    <mergeCell ref="B858:H858"/>
    <mergeCell ref="A847:A855"/>
    <mergeCell ref="T978:T983"/>
    <mergeCell ref="A952:A959"/>
    <mergeCell ref="B952:T952"/>
    <mergeCell ref="B953:T953"/>
    <mergeCell ref="B954:H954"/>
    <mergeCell ref="I954:I959"/>
    <mergeCell ref="J954:J959"/>
    <mergeCell ref="K954:K959"/>
    <mergeCell ref="L954:L959"/>
    <mergeCell ref="M954:M959"/>
    <mergeCell ref="N922:N927"/>
    <mergeCell ref="O922:O927"/>
    <mergeCell ref="P922:P927"/>
    <mergeCell ref="Q922:Q927"/>
    <mergeCell ref="R922:R927"/>
    <mergeCell ref="L874:L879"/>
    <mergeCell ref="B880:T880"/>
    <mergeCell ref="M962:M967"/>
    <mergeCell ref="N954:N959"/>
    <mergeCell ref="Q930:Q935"/>
    <mergeCell ref="S970:S975"/>
    <mergeCell ref="T970:T975"/>
    <mergeCell ref="S866:S871"/>
    <mergeCell ref="T882:T887"/>
    <mergeCell ref="S954:S959"/>
    <mergeCell ref="T954:T959"/>
    <mergeCell ref="A968:A975"/>
    <mergeCell ref="B968:T968"/>
    <mergeCell ref="A880:A887"/>
    <mergeCell ref="A920:A927"/>
    <mergeCell ref="B920:T920"/>
    <mergeCell ref="A912:A919"/>
    <mergeCell ref="B912:T912"/>
    <mergeCell ref="B913:T913"/>
    <mergeCell ref="B921:T921"/>
    <mergeCell ref="B922:H922"/>
    <mergeCell ref="I922:I927"/>
    <mergeCell ref="J922:J927"/>
    <mergeCell ref="R906:R911"/>
    <mergeCell ref="S906:S911"/>
    <mergeCell ref="B896:T896"/>
    <mergeCell ref="B897:T897"/>
    <mergeCell ref="B898:H898"/>
    <mergeCell ref="I898:I903"/>
    <mergeCell ref="J898:J903"/>
    <mergeCell ref="K898:K903"/>
    <mergeCell ref="P914:P919"/>
    <mergeCell ref="A904:A911"/>
    <mergeCell ref="B904:T904"/>
    <mergeCell ref="B905:T905"/>
    <mergeCell ref="B906:H906"/>
    <mergeCell ref="I906:I911"/>
    <mergeCell ref="B881:T881"/>
    <mergeCell ref="B882:H882"/>
    <mergeCell ref="M882:M887"/>
    <mergeCell ref="N882:N887"/>
    <mergeCell ref="O882:O887"/>
    <mergeCell ref="P882:P887"/>
    <mergeCell ref="Q882:Q887"/>
    <mergeCell ref="R882:R887"/>
    <mergeCell ref="J938:J943"/>
    <mergeCell ref="M938:M943"/>
    <mergeCell ref="M1096:M1101"/>
    <mergeCell ref="S1018:S1023"/>
    <mergeCell ref="T930:T935"/>
    <mergeCell ref="K930:K935"/>
    <mergeCell ref="S946:S951"/>
    <mergeCell ref="I930:I935"/>
    <mergeCell ref="J930:J935"/>
    <mergeCell ref="B937:T937"/>
    <mergeCell ref="B938:H938"/>
    <mergeCell ref="B1032:T1032"/>
    <mergeCell ref="O1042:O1047"/>
    <mergeCell ref="B1034:H1034"/>
    <mergeCell ref="T906:T911"/>
    <mergeCell ref="B914:H914"/>
    <mergeCell ref="T922:T927"/>
    <mergeCell ref="Q898:Q903"/>
    <mergeCell ref="O890:O895"/>
    <mergeCell ref="P890:P895"/>
    <mergeCell ref="J994:J999"/>
    <mergeCell ref="N1050:N1055"/>
    <mergeCell ref="O1050:O1055"/>
    <mergeCell ref="P1050:P1055"/>
    <mergeCell ref="T1050:T1055"/>
    <mergeCell ref="A928:A935"/>
    <mergeCell ref="B928:T928"/>
    <mergeCell ref="B929:T929"/>
    <mergeCell ref="A936:A943"/>
    <mergeCell ref="B936:T936"/>
    <mergeCell ref="I938:I943"/>
    <mergeCell ref="B969:T969"/>
    <mergeCell ref="B970:H970"/>
    <mergeCell ref="I970:I975"/>
    <mergeCell ref="J970:J975"/>
    <mergeCell ref="K970:K975"/>
    <mergeCell ref="L970:L975"/>
    <mergeCell ref="L946:L951"/>
    <mergeCell ref="M946:M951"/>
    <mergeCell ref="B977:T977"/>
    <mergeCell ref="B978:H978"/>
    <mergeCell ref="O986:O991"/>
    <mergeCell ref="P986:P991"/>
    <mergeCell ref="S930:S935"/>
    <mergeCell ref="N938:N943"/>
    <mergeCell ref="A944:A951"/>
    <mergeCell ref="I946:I951"/>
    <mergeCell ref="J946:J951"/>
    <mergeCell ref="K946:K951"/>
    <mergeCell ref="P946:P951"/>
    <mergeCell ref="Q946:Q951"/>
    <mergeCell ref="R946:R951"/>
    <mergeCell ref="N970:N975"/>
    <mergeCell ref="R1050:R1055"/>
    <mergeCell ref="B993:T993"/>
    <mergeCell ref="B994:H994"/>
    <mergeCell ref="J597:J603"/>
    <mergeCell ref="Q552:Q558"/>
    <mergeCell ref="I570:I576"/>
    <mergeCell ref="P570:P576"/>
    <mergeCell ref="B560:T560"/>
    <mergeCell ref="O552:O558"/>
    <mergeCell ref="N552:N558"/>
    <mergeCell ref="B1103:T1103"/>
    <mergeCell ref="P1112:P1117"/>
    <mergeCell ref="B1104:H1104"/>
    <mergeCell ref="J1112:J1117"/>
    <mergeCell ref="S1168:S1173"/>
    <mergeCell ref="T1168:T1173"/>
    <mergeCell ref="N946:N951"/>
    <mergeCell ref="O946:O951"/>
    <mergeCell ref="S986:S991"/>
    <mergeCell ref="T986:T991"/>
    <mergeCell ref="P954:P959"/>
    <mergeCell ref="Q954:Q959"/>
    <mergeCell ref="R954:R959"/>
    <mergeCell ref="P1034:P1039"/>
    <mergeCell ref="Q1034:Q1039"/>
    <mergeCell ref="S1010:S1015"/>
    <mergeCell ref="T1010:T1015"/>
    <mergeCell ref="N962:N967"/>
    <mergeCell ref="O962:O967"/>
    <mergeCell ref="P962:P967"/>
    <mergeCell ref="Q962:Q967"/>
    <mergeCell ref="O954:O959"/>
    <mergeCell ref="K994:K999"/>
    <mergeCell ref="L994:L999"/>
    <mergeCell ref="M994:M999"/>
    <mergeCell ref="J633:J639"/>
    <mergeCell ref="S633:S639"/>
    <mergeCell ref="K633:K639"/>
    <mergeCell ref="L633:L639"/>
    <mergeCell ref="M633:M639"/>
    <mergeCell ref="N714:N719"/>
    <mergeCell ref="O714:O719"/>
    <mergeCell ref="B712:T712"/>
    <mergeCell ref="B713:T713"/>
    <mergeCell ref="B714:H714"/>
    <mergeCell ref="I714:I719"/>
    <mergeCell ref="J714:J719"/>
    <mergeCell ref="K714:K719"/>
    <mergeCell ref="L714:L719"/>
    <mergeCell ref="M714:M719"/>
    <mergeCell ref="L615:L621"/>
    <mergeCell ref="M615:M621"/>
    <mergeCell ref="N615:N621"/>
    <mergeCell ref="K624:K630"/>
    <mergeCell ref="L624:L630"/>
    <mergeCell ref="M624:M630"/>
    <mergeCell ref="B640:T640"/>
    <mergeCell ref="I615:I621"/>
    <mergeCell ref="S624:S630"/>
    <mergeCell ref="O615:O621"/>
    <mergeCell ref="O674:O679"/>
    <mergeCell ref="P674:P679"/>
    <mergeCell ref="B471:T471"/>
    <mergeCell ref="B472:H472"/>
    <mergeCell ref="N448:N453"/>
    <mergeCell ref="B494:T494"/>
    <mergeCell ref="K496:K501"/>
    <mergeCell ref="L496:L501"/>
    <mergeCell ref="T472:T477"/>
    <mergeCell ref="B486:T486"/>
    <mergeCell ref="B551:T551"/>
    <mergeCell ref="Q543:Q549"/>
    <mergeCell ref="R543:R549"/>
    <mergeCell ref="I464:I469"/>
    <mergeCell ref="J464:J469"/>
    <mergeCell ref="K464:K469"/>
    <mergeCell ref="L464:L469"/>
    <mergeCell ref="N440:N445"/>
    <mergeCell ref="K520:K525"/>
    <mergeCell ref="P520:P525"/>
    <mergeCell ref="O535:O540"/>
    <mergeCell ref="R535:R540"/>
    <mergeCell ref="M488:M493"/>
    <mergeCell ref="B519:T519"/>
    <mergeCell ref="B447:T447"/>
    <mergeCell ref="L448:L453"/>
    <mergeCell ref="B512:T512"/>
    <mergeCell ref="I513:T517"/>
    <mergeCell ref="L520:L525"/>
    <mergeCell ref="M520:M525"/>
    <mergeCell ref="N520:N525"/>
    <mergeCell ref="M448:M453"/>
    <mergeCell ref="S448:S453"/>
    <mergeCell ref="B454:T454"/>
    <mergeCell ref="K337:K342"/>
    <mergeCell ref="R424:R429"/>
    <mergeCell ref="P424:P429"/>
    <mergeCell ref="O440:O445"/>
    <mergeCell ref="Q440:Q445"/>
    <mergeCell ref="M353:M358"/>
    <mergeCell ref="R378:R384"/>
    <mergeCell ref="S378:S384"/>
    <mergeCell ref="T378:T384"/>
    <mergeCell ref="I387:I393"/>
    <mergeCell ref="J387:J393"/>
    <mergeCell ref="K387:K393"/>
    <mergeCell ref="L387:L393"/>
    <mergeCell ref="M387:M393"/>
    <mergeCell ref="N387:N393"/>
    <mergeCell ref="O387:O393"/>
    <mergeCell ref="T361:T366"/>
    <mergeCell ref="P387:P393"/>
    <mergeCell ref="Q387:Q393"/>
    <mergeCell ref="T369:T375"/>
    <mergeCell ref="S345:S350"/>
    <mergeCell ref="N424:N429"/>
    <mergeCell ref="I402:I407"/>
    <mergeCell ref="B439:T439"/>
    <mergeCell ref="B440:H440"/>
    <mergeCell ref="L432:L437"/>
    <mergeCell ref="I432:I437"/>
    <mergeCell ref="J424:J429"/>
    <mergeCell ref="K424:K429"/>
    <mergeCell ref="L424:L429"/>
    <mergeCell ref="B416:T416"/>
    <mergeCell ref="B402:H402"/>
    <mergeCell ref="B336:T336"/>
    <mergeCell ref="B337:H337"/>
    <mergeCell ref="L337:L342"/>
    <mergeCell ref="M345:M350"/>
    <mergeCell ref="N345:N350"/>
    <mergeCell ref="J321:J326"/>
    <mergeCell ref="I329:I334"/>
    <mergeCell ref="K440:K445"/>
    <mergeCell ref="N402:N407"/>
    <mergeCell ref="B408:T408"/>
    <mergeCell ref="B409:T409"/>
    <mergeCell ref="B410:H410"/>
    <mergeCell ref="I410:I415"/>
    <mergeCell ref="J410:J415"/>
    <mergeCell ref="K410:K415"/>
    <mergeCell ref="L410:L415"/>
    <mergeCell ref="M410:M415"/>
    <mergeCell ref="N410:N415"/>
    <mergeCell ref="O410:O415"/>
    <mergeCell ref="P410:P415"/>
    <mergeCell ref="N337:N342"/>
    <mergeCell ref="S361:S366"/>
    <mergeCell ref="K321:K326"/>
    <mergeCell ref="S321:S326"/>
    <mergeCell ref="B360:T360"/>
    <mergeCell ref="B361:H361"/>
    <mergeCell ref="I361:I366"/>
    <mergeCell ref="O402:O407"/>
    <mergeCell ref="P402:P407"/>
    <mergeCell ref="B367:T367"/>
    <mergeCell ref="T345:T350"/>
    <mergeCell ref="P432:P437"/>
    <mergeCell ref="B288:T288"/>
    <mergeCell ref="J274:J279"/>
    <mergeCell ref="A446:A453"/>
    <mergeCell ref="A351:A358"/>
    <mergeCell ref="A394:A399"/>
    <mergeCell ref="J402:J407"/>
    <mergeCell ref="B422:T422"/>
    <mergeCell ref="B423:T423"/>
    <mergeCell ref="I395:T399"/>
    <mergeCell ref="B394:T394"/>
    <mergeCell ref="O313:O318"/>
    <mergeCell ref="P313:P318"/>
    <mergeCell ref="B401:T401"/>
    <mergeCell ref="R440:R445"/>
    <mergeCell ref="M321:M326"/>
    <mergeCell ref="A416:A421"/>
    <mergeCell ref="A319:A326"/>
    <mergeCell ref="A408:A415"/>
    <mergeCell ref="Q410:Q415"/>
    <mergeCell ref="R410:R415"/>
    <mergeCell ref="S410:S415"/>
    <mergeCell ref="T410:T415"/>
    <mergeCell ref="A288:A294"/>
    <mergeCell ref="I289:T294"/>
    <mergeCell ref="B368:T368"/>
    <mergeCell ref="B369:H369"/>
    <mergeCell ref="A367:A375"/>
    <mergeCell ref="Q282:Q287"/>
    <mergeCell ref="R282:R287"/>
    <mergeCell ref="N313:N318"/>
    <mergeCell ref="N274:N279"/>
    <mergeCell ref="P297:P302"/>
    <mergeCell ref="K250:K255"/>
    <mergeCell ref="A272:A279"/>
    <mergeCell ref="T282:T287"/>
    <mergeCell ref="L250:L255"/>
    <mergeCell ref="P274:P279"/>
    <mergeCell ref="Q274:Q279"/>
    <mergeCell ref="A280:A287"/>
    <mergeCell ref="Q250:Q255"/>
    <mergeCell ref="M250:M255"/>
    <mergeCell ref="N250:N255"/>
    <mergeCell ref="R250:R255"/>
    <mergeCell ref="L282:L287"/>
    <mergeCell ref="M282:M287"/>
    <mergeCell ref="S313:S318"/>
    <mergeCell ref="B312:T312"/>
    <mergeCell ref="T313:T318"/>
    <mergeCell ref="M337:M342"/>
    <mergeCell ref="B313:H313"/>
    <mergeCell ref="L313:L318"/>
    <mergeCell ref="P250:P255"/>
    <mergeCell ref="K305:K310"/>
    <mergeCell ref="L305:L310"/>
    <mergeCell ref="Q321:Q326"/>
    <mergeCell ref="L321:L326"/>
    <mergeCell ref="O266:O271"/>
    <mergeCell ref="B296:T296"/>
    <mergeCell ref="J266:J271"/>
    <mergeCell ref="S282:S287"/>
    <mergeCell ref="N282:N287"/>
    <mergeCell ref="O282:O287"/>
    <mergeCell ref="P282:P287"/>
    <mergeCell ref="M313:M318"/>
    <mergeCell ref="R242:R247"/>
    <mergeCell ref="R234:R239"/>
    <mergeCell ref="O162:O167"/>
    <mergeCell ref="P162:P167"/>
    <mergeCell ref="A232:A239"/>
    <mergeCell ref="A240:A247"/>
    <mergeCell ref="A248:A255"/>
    <mergeCell ref="B297:H297"/>
    <mergeCell ref="I274:I279"/>
    <mergeCell ref="J297:J302"/>
    <mergeCell ref="A256:A263"/>
    <mergeCell ref="A264:A271"/>
    <mergeCell ref="B258:H258"/>
    <mergeCell ref="I258:I263"/>
    <mergeCell ref="J258:J263"/>
    <mergeCell ref="K258:K263"/>
    <mergeCell ref="L258:L263"/>
    <mergeCell ref="M258:M263"/>
    <mergeCell ref="N258:N263"/>
    <mergeCell ref="O258:O263"/>
    <mergeCell ref="O250:O255"/>
    <mergeCell ref="B264:T264"/>
    <mergeCell ref="P258:P263"/>
    <mergeCell ref="Q258:Q263"/>
    <mergeCell ref="T242:T247"/>
    <mergeCell ref="J250:J255"/>
    <mergeCell ref="M297:M302"/>
    <mergeCell ref="N297:N302"/>
    <mergeCell ref="L218:L223"/>
    <mergeCell ref="R210:R215"/>
    <mergeCell ref="K202:K207"/>
    <mergeCell ref="S226:S231"/>
    <mergeCell ref="T234:T239"/>
    <mergeCell ref="B240:T240"/>
    <mergeCell ref="B241:T241"/>
    <mergeCell ref="B256:T256"/>
    <mergeCell ref="B257:T257"/>
    <mergeCell ref="B242:H242"/>
    <mergeCell ref="I242:I247"/>
    <mergeCell ref="J242:J247"/>
    <mergeCell ref="K242:K247"/>
    <mergeCell ref="L242:L247"/>
    <mergeCell ref="M242:M247"/>
    <mergeCell ref="N242:N247"/>
    <mergeCell ref="O242:O247"/>
    <mergeCell ref="P242:P247"/>
    <mergeCell ref="Q266:Q271"/>
    <mergeCell ref="S242:S247"/>
    <mergeCell ref="K282:K287"/>
    <mergeCell ref="B280:T280"/>
    <mergeCell ref="B281:T281"/>
    <mergeCell ref="B282:H282"/>
    <mergeCell ref="I282:I287"/>
    <mergeCell ref="J282:J287"/>
    <mergeCell ref="L274:L279"/>
    <mergeCell ref="O274:O279"/>
    <mergeCell ref="K274:K279"/>
    <mergeCell ref="R258:R263"/>
    <mergeCell ref="R266:R271"/>
    <mergeCell ref="S266:S271"/>
    <mergeCell ref="T266:T271"/>
    <mergeCell ref="M266:M271"/>
    <mergeCell ref="M234:M239"/>
    <mergeCell ref="N234:N239"/>
    <mergeCell ref="A96:A103"/>
    <mergeCell ref="A104:A111"/>
    <mergeCell ref="A112:A119"/>
    <mergeCell ref="A120:A127"/>
    <mergeCell ref="A128:A135"/>
    <mergeCell ref="B130:H130"/>
    <mergeCell ref="I130:I135"/>
    <mergeCell ref="J130:J135"/>
    <mergeCell ref="B295:T295"/>
    <mergeCell ref="S106:S111"/>
    <mergeCell ref="T106:T111"/>
    <mergeCell ref="I122:I127"/>
    <mergeCell ref="J122:J127"/>
    <mergeCell ref="K122:K127"/>
    <mergeCell ref="L122:L127"/>
    <mergeCell ref="I106:I111"/>
    <mergeCell ref="M114:M119"/>
    <mergeCell ref="I234:I239"/>
    <mergeCell ref="J234:J239"/>
    <mergeCell ref="K234:K239"/>
    <mergeCell ref="L234:L239"/>
    <mergeCell ref="J162:J167"/>
    <mergeCell ref="J146:J151"/>
    <mergeCell ref="K146:K151"/>
    <mergeCell ref="L146:L151"/>
    <mergeCell ref="A295:A302"/>
    <mergeCell ref="Q114:Q119"/>
    <mergeCell ref="R114:R119"/>
    <mergeCell ref="S114:S119"/>
    <mergeCell ref="N146:N151"/>
    <mergeCell ref="O146:O151"/>
    <mergeCell ref="J186:J191"/>
    <mergeCell ref="B232:T232"/>
    <mergeCell ref="B233:T233"/>
    <mergeCell ref="M329:M334"/>
    <mergeCell ref="Q305:Q310"/>
    <mergeCell ref="R305:R310"/>
    <mergeCell ref="I417:T421"/>
    <mergeCell ref="B327:T327"/>
    <mergeCell ref="B328:T328"/>
    <mergeCell ref="B329:H329"/>
    <mergeCell ref="K186:K191"/>
    <mergeCell ref="B343:T343"/>
    <mergeCell ref="B344:T344"/>
    <mergeCell ref="P337:P342"/>
    <mergeCell ref="P321:P326"/>
    <mergeCell ref="T321:T326"/>
    <mergeCell ref="Q329:Q334"/>
    <mergeCell ref="R329:R334"/>
    <mergeCell ref="M402:M407"/>
    <mergeCell ref="S274:S279"/>
    <mergeCell ref="T274:T279"/>
    <mergeCell ref="N321:N326"/>
    <mergeCell ref="O321:O326"/>
    <mergeCell ref="I313:I318"/>
    <mergeCell ref="J313:J318"/>
    <mergeCell ref="K313:K318"/>
    <mergeCell ref="B311:T311"/>
    <mergeCell ref="R274:R279"/>
    <mergeCell ref="S297:S302"/>
    <mergeCell ref="R321:R326"/>
    <mergeCell ref="Q297:Q302"/>
    <mergeCell ref="K218:K223"/>
    <mergeCell ref="I305:I310"/>
    <mergeCell ref="A400:A407"/>
    <mergeCell ref="B400:T400"/>
    <mergeCell ref="B351:T351"/>
    <mergeCell ref="B352:T352"/>
    <mergeCell ref="B353:H353"/>
    <mergeCell ref="I353:I358"/>
    <mergeCell ref="K353:K358"/>
    <mergeCell ref="L353:L358"/>
    <mergeCell ref="Q337:Q342"/>
    <mergeCell ref="R337:R342"/>
    <mergeCell ref="S337:S342"/>
    <mergeCell ref="I345:I350"/>
    <mergeCell ref="O345:O350"/>
    <mergeCell ref="T329:T334"/>
    <mergeCell ref="S329:S334"/>
    <mergeCell ref="N329:N334"/>
    <mergeCell ref="O337:O342"/>
    <mergeCell ref="K345:K350"/>
    <mergeCell ref="L345:L350"/>
    <mergeCell ref="B335:T335"/>
    <mergeCell ref="Q402:Q407"/>
    <mergeCell ref="R402:R407"/>
    <mergeCell ref="S402:S407"/>
    <mergeCell ref="T402:T407"/>
    <mergeCell ref="K402:K407"/>
    <mergeCell ref="L402:L407"/>
    <mergeCell ref="N353:N358"/>
    <mergeCell ref="O353:O358"/>
    <mergeCell ref="P353:P358"/>
    <mergeCell ref="Q353:Q358"/>
    <mergeCell ref="Q361:Q366"/>
    <mergeCell ref="R361:R366"/>
    <mergeCell ref="B154:H154"/>
    <mergeCell ref="B152:T152"/>
    <mergeCell ref="N162:N167"/>
    <mergeCell ref="Q186:Q191"/>
    <mergeCell ref="T178:T183"/>
    <mergeCell ref="J202:J207"/>
    <mergeCell ref="Q194:Q199"/>
    <mergeCell ref="T202:T207"/>
    <mergeCell ref="R186:R191"/>
    <mergeCell ref="S186:S191"/>
    <mergeCell ref="T186:T191"/>
    <mergeCell ref="B178:H178"/>
    <mergeCell ref="L186:L191"/>
    <mergeCell ref="M186:M191"/>
    <mergeCell ref="B153:T153"/>
    <mergeCell ref="R162:R167"/>
    <mergeCell ref="I146:I151"/>
    <mergeCell ref="K162:K167"/>
    <mergeCell ref="T146:T151"/>
    <mergeCell ref="T162:T167"/>
    <mergeCell ref="Q162:Q167"/>
    <mergeCell ref="K154:K159"/>
    <mergeCell ref="L162:L167"/>
    <mergeCell ref="M162:M167"/>
    <mergeCell ref="P146:P151"/>
    <mergeCell ref="O154:O159"/>
    <mergeCell ref="P154:P159"/>
    <mergeCell ref="Q154:Q159"/>
    <mergeCell ref="R154:R159"/>
    <mergeCell ref="S154:S159"/>
    <mergeCell ref="T154:T159"/>
    <mergeCell ref="N178:N183"/>
    <mergeCell ref="I202:I207"/>
    <mergeCell ref="I178:I183"/>
    <mergeCell ref="J178:J183"/>
    <mergeCell ref="K178:K183"/>
    <mergeCell ref="B265:T265"/>
    <mergeCell ref="B266:H266"/>
    <mergeCell ref="I266:I271"/>
    <mergeCell ref="M274:M279"/>
    <mergeCell ref="N210:N215"/>
    <mergeCell ref="L202:L207"/>
    <mergeCell ref="M202:M207"/>
    <mergeCell ref="S258:S263"/>
    <mergeCell ref="B272:T272"/>
    <mergeCell ref="N266:N271"/>
    <mergeCell ref="Q226:Q231"/>
    <mergeCell ref="S218:S223"/>
    <mergeCell ref="B216:T216"/>
    <mergeCell ref="B217:T217"/>
    <mergeCell ref="B218:H218"/>
    <mergeCell ref="I218:I223"/>
    <mergeCell ref="J218:J223"/>
    <mergeCell ref="P210:P215"/>
    <mergeCell ref="Q210:Q215"/>
    <mergeCell ref="T226:T231"/>
    <mergeCell ref="O186:O191"/>
    <mergeCell ref="P186:P191"/>
    <mergeCell ref="B208:T208"/>
    <mergeCell ref="B209:T209"/>
    <mergeCell ref="R226:R231"/>
    <mergeCell ref="Q218:Q223"/>
    <mergeCell ref="B224:T224"/>
    <mergeCell ref="B225:T225"/>
    <mergeCell ref="B226:H226"/>
    <mergeCell ref="I226:I231"/>
    <mergeCell ref="J226:J231"/>
    <mergeCell ref="K226:K231"/>
    <mergeCell ref="L226:L231"/>
    <mergeCell ref="M226:M231"/>
    <mergeCell ref="B200:T200"/>
    <mergeCell ref="B201:T201"/>
    <mergeCell ref="B202:H202"/>
    <mergeCell ref="N202:N207"/>
    <mergeCell ref="O202:O207"/>
    <mergeCell ref="P202:P207"/>
    <mergeCell ref="S234:S239"/>
    <mergeCell ref="K266:K271"/>
    <mergeCell ref="L266:L271"/>
    <mergeCell ref="T297:T302"/>
    <mergeCell ref="Q234:Q239"/>
    <mergeCell ref="R218:R223"/>
    <mergeCell ref="B273:T273"/>
    <mergeCell ref="B274:H274"/>
    <mergeCell ref="M218:M223"/>
    <mergeCell ref="N218:N223"/>
    <mergeCell ref="O218:O223"/>
    <mergeCell ref="P218:P223"/>
    <mergeCell ref="T218:T223"/>
    <mergeCell ref="N226:N231"/>
    <mergeCell ref="O226:O231"/>
    <mergeCell ref="P226:P231"/>
    <mergeCell ref="I297:I302"/>
    <mergeCell ref="B249:T249"/>
    <mergeCell ref="B250:H250"/>
    <mergeCell ref="I250:I255"/>
    <mergeCell ref="A856:A863"/>
    <mergeCell ref="A783:A790"/>
    <mergeCell ref="M552:M558"/>
    <mergeCell ref="B552:H552"/>
    <mergeCell ref="I552:I558"/>
    <mergeCell ref="B1316:T1316"/>
    <mergeCell ref="A577:A585"/>
    <mergeCell ref="A586:A594"/>
    <mergeCell ref="A613:A621"/>
    <mergeCell ref="A664:A671"/>
    <mergeCell ref="R666:R671"/>
    <mergeCell ref="J666:J671"/>
    <mergeCell ref="A604:A612"/>
    <mergeCell ref="B604:T604"/>
    <mergeCell ref="B605:T605"/>
    <mergeCell ref="O606:O612"/>
    <mergeCell ref="I666:I671"/>
    <mergeCell ref="Q624:Q630"/>
    <mergeCell ref="R624:R630"/>
    <mergeCell ref="A888:A895"/>
    <mergeCell ref="B888:T888"/>
    <mergeCell ref="B578:T578"/>
    <mergeCell ref="T658:T663"/>
    <mergeCell ref="K658:K663"/>
    <mergeCell ref="T642:T647"/>
    <mergeCell ref="Q658:Q663"/>
    <mergeCell ref="N633:N639"/>
    <mergeCell ref="O666:O671"/>
    <mergeCell ref="Q666:Q671"/>
    <mergeCell ref="B622:T622"/>
    <mergeCell ref="B623:T623"/>
    <mergeCell ref="T588:T594"/>
    <mergeCell ref="N658:N663"/>
    <mergeCell ref="O658:O663"/>
    <mergeCell ref="P658:P663"/>
    <mergeCell ref="R642:R647"/>
    <mergeCell ref="T633:T639"/>
    <mergeCell ref="L642:L647"/>
    <mergeCell ref="B658:H658"/>
    <mergeCell ref="M658:M663"/>
    <mergeCell ref="L650:L655"/>
    <mergeCell ref="O624:O630"/>
    <mergeCell ref="T615:T621"/>
    <mergeCell ref="B1159:T1159"/>
    <mergeCell ref="B1160:H1160"/>
    <mergeCell ref="I1160:I1165"/>
    <mergeCell ref="K666:K671"/>
    <mergeCell ref="B889:T889"/>
    <mergeCell ref="B642:H642"/>
    <mergeCell ref="N650:N655"/>
    <mergeCell ref="O650:O655"/>
    <mergeCell ref="P650:P655"/>
    <mergeCell ref="S650:S655"/>
    <mergeCell ref="Q650:Q655"/>
    <mergeCell ref="B624:H624"/>
    <mergeCell ref="R898:R903"/>
    <mergeCell ref="S898:S903"/>
    <mergeCell ref="B1158:T1158"/>
    <mergeCell ref="Q978:Q983"/>
    <mergeCell ref="R978:R983"/>
    <mergeCell ref="J1160:J1165"/>
    <mergeCell ref="J624:J630"/>
    <mergeCell ref="Q682:Q687"/>
    <mergeCell ref="R682:R687"/>
    <mergeCell ref="R597:R603"/>
    <mergeCell ref="M597:M603"/>
    <mergeCell ref="B1207:T1207"/>
    <mergeCell ref="B1208:H1208"/>
    <mergeCell ref="T650:T655"/>
    <mergeCell ref="P1120:P1125"/>
    <mergeCell ref="Q1120:Q1125"/>
    <mergeCell ref="A1118:A1125"/>
    <mergeCell ref="A839:A846"/>
    <mergeCell ref="R1120:R1125"/>
    <mergeCell ref="I597:I603"/>
    <mergeCell ref="Q520:Q525"/>
    <mergeCell ref="R1318:R1323"/>
    <mergeCell ref="I606:I612"/>
    <mergeCell ref="Q570:Q576"/>
    <mergeCell ref="J579:J585"/>
    <mergeCell ref="O579:O585"/>
    <mergeCell ref="A1316:A1323"/>
    <mergeCell ref="S588:S594"/>
    <mergeCell ref="B597:H597"/>
    <mergeCell ref="A631:A639"/>
    <mergeCell ref="J615:J621"/>
    <mergeCell ref="J606:J612"/>
    <mergeCell ref="K606:K612"/>
    <mergeCell ref="T606:T612"/>
    <mergeCell ref="S642:S647"/>
    <mergeCell ref="R633:R639"/>
    <mergeCell ref="J1318:J1323"/>
    <mergeCell ref="N1152:N1157"/>
    <mergeCell ref="O1152:O1157"/>
    <mergeCell ref="L1318:L1323"/>
    <mergeCell ref="M1318:M1323"/>
    <mergeCell ref="N464:N469"/>
    <mergeCell ref="J432:J437"/>
    <mergeCell ref="O432:O437"/>
    <mergeCell ref="P464:P469"/>
    <mergeCell ref="T432:T437"/>
    <mergeCell ref="M432:M437"/>
    <mergeCell ref="M440:M445"/>
    <mergeCell ref="N432:N437"/>
    <mergeCell ref="O424:O429"/>
    <mergeCell ref="O464:O469"/>
    <mergeCell ref="M424:M429"/>
    <mergeCell ref="S424:S429"/>
    <mergeCell ref="S440:S445"/>
    <mergeCell ref="I440:I445"/>
    <mergeCell ref="I448:I453"/>
    <mergeCell ref="B438:T438"/>
    <mergeCell ref="T440:T445"/>
    <mergeCell ref="T448:T453"/>
    <mergeCell ref="P440:P445"/>
    <mergeCell ref="B462:T462"/>
    <mergeCell ref="B446:T446"/>
    <mergeCell ref="B448:G448"/>
    <mergeCell ref="B432:H432"/>
    <mergeCell ref="B424:H424"/>
    <mergeCell ref="P448:P453"/>
    <mergeCell ref="Q432:Q437"/>
    <mergeCell ref="Q424:Q429"/>
    <mergeCell ref="S432:S437"/>
    <mergeCell ref="A1452:T1452"/>
    <mergeCell ref="A1453:B1453"/>
    <mergeCell ref="A1454:B1454"/>
    <mergeCell ref="A1455:B1455"/>
    <mergeCell ref="A1456:B1456"/>
    <mergeCell ref="A1457:B1457"/>
    <mergeCell ref="B1360:T1360"/>
    <mergeCell ref="B1361:T1361"/>
    <mergeCell ref="I1362:I1367"/>
    <mergeCell ref="J1362:J1367"/>
    <mergeCell ref="M1414:M1419"/>
    <mergeCell ref="N1414:N1419"/>
    <mergeCell ref="O1414:O1419"/>
    <mergeCell ref="P1414:P1419"/>
    <mergeCell ref="A1352:A1359"/>
    <mergeCell ref="B1444:T1444"/>
    <mergeCell ref="B1445:T1445"/>
    <mergeCell ref="B1446:H1446"/>
    <mergeCell ref="A1360:A1367"/>
    <mergeCell ref="T1362:T1367"/>
    <mergeCell ref="R1362:R1367"/>
    <mergeCell ref="I1446:I1451"/>
    <mergeCell ref="J1446:J1451"/>
    <mergeCell ref="K1446:K1451"/>
    <mergeCell ref="Q1354:Q1359"/>
    <mergeCell ref="A1390:A1397"/>
    <mergeCell ref="B1390:T1390"/>
    <mergeCell ref="B1391:T1391"/>
    <mergeCell ref="B1392:H1392"/>
    <mergeCell ref="I1392:I1397"/>
    <mergeCell ref="Q1392:Q1397"/>
    <mergeCell ref="R1392:R1397"/>
    <mergeCell ref="A1338:A1345"/>
    <mergeCell ref="A1324:A1329"/>
    <mergeCell ref="B1324:T1324"/>
    <mergeCell ref="I1325:T1329"/>
    <mergeCell ref="T1310:T1315"/>
    <mergeCell ref="I527:T532"/>
    <mergeCell ref="J552:J558"/>
    <mergeCell ref="J535:J540"/>
    <mergeCell ref="M535:M540"/>
    <mergeCell ref="L1446:L1451"/>
    <mergeCell ref="M1446:M1451"/>
    <mergeCell ref="N1446:N1451"/>
    <mergeCell ref="O1446:O1451"/>
    <mergeCell ref="P1446:P1451"/>
    <mergeCell ref="K1354:K1359"/>
    <mergeCell ref="L1354:L1359"/>
    <mergeCell ref="R561:R567"/>
    <mergeCell ref="S561:S567"/>
    <mergeCell ref="R1354:R1359"/>
    <mergeCell ref="S1354:S1359"/>
    <mergeCell ref="N1354:N1359"/>
    <mergeCell ref="A1330:A1337"/>
    <mergeCell ref="B1330:T1330"/>
    <mergeCell ref="O1310:O1315"/>
    <mergeCell ref="A1346:A1351"/>
    <mergeCell ref="Q1446:Q1451"/>
    <mergeCell ref="R1446:R1451"/>
    <mergeCell ref="S1446:S1451"/>
    <mergeCell ref="O1318:O1323"/>
    <mergeCell ref="T1354:T1359"/>
    <mergeCell ref="O1354:O1359"/>
    <mergeCell ref="P1354:P1359"/>
    <mergeCell ref="B890:H890"/>
    <mergeCell ref="N890:N895"/>
    <mergeCell ref="S825:S830"/>
    <mergeCell ref="P866:P871"/>
    <mergeCell ref="B856:T856"/>
    <mergeCell ref="S914:S919"/>
    <mergeCell ref="T914:T919"/>
    <mergeCell ref="P1152:P1157"/>
    <mergeCell ref="L1128:L1133"/>
    <mergeCell ref="T1136:T1141"/>
    <mergeCell ref="J1136:J1141"/>
    <mergeCell ref="K1136:K1141"/>
    <mergeCell ref="L1136:L1141"/>
    <mergeCell ref="M1136:M1141"/>
    <mergeCell ref="N1136:N1141"/>
    <mergeCell ref="B1352:T1352"/>
    <mergeCell ref="B1346:T1346"/>
    <mergeCell ref="S1152:S1157"/>
    <mergeCell ref="T1152:T1157"/>
    <mergeCell ref="B1206:T1206"/>
    <mergeCell ref="N1232:N1237"/>
    <mergeCell ref="O1232:O1237"/>
    <mergeCell ref="Q1096:Q1101"/>
    <mergeCell ref="B1111:T1111"/>
    <mergeCell ref="J1296:J1301"/>
    <mergeCell ref="K1296:K1301"/>
    <mergeCell ref="L1296:L1301"/>
    <mergeCell ref="M1296:M1301"/>
    <mergeCell ref="N1296:N1301"/>
    <mergeCell ref="O1296:O1301"/>
    <mergeCell ref="L1208:L1213"/>
    <mergeCell ref="B1308:T1308"/>
    <mergeCell ref="I472:I477"/>
    <mergeCell ref="B588:H588"/>
    <mergeCell ref="O588:O594"/>
    <mergeCell ref="M588:M594"/>
    <mergeCell ref="Q561:Q567"/>
    <mergeCell ref="K570:K576"/>
    <mergeCell ref="M570:M576"/>
    <mergeCell ref="N570:N576"/>
    <mergeCell ref="L543:L549"/>
    <mergeCell ref="P561:P567"/>
    <mergeCell ref="L597:L603"/>
    <mergeCell ref="B568:T568"/>
    <mergeCell ref="S543:S549"/>
    <mergeCell ref="N579:N585"/>
    <mergeCell ref="B579:H579"/>
    <mergeCell ref="L570:L576"/>
    <mergeCell ref="Q579:Q585"/>
    <mergeCell ref="B577:T577"/>
    <mergeCell ref="P488:P493"/>
    <mergeCell ref="B495:T495"/>
    <mergeCell ref="B487:T487"/>
    <mergeCell ref="T579:T585"/>
    <mergeCell ref="T597:T603"/>
    <mergeCell ref="K480:K485"/>
    <mergeCell ref="B502:T502"/>
    <mergeCell ref="B503:T503"/>
    <mergeCell ref="B504:H504"/>
    <mergeCell ref="I504:I511"/>
    <mergeCell ref="Q588:Q594"/>
    <mergeCell ref="L504:L511"/>
    <mergeCell ref="M504:M511"/>
    <mergeCell ref="I561:I567"/>
    <mergeCell ref="A136:A143"/>
    <mergeCell ref="O305:O310"/>
    <mergeCell ref="P305:P310"/>
    <mergeCell ref="M305:M310"/>
    <mergeCell ref="N305:N310"/>
    <mergeCell ref="S305:S310"/>
    <mergeCell ref="O138:O143"/>
    <mergeCell ref="P138:P143"/>
    <mergeCell ref="Q138:Q143"/>
    <mergeCell ref="R138:R143"/>
    <mergeCell ref="S138:S143"/>
    <mergeCell ref="T138:T143"/>
    <mergeCell ref="A144:A151"/>
    <mergeCell ref="B144:T144"/>
    <mergeCell ref="B145:T145"/>
    <mergeCell ref="B146:H146"/>
    <mergeCell ref="R552:R558"/>
    <mergeCell ref="J488:J493"/>
    <mergeCell ref="K488:K493"/>
    <mergeCell ref="L488:L493"/>
    <mergeCell ref="A430:A437"/>
    <mergeCell ref="A438:A445"/>
    <mergeCell ref="N488:N493"/>
    <mergeCell ref="M472:M477"/>
    <mergeCell ref="M138:M143"/>
    <mergeCell ref="N138:N143"/>
    <mergeCell ref="A152:A159"/>
    <mergeCell ref="I154:I159"/>
    <mergeCell ref="J154:J159"/>
    <mergeCell ref="L154:L159"/>
    <mergeCell ref="M154:M159"/>
    <mergeCell ref="N154:N159"/>
    <mergeCell ref="B41:T41"/>
    <mergeCell ref="B42:H42"/>
    <mergeCell ref="I42:I47"/>
    <mergeCell ref="J42:J47"/>
    <mergeCell ref="K42:K47"/>
    <mergeCell ref="B25:T25"/>
    <mergeCell ref="B26:H26"/>
    <mergeCell ref="I26:I31"/>
    <mergeCell ref="N42:N47"/>
    <mergeCell ref="R42:R47"/>
    <mergeCell ref="S26:S31"/>
    <mergeCell ref="L34:L39"/>
    <mergeCell ref="B48:T48"/>
    <mergeCell ref="O90:O95"/>
    <mergeCell ref="P90:P95"/>
    <mergeCell ref="B49:T49"/>
    <mergeCell ref="O82:O87"/>
    <mergeCell ref="N66:N71"/>
    <mergeCell ref="O58:O63"/>
    <mergeCell ref="P58:P63"/>
    <mergeCell ref="J50:J55"/>
    <mergeCell ref="K50:K55"/>
    <mergeCell ref="K66:K71"/>
    <mergeCell ref="L66:L71"/>
    <mergeCell ref="M82:M87"/>
    <mergeCell ref="N82:N87"/>
    <mergeCell ref="S90:S95"/>
    <mergeCell ref="K90:K95"/>
    <mergeCell ref="L90:L95"/>
    <mergeCell ref="J90:J95"/>
    <mergeCell ref="S58:S63"/>
    <mergeCell ref="S42:S47"/>
    <mergeCell ref="T42:T47"/>
    <mergeCell ref="A32:A39"/>
    <mergeCell ref="B32:T32"/>
    <mergeCell ref="B33:T33"/>
    <mergeCell ref="B34:H34"/>
    <mergeCell ref="O26:O31"/>
    <mergeCell ref="A24:A31"/>
    <mergeCell ref="B24:T24"/>
    <mergeCell ref="A40:A47"/>
    <mergeCell ref="M42:M47"/>
    <mergeCell ref="K26:K31"/>
    <mergeCell ref="L26:L31"/>
    <mergeCell ref="M26:M31"/>
    <mergeCell ref="N26:N31"/>
    <mergeCell ref="P26:P31"/>
    <mergeCell ref="T26:T31"/>
    <mergeCell ref="Q26:Q31"/>
    <mergeCell ref="R26:R31"/>
    <mergeCell ref="J26:J31"/>
    <mergeCell ref="R34:R39"/>
    <mergeCell ref="S34:S39"/>
    <mergeCell ref="T34:T39"/>
    <mergeCell ref="B40:T40"/>
    <mergeCell ref="I34:I39"/>
    <mergeCell ref="J34:J39"/>
    <mergeCell ref="K34:K39"/>
    <mergeCell ref="P42:P47"/>
    <mergeCell ref="O42:O47"/>
    <mergeCell ref="Q42:Q47"/>
    <mergeCell ref="L42:L47"/>
    <mergeCell ref="Q34:Q39"/>
    <mergeCell ref="N34:N39"/>
    <mergeCell ref="A5:T5"/>
    <mergeCell ref="A6:T6"/>
    <mergeCell ref="T18:T23"/>
    <mergeCell ref="O18:O23"/>
    <mergeCell ref="P18:P23"/>
    <mergeCell ref="Q18:Q23"/>
    <mergeCell ref="R18:R23"/>
    <mergeCell ref="S18:S23"/>
    <mergeCell ref="B16:T16"/>
    <mergeCell ref="B17:T17"/>
    <mergeCell ref="I18:I23"/>
    <mergeCell ref="J18:J23"/>
    <mergeCell ref="K18:K23"/>
    <mergeCell ref="L18:L23"/>
    <mergeCell ref="M18:M23"/>
    <mergeCell ref="N18:N23"/>
    <mergeCell ref="A16:A23"/>
    <mergeCell ref="B18:H18"/>
    <mergeCell ref="A10:A15"/>
    <mergeCell ref="B10:T10"/>
    <mergeCell ref="I11:T15"/>
    <mergeCell ref="A7:A8"/>
    <mergeCell ref="B7:B8"/>
    <mergeCell ref="C7:H7"/>
    <mergeCell ref="I7:I8"/>
    <mergeCell ref="J7:J8"/>
    <mergeCell ref="K7:K8"/>
    <mergeCell ref="L7:L8"/>
    <mergeCell ref="M7:M8"/>
    <mergeCell ref="N7:N8"/>
    <mergeCell ref="O7:O8"/>
    <mergeCell ref="P7:P8"/>
    <mergeCell ref="A48:A55"/>
    <mergeCell ref="A56:A63"/>
    <mergeCell ref="A64:A71"/>
    <mergeCell ref="Q58:Q63"/>
    <mergeCell ref="N74:N79"/>
    <mergeCell ref="O74:O79"/>
    <mergeCell ref="P74:P79"/>
    <mergeCell ref="B66:H66"/>
    <mergeCell ref="I66:I71"/>
    <mergeCell ref="J66:J71"/>
    <mergeCell ref="Q90:Q95"/>
    <mergeCell ref="A88:A95"/>
    <mergeCell ref="Q82:Q87"/>
    <mergeCell ref="B88:T88"/>
    <mergeCell ref="B89:T89"/>
    <mergeCell ref="B90:H90"/>
    <mergeCell ref="T90:T95"/>
    <mergeCell ref="A72:A79"/>
    <mergeCell ref="K82:K87"/>
    <mergeCell ref="P50:P55"/>
    <mergeCell ref="Q50:Q55"/>
    <mergeCell ref="R50:R55"/>
    <mergeCell ref="S50:S55"/>
    <mergeCell ref="O66:O71"/>
    <mergeCell ref="N90:N95"/>
    <mergeCell ref="J74:J79"/>
    <mergeCell ref="K74:K79"/>
    <mergeCell ref="B74:H74"/>
    <mergeCell ref="I74:I79"/>
    <mergeCell ref="B80:T80"/>
    <mergeCell ref="B81:T81"/>
    <mergeCell ref="R74:R79"/>
    <mergeCell ref="J82:J87"/>
    <mergeCell ref="I90:I95"/>
    <mergeCell ref="B162:H162"/>
    <mergeCell ref="I162:I167"/>
    <mergeCell ref="P579:P585"/>
    <mergeCell ref="J106:J111"/>
    <mergeCell ref="K98:K103"/>
    <mergeCell ref="L98:L103"/>
    <mergeCell ref="B97:T97"/>
    <mergeCell ref="B98:H98"/>
    <mergeCell ref="I98:I103"/>
    <mergeCell ref="M98:M103"/>
    <mergeCell ref="N98:N103"/>
    <mergeCell ref="M106:M111"/>
    <mergeCell ref="N106:N111"/>
    <mergeCell ref="N122:N127"/>
    <mergeCell ref="B136:T136"/>
    <mergeCell ref="B137:T137"/>
    <mergeCell ref="B138:H138"/>
    <mergeCell ref="I138:I143"/>
    <mergeCell ref="M579:M585"/>
    <mergeCell ref="S130:S135"/>
    <mergeCell ref="B128:T128"/>
    <mergeCell ref="J138:J143"/>
    <mergeCell ref="K138:K143"/>
    <mergeCell ref="L138:L143"/>
    <mergeCell ref="T114:T119"/>
    <mergeCell ref="S579:S585"/>
    <mergeCell ref="M122:M127"/>
    <mergeCell ref="M130:M135"/>
    <mergeCell ref="L82:L87"/>
    <mergeCell ref="S472:S477"/>
    <mergeCell ref="P3:T3"/>
    <mergeCell ref="B664:T664"/>
    <mergeCell ref="L552:L558"/>
    <mergeCell ref="P552:P558"/>
    <mergeCell ref="B595:T595"/>
    <mergeCell ref="I588:I594"/>
    <mergeCell ref="J588:J594"/>
    <mergeCell ref="K588:K594"/>
    <mergeCell ref="N597:N603"/>
    <mergeCell ref="O597:O603"/>
    <mergeCell ref="P597:P603"/>
    <mergeCell ref="Q597:Q603"/>
    <mergeCell ref="M561:M567"/>
    <mergeCell ref="N561:N567"/>
    <mergeCell ref="S570:S576"/>
    <mergeCell ref="T570:T576"/>
    <mergeCell ref="J570:J576"/>
    <mergeCell ref="R82:R87"/>
    <mergeCell ref="B72:T72"/>
    <mergeCell ref="B73:T73"/>
    <mergeCell ref="M34:M39"/>
    <mergeCell ref="R90:R95"/>
    <mergeCell ref="P82:P87"/>
    <mergeCell ref="M90:M95"/>
    <mergeCell ref="B112:T112"/>
    <mergeCell ref="B113:T113"/>
    <mergeCell ref="P106:P111"/>
    <mergeCell ref="I579:I585"/>
    <mergeCell ref="B518:T518"/>
    <mergeCell ref="B535:H535"/>
    <mergeCell ref="B614:T614"/>
    <mergeCell ref="S606:S612"/>
    <mergeCell ref="O34:O39"/>
    <mergeCell ref="P34:P39"/>
    <mergeCell ref="B104:T104"/>
    <mergeCell ref="L606:L612"/>
    <mergeCell ref="M606:M612"/>
    <mergeCell ref="N606:N612"/>
    <mergeCell ref="B106:H106"/>
    <mergeCell ref="N588:N594"/>
    <mergeCell ref="L74:L79"/>
    <mergeCell ref="M74:M79"/>
    <mergeCell ref="P588:P594"/>
    <mergeCell ref="P615:P621"/>
    <mergeCell ref="Q615:Q621"/>
    <mergeCell ref="K579:K585"/>
    <mergeCell ref="O496:O501"/>
    <mergeCell ref="P496:P501"/>
    <mergeCell ref="Q496:Q501"/>
    <mergeCell ref="R496:R501"/>
    <mergeCell ref="B121:T121"/>
    <mergeCell ref="R579:R585"/>
    <mergeCell ref="B105:T105"/>
    <mergeCell ref="B82:H82"/>
    <mergeCell ref="I82:I87"/>
    <mergeCell ref="Q74:Q79"/>
    <mergeCell ref="J114:J119"/>
    <mergeCell ref="Q146:Q151"/>
    <mergeCell ref="R146:R151"/>
    <mergeCell ref="I114:I119"/>
    <mergeCell ref="B114:H114"/>
    <mergeCell ref="S74:S79"/>
    <mergeCell ref="T74:T79"/>
    <mergeCell ref="O106:O111"/>
    <mergeCell ref="A728:A735"/>
    <mergeCell ref="B728:T728"/>
    <mergeCell ref="B729:T729"/>
    <mergeCell ref="N690:N695"/>
    <mergeCell ref="T666:T671"/>
    <mergeCell ref="I682:I687"/>
    <mergeCell ref="J682:J687"/>
    <mergeCell ref="M666:M671"/>
    <mergeCell ref="S666:S671"/>
    <mergeCell ref="P722:P727"/>
    <mergeCell ref="S674:S679"/>
    <mergeCell ref="J642:J647"/>
    <mergeCell ref="M674:M679"/>
    <mergeCell ref="N674:N679"/>
    <mergeCell ref="O690:O695"/>
    <mergeCell ref="P690:P695"/>
    <mergeCell ref="Q690:Q695"/>
    <mergeCell ref="A712:A719"/>
    <mergeCell ref="M690:M695"/>
    <mergeCell ref="Q706:Q711"/>
    <mergeCell ref="A656:A663"/>
    <mergeCell ref="I642:I647"/>
    <mergeCell ref="O682:O687"/>
    <mergeCell ref="P682:P687"/>
    <mergeCell ref="M698:M703"/>
    <mergeCell ref="N698:N703"/>
    <mergeCell ref="T682:T687"/>
    <mergeCell ref="J674:J679"/>
    <mergeCell ref="M650:M655"/>
    <mergeCell ref="L706:L711"/>
    <mergeCell ref="N666:N671"/>
    <mergeCell ref="L682:L687"/>
    <mergeCell ref="S777:S782"/>
    <mergeCell ref="T777:T782"/>
    <mergeCell ref="J754:J759"/>
    <mergeCell ref="B775:T775"/>
    <mergeCell ref="B673:T673"/>
    <mergeCell ref="B688:T688"/>
    <mergeCell ref="O698:O703"/>
    <mergeCell ref="P698:P703"/>
    <mergeCell ref="Q698:Q703"/>
    <mergeCell ref="B768:T768"/>
    <mergeCell ref="K777:K782"/>
    <mergeCell ref="B656:T656"/>
    <mergeCell ref="S658:S663"/>
    <mergeCell ref="L698:L703"/>
    <mergeCell ref="P777:P782"/>
    <mergeCell ref="N682:N687"/>
    <mergeCell ref="I698:I703"/>
    <mergeCell ref="R698:R703"/>
    <mergeCell ref="L777:L782"/>
    <mergeCell ref="N746:N751"/>
    <mergeCell ref="N762:N767"/>
    <mergeCell ref="Q762:Q767"/>
    <mergeCell ref="B760:T760"/>
    <mergeCell ref="B761:T761"/>
    <mergeCell ref="B753:T753"/>
    <mergeCell ref="M722:M727"/>
    <mergeCell ref="P714:P719"/>
    <mergeCell ref="Q714:Q719"/>
    <mergeCell ref="K698:K703"/>
    <mergeCell ref="B672:T672"/>
    <mergeCell ref="R730:R735"/>
    <mergeCell ref="S730:S735"/>
    <mergeCell ref="B633:H633"/>
    <mergeCell ref="I633:I639"/>
    <mergeCell ref="A1126:A1133"/>
    <mergeCell ref="Q722:Q727"/>
    <mergeCell ref="R722:R727"/>
    <mergeCell ref="S722:S727"/>
    <mergeCell ref="T722:T727"/>
    <mergeCell ref="J730:J735"/>
    <mergeCell ref="K730:K735"/>
    <mergeCell ref="L730:L735"/>
    <mergeCell ref="M841:M846"/>
    <mergeCell ref="N841:N846"/>
    <mergeCell ref="O841:O846"/>
    <mergeCell ref="P841:P846"/>
    <mergeCell ref="I825:I830"/>
    <mergeCell ref="B833:H833"/>
    <mergeCell ref="I833:I838"/>
    <mergeCell ref="R841:R846"/>
    <mergeCell ref="S841:S846"/>
    <mergeCell ref="B776:T776"/>
    <mergeCell ref="B777:H777"/>
    <mergeCell ref="I777:I782"/>
    <mergeCell ref="T762:T767"/>
    <mergeCell ref="M746:M751"/>
    <mergeCell ref="T738:T743"/>
    <mergeCell ref="T698:T703"/>
    <mergeCell ref="N777:N782"/>
    <mergeCell ref="O777:O782"/>
    <mergeCell ref="I793:I798"/>
    <mergeCell ref="J793:J798"/>
    <mergeCell ref="Q777:Q782"/>
    <mergeCell ref="R777:R782"/>
    <mergeCell ref="I809:I814"/>
    <mergeCell ref="R801:R806"/>
    <mergeCell ref="N849:N855"/>
    <mergeCell ref="R825:R830"/>
    <mergeCell ref="B839:T839"/>
    <mergeCell ref="O858:O863"/>
    <mergeCell ref="N833:N838"/>
    <mergeCell ref="I817:I822"/>
    <mergeCell ref="P833:P838"/>
    <mergeCell ref="B840:T840"/>
    <mergeCell ref="B841:H841"/>
    <mergeCell ref="P849:P855"/>
    <mergeCell ref="B823:T823"/>
    <mergeCell ref="Q825:Q830"/>
    <mergeCell ref="B857:T857"/>
    <mergeCell ref="T849:T855"/>
    <mergeCell ref="P809:P814"/>
    <mergeCell ref="Q809:Q814"/>
    <mergeCell ref="R809:R814"/>
    <mergeCell ref="S809:S814"/>
    <mergeCell ref="T809:T814"/>
    <mergeCell ref="J833:J838"/>
    <mergeCell ref="P858:P863"/>
    <mergeCell ref="Q858:Q863"/>
    <mergeCell ref="M833:M838"/>
    <mergeCell ref="B801:H801"/>
    <mergeCell ref="I801:I806"/>
    <mergeCell ref="I841:I846"/>
    <mergeCell ref="O833:O838"/>
    <mergeCell ref="N817:N822"/>
    <mergeCell ref="O817:O822"/>
    <mergeCell ref="K825:K830"/>
    <mergeCell ref="A1088:A1093"/>
    <mergeCell ref="S882:S887"/>
    <mergeCell ref="N874:N879"/>
    <mergeCell ref="O874:O879"/>
    <mergeCell ref="P874:P879"/>
    <mergeCell ref="Q874:Q879"/>
    <mergeCell ref="T874:T879"/>
    <mergeCell ref="J890:J895"/>
    <mergeCell ref="L785:L790"/>
    <mergeCell ref="K793:K798"/>
    <mergeCell ref="B817:H817"/>
    <mergeCell ref="R858:R863"/>
    <mergeCell ref="S858:S863"/>
    <mergeCell ref="B807:T807"/>
    <mergeCell ref="B808:T808"/>
    <mergeCell ref="R833:R838"/>
    <mergeCell ref="S833:S838"/>
    <mergeCell ref="T890:T895"/>
    <mergeCell ref="K922:K927"/>
    <mergeCell ref="L922:L927"/>
    <mergeCell ref="L849:L855"/>
    <mergeCell ref="O906:O911"/>
    <mergeCell ref="R1034:R1039"/>
    <mergeCell ref="S1034:S1039"/>
    <mergeCell ref="T1034:T1039"/>
    <mergeCell ref="Q1018:Q1023"/>
    <mergeCell ref="T946:T951"/>
    <mergeCell ref="Q833:Q838"/>
    <mergeCell ref="L914:L919"/>
    <mergeCell ref="M914:M919"/>
    <mergeCell ref="N914:N919"/>
    <mergeCell ref="N785:N790"/>
    <mergeCell ref="A168:A175"/>
    <mergeCell ref="B168:T168"/>
    <mergeCell ref="B169:T169"/>
    <mergeCell ref="B170:H170"/>
    <mergeCell ref="I170:I175"/>
    <mergeCell ref="J170:J175"/>
    <mergeCell ref="K170:K175"/>
    <mergeCell ref="L170:L175"/>
    <mergeCell ref="M170:M175"/>
    <mergeCell ref="N170:N175"/>
    <mergeCell ref="B783:T783"/>
    <mergeCell ref="B784:T784"/>
    <mergeCell ref="B785:H785"/>
    <mergeCell ref="R714:R719"/>
    <mergeCell ref="J817:J822"/>
    <mergeCell ref="J1096:J1101"/>
    <mergeCell ref="K1096:K1101"/>
    <mergeCell ref="L1096:L1101"/>
    <mergeCell ref="R866:R871"/>
    <mergeCell ref="L906:L911"/>
    <mergeCell ref="M906:M911"/>
    <mergeCell ref="N906:N911"/>
    <mergeCell ref="M849:M855"/>
    <mergeCell ref="S817:S822"/>
    <mergeCell ref="N825:N830"/>
    <mergeCell ref="T714:T719"/>
    <mergeCell ref="N722:N727"/>
    <mergeCell ref="O722:O727"/>
    <mergeCell ref="S714:S719"/>
    <mergeCell ref="J777:J782"/>
    <mergeCell ref="K817:K822"/>
    <mergeCell ref="L817:L822"/>
    <mergeCell ref="P122:P127"/>
    <mergeCell ref="B122:H122"/>
    <mergeCell ref="S146:S151"/>
    <mergeCell ref="Q106:Q111"/>
    <mergeCell ref="R106:R111"/>
    <mergeCell ref="Q122:Q127"/>
    <mergeCell ref="R122:R127"/>
    <mergeCell ref="N114:N119"/>
    <mergeCell ref="L130:L135"/>
    <mergeCell ref="N130:N135"/>
    <mergeCell ref="O114:O119"/>
    <mergeCell ref="P114:P119"/>
    <mergeCell ref="M146:M151"/>
    <mergeCell ref="S122:S127"/>
    <mergeCell ref="B129:T129"/>
    <mergeCell ref="O130:O135"/>
    <mergeCell ref="P130:P135"/>
    <mergeCell ref="Q130:Q135"/>
    <mergeCell ref="R130:R135"/>
    <mergeCell ref="T130:T135"/>
    <mergeCell ref="T122:T127"/>
    <mergeCell ref="R98:R103"/>
    <mergeCell ref="O98:O103"/>
    <mergeCell ref="K114:K119"/>
    <mergeCell ref="L114:L119"/>
    <mergeCell ref="K130:K135"/>
    <mergeCell ref="O122:O127"/>
    <mergeCell ref="K106:K111"/>
    <mergeCell ref="L106:L111"/>
    <mergeCell ref="A80:A87"/>
    <mergeCell ref="R520:R525"/>
    <mergeCell ref="S520:S525"/>
    <mergeCell ref="N543:N549"/>
    <mergeCell ref="B559:T559"/>
    <mergeCell ref="N535:N540"/>
    <mergeCell ref="B534:T534"/>
    <mergeCell ref="B526:T526"/>
    <mergeCell ref="O570:O576"/>
    <mergeCell ref="B570:H570"/>
    <mergeCell ref="P535:P540"/>
    <mergeCell ref="B541:T541"/>
    <mergeCell ref="B543:G543"/>
    <mergeCell ref="S535:S540"/>
    <mergeCell ref="K535:K540"/>
    <mergeCell ref="B464:H464"/>
    <mergeCell ref="Q464:Q469"/>
    <mergeCell ref="R464:R469"/>
    <mergeCell ref="Q535:Q540"/>
    <mergeCell ref="B496:H496"/>
    <mergeCell ref="I496:I501"/>
    <mergeCell ref="J496:J501"/>
    <mergeCell ref="M496:M501"/>
    <mergeCell ref="N496:N501"/>
    <mergeCell ref="S82:S87"/>
    <mergeCell ref="T82:T87"/>
    <mergeCell ref="B120:T120"/>
    <mergeCell ref="S98:S103"/>
    <mergeCell ref="J98:J103"/>
    <mergeCell ref="P98:P103"/>
    <mergeCell ref="Q98:Q103"/>
    <mergeCell ref="L561:L567"/>
    <mergeCell ref="J561:J567"/>
    <mergeCell ref="T561:T567"/>
    <mergeCell ref="I535:I540"/>
    <mergeCell ref="K552:K558"/>
    <mergeCell ref="O561:O567"/>
    <mergeCell ref="S552:S558"/>
    <mergeCell ref="B561:H561"/>
    <mergeCell ref="O543:O549"/>
    <mergeCell ref="P543:P549"/>
    <mergeCell ref="K561:K567"/>
    <mergeCell ref="B542:T542"/>
    <mergeCell ref="S496:S501"/>
    <mergeCell ref="T496:T501"/>
    <mergeCell ref="I543:I549"/>
    <mergeCell ref="T520:T525"/>
    <mergeCell ref="T535:T540"/>
    <mergeCell ref="J543:J549"/>
    <mergeCell ref="B533:T533"/>
    <mergeCell ref="O520:O525"/>
    <mergeCell ref="T98:T103"/>
    <mergeCell ref="K543:K549"/>
    <mergeCell ref="B96:T96"/>
    <mergeCell ref="I520:I525"/>
    <mergeCell ref="J520:J525"/>
    <mergeCell ref="B65:T65"/>
    <mergeCell ref="L50:L55"/>
    <mergeCell ref="M50:M55"/>
    <mergeCell ref="N50:N55"/>
    <mergeCell ref="O50:O55"/>
    <mergeCell ref="B56:T56"/>
    <mergeCell ref="R58:R63"/>
    <mergeCell ref="M66:M71"/>
    <mergeCell ref="S66:S71"/>
    <mergeCell ref="T66:T71"/>
    <mergeCell ref="B57:T57"/>
    <mergeCell ref="B58:H58"/>
    <mergeCell ref="I58:I63"/>
    <mergeCell ref="J58:J63"/>
    <mergeCell ref="K58:K63"/>
    <mergeCell ref="L58:L63"/>
    <mergeCell ref="N58:N63"/>
    <mergeCell ref="M58:M63"/>
    <mergeCell ref="I50:I55"/>
    <mergeCell ref="B50:H50"/>
    <mergeCell ref="B64:T64"/>
    <mergeCell ref="T50:T55"/>
    <mergeCell ref="P66:P71"/>
    <mergeCell ref="Q66:Q71"/>
    <mergeCell ref="R66:R71"/>
    <mergeCell ref="T58:T63"/>
    <mergeCell ref="B1421:T1421"/>
    <mergeCell ref="J658:J663"/>
    <mergeCell ref="I658:I663"/>
    <mergeCell ref="B550:T550"/>
    <mergeCell ref="B587:T587"/>
    <mergeCell ref="M1310:M1315"/>
    <mergeCell ref="P1136:P1141"/>
    <mergeCell ref="K914:K919"/>
    <mergeCell ref="P1160:P1165"/>
    <mergeCell ref="B1182:T1182"/>
    <mergeCell ref="Q1144:Q1149"/>
    <mergeCell ref="R1144:R1149"/>
    <mergeCell ref="B1128:H1128"/>
    <mergeCell ref="I1128:I1133"/>
    <mergeCell ref="K682:K687"/>
    <mergeCell ref="M682:M687"/>
    <mergeCell ref="Q1318:Q1323"/>
    <mergeCell ref="L579:L585"/>
    <mergeCell ref="N1160:N1165"/>
    <mergeCell ref="O1160:O1165"/>
    <mergeCell ref="B586:T586"/>
    <mergeCell ref="L588:L594"/>
    <mergeCell ref="K1392:K1397"/>
    <mergeCell ref="B720:T720"/>
    <mergeCell ref="M1104:M1109"/>
    <mergeCell ref="M817:M822"/>
    <mergeCell ref="T825:T830"/>
    <mergeCell ref="K841:K846"/>
    <mergeCell ref="T841:T846"/>
    <mergeCell ref="B791:T791"/>
    <mergeCell ref="B792:T792"/>
    <mergeCell ref="B793:H793"/>
    <mergeCell ref="A1458:B1458"/>
    <mergeCell ref="P1422:P1427"/>
    <mergeCell ref="Q1422:Q1427"/>
    <mergeCell ref="R1422:R1427"/>
    <mergeCell ref="A1444:A1451"/>
    <mergeCell ref="A1436:A1443"/>
    <mergeCell ref="B1436:T1436"/>
    <mergeCell ref="B1437:T1437"/>
    <mergeCell ref="B1438:H1438"/>
    <mergeCell ref="I1438:I1443"/>
    <mergeCell ref="J1438:J1443"/>
    <mergeCell ref="K1438:K1443"/>
    <mergeCell ref="L1438:L1443"/>
    <mergeCell ref="M1438:M1443"/>
    <mergeCell ref="N1438:N1443"/>
    <mergeCell ref="O1438:O1443"/>
    <mergeCell ref="B1183:T1183"/>
    <mergeCell ref="P1184:P1189"/>
    <mergeCell ref="T1216:T1221"/>
    <mergeCell ref="R1288:R1293"/>
    <mergeCell ref="T1288:T1293"/>
    <mergeCell ref="M1264:M1269"/>
    <mergeCell ref="I1354:I1359"/>
    <mergeCell ref="B1362:H1362"/>
    <mergeCell ref="R1310:R1315"/>
    <mergeCell ref="S1310:S1315"/>
    <mergeCell ref="N1310:N1315"/>
    <mergeCell ref="B1294:T1294"/>
    <mergeCell ref="T1446:T1451"/>
    <mergeCell ref="Q1430:Q1435"/>
    <mergeCell ref="R1430:R1435"/>
    <mergeCell ref="S1422:S1427"/>
    <mergeCell ref="B596:T596"/>
    <mergeCell ref="S597:S603"/>
    <mergeCell ref="K597:K603"/>
    <mergeCell ref="B832:T832"/>
    <mergeCell ref="B1428:T1428"/>
    <mergeCell ref="A1428:A1435"/>
    <mergeCell ref="B1429:T1429"/>
    <mergeCell ref="B1430:H1430"/>
    <mergeCell ref="I1430:I1435"/>
    <mergeCell ref="J1430:J1435"/>
    <mergeCell ref="K1430:K1435"/>
    <mergeCell ref="B606:H606"/>
    <mergeCell ref="A595:A603"/>
    <mergeCell ref="S1430:S1435"/>
    <mergeCell ref="T1430:T1435"/>
    <mergeCell ref="B1232:H1232"/>
    <mergeCell ref="Q1208:Q1213"/>
    <mergeCell ref="P1216:P1221"/>
    <mergeCell ref="Q1216:Q1221"/>
    <mergeCell ref="R1216:R1221"/>
    <mergeCell ref="S1216:S1221"/>
    <mergeCell ref="T1318:T1323"/>
    <mergeCell ref="B1295:T1295"/>
    <mergeCell ref="B1296:H1296"/>
    <mergeCell ref="P1392:P1397"/>
    <mergeCell ref="B1383:T1383"/>
    <mergeCell ref="B1384:H1384"/>
    <mergeCell ref="I1384:I1389"/>
    <mergeCell ref="J1384:J1389"/>
    <mergeCell ref="T1422:T1427"/>
    <mergeCell ref="O1422:O1427"/>
    <mergeCell ref="B1420:T1420"/>
    <mergeCell ref="O170:O175"/>
    <mergeCell ref="P170:P175"/>
    <mergeCell ref="Q170:Q175"/>
    <mergeCell ref="R170:R175"/>
    <mergeCell ref="S170:S175"/>
    <mergeCell ref="T170:T175"/>
    <mergeCell ref="B569:T569"/>
    <mergeCell ref="A568:A576"/>
    <mergeCell ref="J194:J199"/>
    <mergeCell ref="K194:K199"/>
    <mergeCell ref="Q448:Q453"/>
    <mergeCell ref="T543:T549"/>
    <mergeCell ref="L535:L540"/>
    <mergeCell ref="Q472:Q477"/>
    <mergeCell ref="R472:R477"/>
    <mergeCell ref="N472:N477"/>
    <mergeCell ref="O472:O477"/>
    <mergeCell ref="P472:P477"/>
    <mergeCell ref="O488:O493"/>
    <mergeCell ref="T464:T469"/>
    <mergeCell ref="I424:I429"/>
    <mergeCell ref="S464:S469"/>
    <mergeCell ref="A184:A191"/>
    <mergeCell ref="B184:T184"/>
    <mergeCell ref="B185:T185"/>
    <mergeCell ref="A512:A517"/>
    <mergeCell ref="A518:A525"/>
    <mergeCell ref="B186:H186"/>
    <mergeCell ref="A200:A207"/>
    <mergeCell ref="A216:A223"/>
    <mergeCell ref="O210:O215"/>
    <mergeCell ref="B345:H345"/>
    <mergeCell ref="A160:A167"/>
    <mergeCell ref="B160:T160"/>
    <mergeCell ref="B161:T161"/>
    <mergeCell ref="S162:S167"/>
    <mergeCell ref="A486:A493"/>
    <mergeCell ref="Q488:Q493"/>
    <mergeCell ref="R488:R493"/>
    <mergeCell ref="S488:S493"/>
    <mergeCell ref="T488:T493"/>
    <mergeCell ref="I488:I493"/>
    <mergeCell ref="R432:R437"/>
    <mergeCell ref="R448:R453"/>
    <mergeCell ref="K448:K453"/>
    <mergeCell ref="L440:L445"/>
    <mergeCell ref="K432:K437"/>
    <mergeCell ref="S250:S255"/>
    <mergeCell ref="T250:T255"/>
    <mergeCell ref="Q242:Q247"/>
    <mergeCell ref="T258:T263"/>
    <mergeCell ref="P266:P271"/>
    <mergeCell ref="B248:T248"/>
    <mergeCell ref="S178:S183"/>
    <mergeCell ref="A192:A199"/>
    <mergeCell ref="B192:T192"/>
    <mergeCell ref="B193:T193"/>
    <mergeCell ref="B194:H194"/>
    <mergeCell ref="I194:I199"/>
    <mergeCell ref="A176:A183"/>
    <mergeCell ref="B176:T176"/>
    <mergeCell ref="B177:T177"/>
    <mergeCell ref="L178:L183"/>
    <mergeCell ref="M178:M183"/>
    <mergeCell ref="O234:O239"/>
    <mergeCell ref="P234:P239"/>
    <mergeCell ref="B234:H234"/>
    <mergeCell ref="B520:H520"/>
    <mergeCell ref="A208:A215"/>
    <mergeCell ref="L480:L485"/>
    <mergeCell ref="M480:M485"/>
    <mergeCell ref="N480:N485"/>
    <mergeCell ref="O480:O485"/>
    <mergeCell ref="I480:I485"/>
    <mergeCell ref="J480:J485"/>
    <mergeCell ref="A462:A469"/>
    <mergeCell ref="B488:H488"/>
    <mergeCell ref="T480:T485"/>
    <mergeCell ref="A494:A501"/>
    <mergeCell ref="O178:O183"/>
    <mergeCell ref="P178:P183"/>
    <mergeCell ref="Q178:Q183"/>
    <mergeCell ref="R178:R183"/>
    <mergeCell ref="L194:L199"/>
    <mergeCell ref="M194:M199"/>
    <mergeCell ref="N194:N199"/>
    <mergeCell ref="T194:T199"/>
    <mergeCell ref="O194:O199"/>
    <mergeCell ref="P194:P199"/>
    <mergeCell ref="B210:H210"/>
    <mergeCell ref="I210:I215"/>
    <mergeCell ref="J210:J215"/>
    <mergeCell ref="K210:K215"/>
    <mergeCell ref="L210:L215"/>
    <mergeCell ref="M210:M215"/>
    <mergeCell ref="I186:I191"/>
    <mergeCell ref="T210:T215"/>
    <mergeCell ref="R194:R199"/>
    <mergeCell ref="S194:S199"/>
    <mergeCell ref="S210:S215"/>
    <mergeCell ref="Q202:Q207"/>
    <mergeCell ref="R202:R207"/>
    <mergeCell ref="S202:S207"/>
    <mergeCell ref="N186:N191"/>
    <mergeCell ref="A478:A485"/>
    <mergeCell ref="A470:A477"/>
    <mergeCell ref="B470:T470"/>
    <mergeCell ref="J472:J477"/>
    <mergeCell ref="K472:K477"/>
    <mergeCell ref="L472:L477"/>
    <mergeCell ref="B463:T463"/>
    <mergeCell ref="B430:T430"/>
    <mergeCell ref="R480:R485"/>
    <mergeCell ref="T424:T429"/>
    <mergeCell ref="J440:J445"/>
    <mergeCell ref="J448:J453"/>
    <mergeCell ref="P480:P485"/>
    <mergeCell ref="B478:T478"/>
    <mergeCell ref="B479:T479"/>
    <mergeCell ref="B480:H480"/>
    <mergeCell ref="A422:A429"/>
    <mergeCell ref="O448:O453"/>
    <mergeCell ref="M464:M469"/>
    <mergeCell ref="B431:T431"/>
    <mergeCell ref="R387:R393"/>
    <mergeCell ref="S387:S393"/>
    <mergeCell ref="T387:T393"/>
    <mergeCell ref="B385:T385"/>
    <mergeCell ref="M543:M549"/>
    <mergeCell ref="A559:A567"/>
    <mergeCell ref="A533:A540"/>
    <mergeCell ref="A541:A549"/>
    <mergeCell ref="A526:A532"/>
    <mergeCell ref="Q480:Q485"/>
    <mergeCell ref="S480:S485"/>
    <mergeCell ref="R570:R576"/>
    <mergeCell ref="A823:A830"/>
    <mergeCell ref="M1128:M1133"/>
    <mergeCell ref="T1296:T1301"/>
    <mergeCell ref="P1438:P1443"/>
    <mergeCell ref="Q1438:Q1443"/>
    <mergeCell ref="R1438:R1443"/>
    <mergeCell ref="A1368:A1373"/>
    <mergeCell ref="S1376:S1381"/>
    <mergeCell ref="T1376:T1381"/>
    <mergeCell ref="J1376:J1381"/>
    <mergeCell ref="K1376:K1381"/>
    <mergeCell ref="A1374:A1381"/>
    <mergeCell ref="A1406:A1411"/>
    <mergeCell ref="A1412:A1419"/>
    <mergeCell ref="A1382:A1389"/>
    <mergeCell ref="L1430:L1435"/>
    <mergeCell ref="M1430:M1435"/>
    <mergeCell ref="N1430:N1435"/>
    <mergeCell ref="O1430:O1435"/>
    <mergeCell ref="P1430:P1435"/>
    <mergeCell ref="B1422:H1422"/>
    <mergeCell ref="I1422:I1427"/>
    <mergeCell ref="A1420:A1427"/>
    <mergeCell ref="R650:R655"/>
    <mergeCell ref="S1384:S1389"/>
    <mergeCell ref="P1376:P1381"/>
    <mergeCell ref="Q1376:Q1381"/>
    <mergeCell ref="R1376:R1381"/>
    <mergeCell ref="S1362:S1367"/>
    <mergeCell ref="B1353:T1353"/>
    <mergeCell ref="M1354:M1359"/>
    <mergeCell ref="I1347:T1351"/>
    <mergeCell ref="B1309:T1309"/>
    <mergeCell ref="B1310:H1310"/>
    <mergeCell ref="S1296:S1301"/>
    <mergeCell ref="B1338:T1338"/>
    <mergeCell ref="B1339:T1339"/>
    <mergeCell ref="B1340:H1340"/>
    <mergeCell ref="I1340:I1345"/>
    <mergeCell ref="J1340:J1345"/>
    <mergeCell ref="K1340:K1345"/>
    <mergeCell ref="L1340:L1345"/>
    <mergeCell ref="M1340:M1345"/>
    <mergeCell ref="N1340:N1345"/>
    <mergeCell ref="O1340:O1345"/>
    <mergeCell ref="P1340:P1345"/>
    <mergeCell ref="Q1340:Q1345"/>
    <mergeCell ref="S1318:S1323"/>
    <mergeCell ref="K1318:K1323"/>
    <mergeCell ref="O1362:O1367"/>
    <mergeCell ref="I1303:T1307"/>
    <mergeCell ref="T1332:T1337"/>
    <mergeCell ref="L1310:L1315"/>
    <mergeCell ref="I1376:I1381"/>
    <mergeCell ref="J1354:J1359"/>
    <mergeCell ref="I1332:I1337"/>
    <mergeCell ref="S1438:S1443"/>
    <mergeCell ref="J1422:J1427"/>
    <mergeCell ref="K1422:K1427"/>
    <mergeCell ref="L1422:L1427"/>
    <mergeCell ref="M1422:M1427"/>
    <mergeCell ref="N1422:N1427"/>
    <mergeCell ref="S1392:S1397"/>
    <mergeCell ref="P1256:P1261"/>
    <mergeCell ref="Q1256:Q1261"/>
    <mergeCell ref="R1256:R1261"/>
    <mergeCell ref="T1438:T1443"/>
    <mergeCell ref="B1368:T1368"/>
    <mergeCell ref="I1369:T1373"/>
    <mergeCell ref="B1374:T1374"/>
    <mergeCell ref="L1376:L1381"/>
    <mergeCell ref="M1376:M1381"/>
    <mergeCell ref="N1376:N1381"/>
    <mergeCell ref="O1376:O1381"/>
    <mergeCell ref="B1406:T1406"/>
    <mergeCell ref="I1407:T1411"/>
    <mergeCell ref="P1362:P1367"/>
    <mergeCell ref="J1414:J1419"/>
    <mergeCell ref="M1384:M1389"/>
    <mergeCell ref="N1384:N1389"/>
    <mergeCell ref="O1384:O1389"/>
    <mergeCell ref="L1332:L1337"/>
    <mergeCell ref="M1332:M1337"/>
    <mergeCell ref="N1332:N1337"/>
    <mergeCell ref="O1332:O1337"/>
    <mergeCell ref="Q1414:Q1419"/>
    <mergeCell ref="R1414:R1419"/>
    <mergeCell ref="S1414:S1419"/>
    <mergeCell ref="B1412:T1412"/>
    <mergeCell ref="B1382:T1382"/>
    <mergeCell ref="N1392:N1397"/>
    <mergeCell ref="O1392:O1397"/>
    <mergeCell ref="B1414:H1414"/>
    <mergeCell ref="I1414:I1419"/>
    <mergeCell ref="B1413:T1413"/>
    <mergeCell ref="J1392:J1397"/>
    <mergeCell ref="B1375:T1375"/>
    <mergeCell ref="I1232:I1237"/>
    <mergeCell ref="J1232:J1237"/>
    <mergeCell ref="K1232:K1237"/>
    <mergeCell ref="S1400:S1405"/>
    <mergeCell ref="T1400:T1405"/>
    <mergeCell ref="S1280:S1285"/>
    <mergeCell ref="T1280:T1285"/>
    <mergeCell ref="I1318:I1323"/>
    <mergeCell ref="J1332:J1337"/>
    <mergeCell ref="K1332:K1337"/>
    <mergeCell ref="B1354:H1354"/>
    <mergeCell ref="B1332:H1332"/>
    <mergeCell ref="K1362:K1367"/>
    <mergeCell ref="L1362:L1367"/>
    <mergeCell ref="T1414:T1419"/>
    <mergeCell ref="K1414:K1419"/>
    <mergeCell ref="L1414:L1419"/>
    <mergeCell ref="M1362:M1367"/>
    <mergeCell ref="L1392:L1397"/>
    <mergeCell ref="M1392:M1397"/>
    <mergeCell ref="P1384:P1389"/>
    <mergeCell ref="Q1384:Q1389"/>
    <mergeCell ref="R1384:R1389"/>
    <mergeCell ref="I1208:I1213"/>
    <mergeCell ref="J1208:J1213"/>
    <mergeCell ref="B1230:T1230"/>
    <mergeCell ref="B1231:T1231"/>
    <mergeCell ref="B1184:H1184"/>
    <mergeCell ref="I1184:I1189"/>
    <mergeCell ref="J1184:J1189"/>
    <mergeCell ref="K1184:K1189"/>
    <mergeCell ref="L1184:L1189"/>
    <mergeCell ref="M1184:M1189"/>
    <mergeCell ref="N1184:N1189"/>
    <mergeCell ref="O1184:O1189"/>
    <mergeCell ref="J1310:J1315"/>
    <mergeCell ref="P1296:P1301"/>
    <mergeCell ref="Q1296:Q1301"/>
    <mergeCell ref="R1296:R1301"/>
    <mergeCell ref="T1384:T1389"/>
    <mergeCell ref="Q1362:Q1367"/>
    <mergeCell ref="B1376:H1376"/>
    <mergeCell ref="I1296:I1301"/>
    <mergeCell ref="B1318:H1318"/>
    <mergeCell ref="S1340:S1345"/>
    <mergeCell ref="T1340:T1345"/>
    <mergeCell ref="B1238:T1238"/>
    <mergeCell ref="B1239:T1239"/>
    <mergeCell ref="B1240:H1240"/>
    <mergeCell ref="I1288:I1293"/>
    <mergeCell ref="J1288:J1293"/>
    <mergeCell ref="K1288:K1293"/>
    <mergeCell ref="B1286:T1286"/>
    <mergeCell ref="B1317:T1317"/>
    <mergeCell ref="B1264:H1264"/>
    <mergeCell ref="B1102:T1102"/>
    <mergeCell ref="I1104:I1109"/>
    <mergeCell ref="I1089:T1093"/>
    <mergeCell ref="J906:J911"/>
    <mergeCell ref="K906:K911"/>
    <mergeCell ref="Q906:Q911"/>
    <mergeCell ref="R930:R935"/>
    <mergeCell ref="I769:T774"/>
    <mergeCell ref="O1096:O1101"/>
    <mergeCell ref="R874:R879"/>
    <mergeCell ref="K882:K887"/>
    <mergeCell ref="L882:L887"/>
    <mergeCell ref="O938:O943"/>
    <mergeCell ref="P938:P943"/>
    <mergeCell ref="Q938:Q943"/>
    <mergeCell ref="R938:R943"/>
    <mergeCell ref="S938:S943"/>
    <mergeCell ref="T938:T943"/>
    <mergeCell ref="M930:M935"/>
    <mergeCell ref="N930:N935"/>
    <mergeCell ref="O930:O935"/>
    <mergeCell ref="P930:P935"/>
    <mergeCell ref="L833:L838"/>
    <mergeCell ref="J882:J887"/>
    <mergeCell ref="B1088:T1088"/>
    <mergeCell ref="O785:O790"/>
    <mergeCell ref="P785:P790"/>
    <mergeCell ref="S785:S790"/>
    <mergeCell ref="L841:L846"/>
    <mergeCell ref="B816:T816"/>
    <mergeCell ref="T817:T822"/>
    <mergeCell ref="M825:M830"/>
    <mergeCell ref="A831:A838"/>
    <mergeCell ref="J738:J743"/>
    <mergeCell ref="K738:K743"/>
    <mergeCell ref="A688:A695"/>
    <mergeCell ref="B689:T689"/>
    <mergeCell ref="O762:O767"/>
    <mergeCell ref="P762:P767"/>
    <mergeCell ref="T1184:T1189"/>
    <mergeCell ref="I1096:I1101"/>
    <mergeCell ref="N1104:N1109"/>
    <mergeCell ref="Q1104:Q1109"/>
    <mergeCell ref="R1104:R1109"/>
    <mergeCell ref="J762:J767"/>
    <mergeCell ref="K762:K767"/>
    <mergeCell ref="L762:L767"/>
    <mergeCell ref="M762:M767"/>
    <mergeCell ref="K746:K751"/>
    <mergeCell ref="L746:L751"/>
    <mergeCell ref="O801:O806"/>
    <mergeCell ref="N1120:N1125"/>
    <mergeCell ref="S1128:S1133"/>
    <mergeCell ref="N1128:N1133"/>
    <mergeCell ref="B1174:T1174"/>
    <mergeCell ref="B1175:T1175"/>
    <mergeCell ref="B1135:T1135"/>
    <mergeCell ref="Q1184:Q1189"/>
    <mergeCell ref="R1184:R1189"/>
    <mergeCell ref="B1126:T1126"/>
    <mergeCell ref="T1144:T1149"/>
    <mergeCell ref="B1119:T1119"/>
    <mergeCell ref="J1120:J1125"/>
    <mergeCell ref="S1184:S1189"/>
    <mergeCell ref="A775:A782"/>
    <mergeCell ref="P801:P806"/>
    <mergeCell ref="A768:A774"/>
    <mergeCell ref="A696:A703"/>
    <mergeCell ref="A704:A711"/>
    <mergeCell ref="Q793:Q798"/>
    <mergeCell ref="T785:T790"/>
    <mergeCell ref="Q785:Q790"/>
    <mergeCell ref="J698:J703"/>
    <mergeCell ref="S706:S711"/>
    <mergeCell ref="T706:T711"/>
    <mergeCell ref="R706:R711"/>
    <mergeCell ref="M777:M782"/>
    <mergeCell ref="B744:T744"/>
    <mergeCell ref="B745:T745"/>
    <mergeCell ref="R762:R767"/>
    <mergeCell ref="I738:I743"/>
    <mergeCell ref="S801:S806"/>
    <mergeCell ref="T801:T806"/>
    <mergeCell ref="K785:K790"/>
    <mergeCell ref="A720:A727"/>
    <mergeCell ref="R785:R790"/>
    <mergeCell ref="Q738:Q743"/>
    <mergeCell ref="B746:H746"/>
    <mergeCell ref="I746:I751"/>
    <mergeCell ref="J746:J751"/>
    <mergeCell ref="O746:O751"/>
    <mergeCell ref="P746:P751"/>
    <mergeCell ref="M706:M711"/>
    <mergeCell ref="N706:N711"/>
    <mergeCell ref="O706:O711"/>
    <mergeCell ref="P706:P711"/>
    <mergeCell ref="A1094:A1101"/>
    <mergeCell ref="A1190:A1197"/>
    <mergeCell ref="B1198:T1198"/>
    <mergeCell ref="B1142:T1142"/>
    <mergeCell ref="B1143:T1143"/>
    <mergeCell ref="B1144:H1144"/>
    <mergeCell ref="T1128:T1133"/>
    <mergeCell ref="M1112:M1117"/>
    <mergeCell ref="T793:T798"/>
    <mergeCell ref="S793:S798"/>
    <mergeCell ref="M785:M790"/>
    <mergeCell ref="A815:A822"/>
    <mergeCell ref="A896:A903"/>
    <mergeCell ref="A864:A871"/>
    <mergeCell ref="K754:K759"/>
    <mergeCell ref="L754:L759"/>
    <mergeCell ref="M754:M759"/>
    <mergeCell ref="B762:H762"/>
    <mergeCell ref="I762:I767"/>
    <mergeCell ref="B799:T799"/>
    <mergeCell ref="B800:T800"/>
    <mergeCell ref="I754:I759"/>
    <mergeCell ref="B847:T847"/>
    <mergeCell ref="M858:M863"/>
    <mergeCell ref="O914:O919"/>
    <mergeCell ref="M898:M903"/>
    <mergeCell ref="I849:I855"/>
    <mergeCell ref="A1110:A1117"/>
    <mergeCell ref="J849:J855"/>
    <mergeCell ref="K849:K855"/>
    <mergeCell ref="T866:T871"/>
    <mergeCell ref="A1102:A1109"/>
    <mergeCell ref="B1110:T1110"/>
    <mergeCell ref="B1118:T1118"/>
    <mergeCell ref="R890:R895"/>
    <mergeCell ref="S890:S895"/>
    <mergeCell ref="T1104:T1109"/>
    <mergeCell ref="J1176:J1181"/>
    <mergeCell ref="N1176:N1181"/>
    <mergeCell ref="O1176:O1181"/>
    <mergeCell ref="J1152:J1157"/>
    <mergeCell ref="K1152:K1157"/>
    <mergeCell ref="L1152:L1157"/>
    <mergeCell ref="L1104:L1109"/>
    <mergeCell ref="O970:O975"/>
    <mergeCell ref="J1104:J1109"/>
    <mergeCell ref="P906:P911"/>
    <mergeCell ref="Q890:Q895"/>
    <mergeCell ref="L1288:L1293"/>
    <mergeCell ref="J1240:J1245"/>
    <mergeCell ref="M1208:M1213"/>
    <mergeCell ref="N1208:N1213"/>
    <mergeCell ref="O1208:O1213"/>
    <mergeCell ref="P1208:P1213"/>
    <mergeCell ref="K1192:K1197"/>
    <mergeCell ref="B1190:T1190"/>
    <mergeCell ref="N1256:N1261"/>
    <mergeCell ref="O1256:O1261"/>
    <mergeCell ref="B946:H946"/>
    <mergeCell ref="I1120:I1125"/>
    <mergeCell ref="R914:R919"/>
    <mergeCell ref="N898:N903"/>
    <mergeCell ref="O898:O903"/>
    <mergeCell ref="P898:P903"/>
    <mergeCell ref="B754:H754"/>
    <mergeCell ref="S762:S767"/>
    <mergeCell ref="I882:I887"/>
    <mergeCell ref="B704:T704"/>
    <mergeCell ref="S849:S855"/>
    <mergeCell ref="B815:T815"/>
    <mergeCell ref="J825:J830"/>
    <mergeCell ref="M922:M927"/>
    <mergeCell ref="T1096:T1101"/>
    <mergeCell ref="B1095:T1095"/>
    <mergeCell ref="L930:L935"/>
    <mergeCell ref="L793:L798"/>
    <mergeCell ref="M793:M798"/>
    <mergeCell ref="N793:N798"/>
    <mergeCell ref="O793:O798"/>
    <mergeCell ref="P793:P798"/>
    <mergeCell ref="R793:R798"/>
    <mergeCell ref="Q866:Q871"/>
    <mergeCell ref="J874:J879"/>
    <mergeCell ref="S922:S927"/>
    <mergeCell ref="N738:N743"/>
    <mergeCell ref="P738:P743"/>
    <mergeCell ref="T754:T759"/>
    <mergeCell ref="K874:K879"/>
    <mergeCell ref="R849:R855"/>
    <mergeCell ref="N858:N863"/>
    <mergeCell ref="J785:J790"/>
    <mergeCell ref="Q817:Q822"/>
    <mergeCell ref="Q841:Q846"/>
    <mergeCell ref="K858:K863"/>
    <mergeCell ref="L858:L863"/>
    <mergeCell ref="B721:T721"/>
    <mergeCell ref="P1:T1"/>
    <mergeCell ref="A1461:T1461"/>
    <mergeCell ref="A872:A879"/>
    <mergeCell ref="B864:T864"/>
    <mergeCell ref="B865:T865"/>
    <mergeCell ref="B866:H866"/>
    <mergeCell ref="I866:I871"/>
    <mergeCell ref="B872:T872"/>
    <mergeCell ref="B873:T873"/>
    <mergeCell ref="B874:H874"/>
    <mergeCell ref="I874:I879"/>
    <mergeCell ref="J866:J871"/>
    <mergeCell ref="K866:K871"/>
    <mergeCell ref="L866:L871"/>
    <mergeCell ref="M866:M871"/>
    <mergeCell ref="N866:N871"/>
    <mergeCell ref="O866:O871"/>
    <mergeCell ref="A680:A687"/>
    <mergeCell ref="B849:H849"/>
    <mergeCell ref="S682:S687"/>
    <mergeCell ref="K642:K647"/>
    <mergeCell ref="A224:A231"/>
    <mergeCell ref="T858:T863"/>
    <mergeCell ref="T1120:T1125"/>
    <mergeCell ref="Q1136:Q1141"/>
    <mergeCell ref="J841:J846"/>
    <mergeCell ref="K1104:K1109"/>
    <mergeCell ref="B1094:T1094"/>
    <mergeCell ref="M361:M366"/>
    <mergeCell ref="N361:N366"/>
    <mergeCell ref="O361:O366"/>
    <mergeCell ref="T898:T903"/>
    <mergeCell ref="A502:A511"/>
    <mergeCell ref="I455:T461"/>
    <mergeCell ref="B376:T376"/>
    <mergeCell ref="B377:T377"/>
    <mergeCell ref="B378:H378"/>
    <mergeCell ref="B674:H674"/>
    <mergeCell ref="B666:H666"/>
    <mergeCell ref="N624:N630"/>
    <mergeCell ref="T504:T511"/>
    <mergeCell ref="L658:L663"/>
    <mergeCell ref="B648:T648"/>
    <mergeCell ref="B649:T649"/>
    <mergeCell ref="B650:H650"/>
    <mergeCell ref="R658:R663"/>
    <mergeCell ref="B665:T665"/>
    <mergeCell ref="J650:J655"/>
    <mergeCell ref="K650:K655"/>
    <mergeCell ref="A672:A679"/>
    <mergeCell ref="R588:R594"/>
    <mergeCell ref="T674:T679"/>
    <mergeCell ref="B615:H615"/>
    <mergeCell ref="B631:T631"/>
    <mergeCell ref="B632:T632"/>
    <mergeCell ref="A622:A630"/>
    <mergeCell ref="A640:A647"/>
    <mergeCell ref="O633:O639"/>
    <mergeCell ref="P633:P639"/>
    <mergeCell ref="Q633:Q639"/>
    <mergeCell ref="B641:T641"/>
    <mergeCell ref="R606:R612"/>
    <mergeCell ref="A550:A558"/>
    <mergeCell ref="T552:T558"/>
    <mergeCell ref="R353:R358"/>
    <mergeCell ref="S353:S358"/>
    <mergeCell ref="T353:T358"/>
    <mergeCell ref="A376:A384"/>
    <mergeCell ref="A385:A393"/>
    <mergeCell ref="I378:I384"/>
    <mergeCell ref="J378:J384"/>
    <mergeCell ref="K378:K384"/>
    <mergeCell ref="L378:L384"/>
    <mergeCell ref="M378:M384"/>
    <mergeCell ref="N378:N384"/>
    <mergeCell ref="O378:O384"/>
    <mergeCell ref="P378:P384"/>
    <mergeCell ref="Q378:Q384"/>
    <mergeCell ref="A648:A655"/>
    <mergeCell ref="Q674:Q679"/>
    <mergeCell ref="R674:R679"/>
    <mergeCell ref="B657:T657"/>
    <mergeCell ref="K674:K679"/>
    <mergeCell ref="L674:L679"/>
    <mergeCell ref="A359:A366"/>
    <mergeCell ref="A454:A461"/>
    <mergeCell ref="J361:J366"/>
    <mergeCell ref="K361:K366"/>
    <mergeCell ref="L361:L366"/>
    <mergeCell ref="N504:N511"/>
    <mergeCell ref="O504:O511"/>
    <mergeCell ref="K615:K621"/>
    <mergeCell ref="R615:R621"/>
    <mergeCell ref="S615:S621"/>
    <mergeCell ref="P666:P671"/>
    <mergeCell ref="P361:P366"/>
    <mergeCell ref="A1142:A1149"/>
    <mergeCell ref="K1176:K1181"/>
    <mergeCell ref="L1176:L1181"/>
    <mergeCell ref="A1150:A1157"/>
    <mergeCell ref="L1160:L1165"/>
    <mergeCell ref="M1160:M1165"/>
    <mergeCell ref="B1151:T1151"/>
    <mergeCell ref="M1144:M1149"/>
    <mergeCell ref="L1112:L1117"/>
    <mergeCell ref="O1128:O1133"/>
    <mergeCell ref="B1134:T1134"/>
    <mergeCell ref="Q1128:Q1133"/>
    <mergeCell ref="N1112:N1117"/>
    <mergeCell ref="K1120:K1125"/>
    <mergeCell ref="S1112:S1117"/>
    <mergeCell ref="L1120:L1125"/>
    <mergeCell ref="B1112:H1112"/>
    <mergeCell ref="A1174:A1181"/>
    <mergeCell ref="T1176:T1181"/>
    <mergeCell ref="B1167:T1167"/>
    <mergeCell ref="B1150:T1150"/>
    <mergeCell ref="R1152:R1157"/>
    <mergeCell ref="Q1152:Q1157"/>
    <mergeCell ref="M1176:M1181"/>
    <mergeCell ref="I1152:I1157"/>
    <mergeCell ref="A1158:A1165"/>
    <mergeCell ref="A1206:A1213"/>
    <mergeCell ref="B1191:T1191"/>
    <mergeCell ref="B1192:H1192"/>
    <mergeCell ref="L1192:L1197"/>
    <mergeCell ref="M1192:M1197"/>
    <mergeCell ref="N1192:N1197"/>
    <mergeCell ref="O1192:O1197"/>
    <mergeCell ref="P1192:P1197"/>
    <mergeCell ref="Q1192:Q1197"/>
    <mergeCell ref="R1192:R1197"/>
    <mergeCell ref="O1120:O1125"/>
    <mergeCell ref="S1192:S1197"/>
    <mergeCell ref="T1192:T1197"/>
    <mergeCell ref="R1208:R1213"/>
    <mergeCell ref="S1208:S1213"/>
    <mergeCell ref="T1208:T1213"/>
    <mergeCell ref="B1199:T1199"/>
    <mergeCell ref="B1200:H1200"/>
    <mergeCell ref="I1200:I1205"/>
    <mergeCell ref="J1200:J1205"/>
    <mergeCell ref="R1200:R1205"/>
    <mergeCell ref="S1200:S1205"/>
    <mergeCell ref="A1198:A1205"/>
    <mergeCell ref="I1192:I1197"/>
    <mergeCell ref="J1192:J1197"/>
    <mergeCell ref="A1134:A1141"/>
    <mergeCell ref="A1166:A1173"/>
    <mergeCell ref="K1160:K1165"/>
    <mergeCell ref="O1144:O1149"/>
    <mergeCell ref="A1182:A1189"/>
    <mergeCell ref="O1136:O1141"/>
    <mergeCell ref="B1127:T1127"/>
    <mergeCell ref="K1216:K1221"/>
    <mergeCell ref="L1216:L1221"/>
    <mergeCell ref="M1216:M1221"/>
    <mergeCell ref="N1216:N1221"/>
    <mergeCell ref="O1216:O1221"/>
    <mergeCell ref="R1232:R1237"/>
    <mergeCell ref="S1232:S1237"/>
    <mergeCell ref="T1232:T1237"/>
    <mergeCell ref="Q1232:Q1237"/>
    <mergeCell ref="A1222:A1229"/>
    <mergeCell ref="A1254:A1261"/>
    <mergeCell ref="A1246:A1253"/>
    <mergeCell ref="N1240:N1245"/>
    <mergeCell ref="O1240:O1245"/>
    <mergeCell ref="P1240:P1245"/>
    <mergeCell ref="I1240:I1245"/>
    <mergeCell ref="T1240:T1245"/>
    <mergeCell ref="B1247:T1247"/>
    <mergeCell ref="B1248:H1248"/>
    <mergeCell ref="I1248:I1253"/>
    <mergeCell ref="K1256:K1261"/>
    <mergeCell ref="L1256:L1261"/>
    <mergeCell ref="A1214:A1221"/>
    <mergeCell ref="Q1240:Q1245"/>
    <mergeCell ref="Q1248:Q1253"/>
    <mergeCell ref="B1216:H1216"/>
    <mergeCell ref="B1254:T1254"/>
    <mergeCell ref="B1255:T1255"/>
    <mergeCell ref="L1232:L1237"/>
    <mergeCell ref="M1232:M1237"/>
    <mergeCell ref="B1214:T1214"/>
    <mergeCell ref="S1332:S1337"/>
    <mergeCell ref="B1270:T1270"/>
    <mergeCell ref="B1271:T1271"/>
    <mergeCell ref="A1286:A1293"/>
    <mergeCell ref="B1272:H1272"/>
    <mergeCell ref="I1272:I1277"/>
    <mergeCell ref="B1278:T1278"/>
    <mergeCell ref="B1279:T1279"/>
    <mergeCell ref="J1272:J1277"/>
    <mergeCell ref="K1272:K1277"/>
    <mergeCell ref="L1272:L1277"/>
    <mergeCell ref="M1272:M1277"/>
    <mergeCell ref="N1272:N1277"/>
    <mergeCell ref="O1272:O1277"/>
    <mergeCell ref="P1272:P1277"/>
    <mergeCell ref="Q1272:Q1277"/>
    <mergeCell ref="A1278:A1285"/>
    <mergeCell ref="A1302:A1307"/>
    <mergeCell ref="B1302:T1302"/>
    <mergeCell ref="P1332:P1337"/>
    <mergeCell ref="Q1332:Q1337"/>
    <mergeCell ref="R1332:R1337"/>
    <mergeCell ref="Q1310:Q1315"/>
    <mergeCell ref="P1318:P1323"/>
    <mergeCell ref="A1308:A1315"/>
    <mergeCell ref="N1318:N1323"/>
    <mergeCell ref="A1294:A1301"/>
    <mergeCell ref="B1280:H1280"/>
    <mergeCell ref="I1280:I1285"/>
    <mergeCell ref="J1280:J1285"/>
    <mergeCell ref="K1280:K1285"/>
    <mergeCell ref="L1280:L1285"/>
    <mergeCell ref="M1280:M1285"/>
    <mergeCell ref="N1280:N1285"/>
    <mergeCell ref="O1280:O1285"/>
    <mergeCell ref="P1280:P1285"/>
    <mergeCell ref="Q1280:Q1285"/>
    <mergeCell ref="R1240:R1245"/>
    <mergeCell ref="A1230:A1237"/>
    <mergeCell ref="B1215:T1215"/>
    <mergeCell ref="S1240:S1245"/>
    <mergeCell ref="B1222:T1222"/>
    <mergeCell ref="B1223:T1223"/>
    <mergeCell ref="B1224:H1224"/>
    <mergeCell ref="I1224:I1229"/>
    <mergeCell ref="J1224:J1229"/>
    <mergeCell ref="K1224:K1229"/>
    <mergeCell ref="L1224:L1229"/>
    <mergeCell ref="M1224:M1229"/>
    <mergeCell ref="N1224:N1229"/>
    <mergeCell ref="O1224:O1229"/>
    <mergeCell ref="P1224:P1229"/>
    <mergeCell ref="Q1224:Q1229"/>
    <mergeCell ref="R1224:R1229"/>
    <mergeCell ref="S1224:S1229"/>
    <mergeCell ref="T1224:T1229"/>
    <mergeCell ref="P1232:P1237"/>
    <mergeCell ref="A1262:A1269"/>
    <mergeCell ref="J1216:J1221"/>
    <mergeCell ref="O1248:O1253"/>
    <mergeCell ref="P1248:P1253"/>
    <mergeCell ref="P1264:P1269"/>
    <mergeCell ref="P1144:P1149"/>
    <mergeCell ref="N1200:N1205"/>
    <mergeCell ref="O1200:O1205"/>
    <mergeCell ref="B1152:H1152"/>
    <mergeCell ref="J1144:J1149"/>
    <mergeCell ref="L1144:L1149"/>
    <mergeCell ref="T1112:T1117"/>
    <mergeCell ref="S1120:S1125"/>
    <mergeCell ref="B697:T697"/>
    <mergeCell ref="B698:H698"/>
    <mergeCell ref="O1288:O1293"/>
    <mergeCell ref="P1288:P1293"/>
    <mergeCell ref="Q1288:Q1293"/>
    <mergeCell ref="M1248:M1253"/>
    <mergeCell ref="N1248:N1253"/>
    <mergeCell ref="S1256:S1261"/>
    <mergeCell ref="T1256:T1261"/>
    <mergeCell ref="R1128:R1133"/>
    <mergeCell ref="M1120:M1125"/>
    <mergeCell ref="P1128:P1133"/>
    <mergeCell ref="P1104:P1109"/>
    <mergeCell ref="O1104:O1109"/>
    <mergeCell ref="O1112:O1117"/>
    <mergeCell ref="S1104:S1109"/>
    <mergeCell ref="R1096:R1101"/>
    <mergeCell ref="S1096:S1101"/>
    <mergeCell ref="R1272:R1277"/>
    <mergeCell ref="S1272:S1277"/>
    <mergeCell ref="T1272:T1277"/>
    <mergeCell ref="P504:P511"/>
    <mergeCell ref="B690:H690"/>
    <mergeCell ref="B680:T680"/>
    <mergeCell ref="B681:T681"/>
    <mergeCell ref="T624:T630"/>
    <mergeCell ref="P606:P612"/>
    <mergeCell ref="B730:H730"/>
    <mergeCell ref="I730:I735"/>
    <mergeCell ref="R738:R743"/>
    <mergeCell ref="S738:S743"/>
    <mergeCell ref="L666:L671"/>
    <mergeCell ref="I690:I695"/>
    <mergeCell ref="J690:J695"/>
    <mergeCell ref="K690:K695"/>
    <mergeCell ref="L690:L695"/>
    <mergeCell ref="R690:R695"/>
    <mergeCell ref="S690:S695"/>
    <mergeCell ref="I650:I655"/>
    <mergeCell ref="O642:O647"/>
    <mergeCell ref="P642:P647"/>
    <mergeCell ref="Q642:Q647"/>
    <mergeCell ref="J504:J511"/>
    <mergeCell ref="K504:K511"/>
    <mergeCell ref="L738:L743"/>
    <mergeCell ref="I674:I679"/>
    <mergeCell ref="B682:H682"/>
    <mergeCell ref="B696:T696"/>
    <mergeCell ref="B722:H722"/>
    <mergeCell ref="I722:I727"/>
    <mergeCell ref="J722:J727"/>
    <mergeCell ref="O738:O743"/>
    <mergeCell ref="M738:M743"/>
    <mergeCell ref="J1400:J1405"/>
    <mergeCell ref="K1400:K1405"/>
    <mergeCell ref="L1400:L1405"/>
    <mergeCell ref="M1400:M1405"/>
    <mergeCell ref="M890:M895"/>
    <mergeCell ref="L1264:L1269"/>
    <mergeCell ref="N1400:N1405"/>
    <mergeCell ref="O1400:O1405"/>
    <mergeCell ref="P1400:P1405"/>
    <mergeCell ref="Q1400:Q1405"/>
    <mergeCell ref="R1400:R1405"/>
    <mergeCell ref="J1264:J1269"/>
    <mergeCell ref="K1264:K1269"/>
    <mergeCell ref="T690:T695"/>
    <mergeCell ref="I624:I630"/>
    <mergeCell ref="Q606:Q612"/>
    <mergeCell ref="B613:T613"/>
    <mergeCell ref="P624:P630"/>
    <mergeCell ref="I1264:I1269"/>
    <mergeCell ref="B1246:T1246"/>
    <mergeCell ref="R1248:R1253"/>
    <mergeCell ref="B1288:H1288"/>
    <mergeCell ref="Q1264:Q1269"/>
    <mergeCell ref="R754:R759"/>
    <mergeCell ref="Q1112:Q1117"/>
    <mergeCell ref="R1112:R1117"/>
    <mergeCell ref="R1136:R1141"/>
    <mergeCell ref="S1136:S1141"/>
    <mergeCell ref="J1128:J1133"/>
    <mergeCell ref="K1128:K1133"/>
    <mergeCell ref="I1112:I1117"/>
    <mergeCell ref="S754:S759"/>
    <mergeCell ref="M1152:M1157"/>
    <mergeCell ref="K722:K727"/>
    <mergeCell ref="L722:L727"/>
    <mergeCell ref="K1112:K1117"/>
    <mergeCell ref="T1200:T1205"/>
    <mergeCell ref="B1136:H1136"/>
    <mergeCell ref="N754:N759"/>
    <mergeCell ref="O754:O759"/>
    <mergeCell ref="P754:P759"/>
    <mergeCell ref="Q754:Q759"/>
    <mergeCell ref="B1166:T1166"/>
    <mergeCell ref="I890:I895"/>
    <mergeCell ref="Q914:Q919"/>
    <mergeCell ref="K1248:K1253"/>
    <mergeCell ref="K1200:K1205"/>
    <mergeCell ref="L1200:L1205"/>
    <mergeCell ref="M1200:M1205"/>
    <mergeCell ref="L898:L903"/>
    <mergeCell ref="Q1160:Q1165"/>
    <mergeCell ref="R1160:R1165"/>
    <mergeCell ref="I1136:I1141"/>
    <mergeCell ref="N1144:N1149"/>
    <mergeCell ref="Q1168:Q1173"/>
    <mergeCell ref="R1168:R1173"/>
    <mergeCell ref="P1096:P1101"/>
    <mergeCell ref="N1096:N1101"/>
    <mergeCell ref="I914:I919"/>
    <mergeCell ref="J914:J919"/>
    <mergeCell ref="M970:M975"/>
    <mergeCell ref="R817:R822"/>
    <mergeCell ref="T1248:T1253"/>
    <mergeCell ref="I1216:I1221"/>
    <mergeCell ref="A1459:B1459"/>
    <mergeCell ref="A1460:B1460"/>
    <mergeCell ref="I1453:T1460"/>
    <mergeCell ref="R1264:R1269"/>
    <mergeCell ref="S1264:S1269"/>
    <mergeCell ref="T1264:T1269"/>
    <mergeCell ref="N1264:N1269"/>
    <mergeCell ref="O1264:O1269"/>
    <mergeCell ref="B1256:H1256"/>
    <mergeCell ref="I1256:I1261"/>
    <mergeCell ref="M1256:M1261"/>
    <mergeCell ref="K1240:K1245"/>
    <mergeCell ref="L1240:L1245"/>
    <mergeCell ref="M1240:M1245"/>
    <mergeCell ref="B1176:H1176"/>
    <mergeCell ref="I1176:I1181"/>
    <mergeCell ref="K1144:K1149"/>
    <mergeCell ref="I1144:I1149"/>
    <mergeCell ref="J1248:J1253"/>
    <mergeCell ref="B1287:T1287"/>
    <mergeCell ref="J1256:J1261"/>
    <mergeCell ref="A1398:A1405"/>
    <mergeCell ref="B1398:T1398"/>
    <mergeCell ref="B1399:T1399"/>
    <mergeCell ref="B1400:H1400"/>
    <mergeCell ref="R1280:R1285"/>
    <mergeCell ref="I1400:I1405"/>
    <mergeCell ref="L1248:L1253"/>
    <mergeCell ref="B1263:T1263"/>
    <mergeCell ref="S1248:S1253"/>
    <mergeCell ref="K1208:K1213"/>
    <mergeCell ref="R1340:R1345"/>
    <mergeCell ref="A1270:A1277"/>
    <mergeCell ref="S1288:S1293"/>
    <mergeCell ref="P1310:P1315"/>
    <mergeCell ref="M1288:M1293"/>
    <mergeCell ref="N1288:N1293"/>
    <mergeCell ref="B386:T386"/>
    <mergeCell ref="B387:H387"/>
    <mergeCell ref="Q504:Q511"/>
    <mergeCell ref="R504:R511"/>
    <mergeCell ref="S504:S511"/>
    <mergeCell ref="M642:M647"/>
    <mergeCell ref="N642:N647"/>
    <mergeCell ref="B736:T736"/>
    <mergeCell ref="B737:T737"/>
    <mergeCell ref="B738:H738"/>
    <mergeCell ref="Q746:Q751"/>
    <mergeCell ref="R746:R751"/>
    <mergeCell ref="S746:S751"/>
    <mergeCell ref="T746:T751"/>
    <mergeCell ref="B752:T752"/>
    <mergeCell ref="S698:S703"/>
    <mergeCell ref="B705:T705"/>
    <mergeCell ref="B706:H706"/>
    <mergeCell ref="I706:I711"/>
    <mergeCell ref="P1200:P1205"/>
    <mergeCell ref="Q1200:Q1205"/>
    <mergeCell ref="S1160:S1165"/>
    <mergeCell ref="T1160:T1165"/>
    <mergeCell ref="J706:J711"/>
    <mergeCell ref="K706:K711"/>
    <mergeCell ref="B1262:T1262"/>
    <mergeCell ref="B848:T848"/>
  </mergeCells>
  <pageMargins left="0.23622047244094491" right="0.23622047244094491" top="0.51181102362204722" bottom="0.11811023622047245" header="0" footer="0"/>
  <pageSetup paperSize="9" scale="47" fitToHeight="0" orientation="landscape" r:id="rId1"/>
  <rowBreaks count="25" manualBreakCount="25">
    <brk id="47" max="19" man="1"/>
    <brk id="103" max="19" man="1"/>
    <brk id="159" max="19" man="1"/>
    <brk id="215" max="19" man="1"/>
    <brk id="271" max="19" man="1"/>
    <brk id="326" max="19" man="1"/>
    <brk id="384" max="19" man="1"/>
    <brk id="445" max="19" man="1"/>
    <brk id="501" max="19" man="1"/>
    <brk id="558" max="19" man="1"/>
    <brk id="612" max="19" man="1"/>
    <brk id="663" max="19" man="1"/>
    <brk id="719" max="19" man="1"/>
    <brk id="774" max="19" man="1"/>
    <brk id="830" max="19" man="1"/>
    <brk id="887" max="19" man="1"/>
    <brk id="943" max="19" man="1"/>
    <brk id="999" max="19" man="1"/>
    <brk id="1055" max="19" man="1"/>
    <brk id="1117" max="19" man="1"/>
    <brk id="1173" max="19" man="1"/>
    <brk id="1229" max="19" man="1"/>
    <brk id="1285" max="19" man="1"/>
    <brk id="1345" max="19" man="1"/>
    <brk id="140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ИП2022</vt:lpstr>
      <vt:lpstr>ИП2022!Заголовки_для_печати</vt:lpstr>
      <vt:lpstr>ИП2022!Область_печати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2022-07-22T02:29:52Z</cp:lastPrinted>
  <dcterms:created xsi:type="dcterms:W3CDTF">2013-06-03T21:57:32Z</dcterms:created>
  <dcterms:modified xsi:type="dcterms:W3CDTF">2022-08-08T21:50:03Z</dcterms:modified>
</cp:coreProperties>
</file>