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11520" windowHeight="3240" tabRatio="457"/>
  </bookViews>
  <sheets>
    <sheet name="03.12.2014" sheetId="27" r:id="rId1"/>
  </sheets>
  <definedNames>
    <definedName name="_xlnm.Print_Titles" localSheetId="0">'03.12.2014'!$7:$8</definedName>
    <definedName name="_xlnm.Print_Area" localSheetId="0">'03.12.2014'!$A$1:$S$1896</definedName>
  </definedNames>
  <calcPr calcId="145621"/>
</workbook>
</file>

<file path=xl/calcChain.xml><?xml version="1.0" encoding="utf-8"?>
<calcChain xmlns="http://schemas.openxmlformats.org/spreadsheetml/2006/main">
  <c r="E113" i="27" l="1"/>
  <c r="E105" i="27"/>
  <c r="F1892" i="27" l="1"/>
  <c r="G1892" i="27"/>
  <c r="H1892" i="27"/>
  <c r="I1892" i="27"/>
  <c r="F1893" i="27"/>
  <c r="G1893" i="27"/>
  <c r="H1893" i="27"/>
  <c r="I1893" i="27"/>
  <c r="F1894" i="27"/>
  <c r="G1894" i="27"/>
  <c r="H1894" i="27"/>
  <c r="I1894" i="27"/>
  <c r="F1895" i="27"/>
  <c r="G1895" i="27"/>
  <c r="H1895" i="27"/>
  <c r="I1895" i="27"/>
  <c r="H1896" i="27"/>
  <c r="E1894" i="27"/>
  <c r="E1895" i="27"/>
  <c r="E1896" i="27"/>
  <c r="H1322" i="27"/>
  <c r="H1321" i="27"/>
  <c r="G1321" i="27"/>
  <c r="F1321" i="27"/>
  <c r="I1320" i="27"/>
  <c r="H1320" i="27"/>
  <c r="G1320" i="27"/>
  <c r="F1320" i="27"/>
  <c r="I1319" i="27"/>
  <c r="H1319" i="27"/>
  <c r="G1319" i="27"/>
  <c r="F1319" i="27"/>
  <c r="I1318" i="27"/>
  <c r="H1318" i="27"/>
  <c r="G1318" i="27"/>
  <c r="F1318" i="27"/>
  <c r="E1319" i="27"/>
  <c r="E1320" i="27"/>
  <c r="E1321" i="27"/>
  <c r="E1318" i="27"/>
  <c r="E1608" i="27"/>
  <c r="E1600" i="27"/>
  <c r="E1392" i="27"/>
  <c r="E1400" i="27"/>
  <c r="E1384" i="27"/>
  <c r="E1352" i="27"/>
  <c r="E1480" i="27"/>
  <c r="E1472" i="27"/>
  <c r="E1512" i="27"/>
  <c r="E1536" i="27"/>
  <c r="E1471" i="27"/>
  <c r="E1511" i="27"/>
  <c r="H1870" i="27"/>
  <c r="I1870" i="27"/>
  <c r="H1872" i="27"/>
  <c r="I1872" i="27"/>
  <c r="H1873" i="27"/>
  <c r="I1873" i="27"/>
  <c r="E1872" i="27"/>
  <c r="E1870" i="27"/>
  <c r="F1768" i="27"/>
  <c r="F1770" i="27"/>
  <c r="E1770" i="27"/>
  <c r="E1768" i="27"/>
  <c r="E1726" i="27"/>
  <c r="E1306" i="27"/>
  <c r="F1186" i="27"/>
  <c r="F1188" i="27"/>
  <c r="E1187" i="27"/>
  <c r="E1188" i="27"/>
  <c r="E1186" i="27"/>
  <c r="E1138" i="27"/>
  <c r="F658" i="27"/>
  <c r="G658" i="27"/>
  <c r="F659" i="27"/>
  <c r="G659" i="27"/>
  <c r="F660" i="27"/>
  <c r="G660" i="27"/>
  <c r="F661" i="27"/>
  <c r="G661" i="27"/>
  <c r="E660" i="27"/>
  <c r="E661" i="27"/>
  <c r="E662" i="27"/>
  <c r="E658" i="27"/>
  <c r="E828" i="27"/>
  <c r="E804" i="27"/>
  <c r="E796" i="27"/>
  <c r="E772" i="27"/>
  <c r="E740" i="27"/>
  <c r="E398" i="27"/>
  <c r="E366" i="27"/>
  <c r="E358" i="27"/>
  <c r="F96" i="27"/>
  <c r="G96" i="27"/>
  <c r="F98" i="27"/>
  <c r="G98" i="27"/>
  <c r="F99" i="27"/>
  <c r="G99" i="27"/>
  <c r="E97" i="27"/>
  <c r="E1893" i="27" s="1"/>
  <c r="E98" i="27"/>
  <c r="E99" i="27"/>
  <c r="E534" i="27"/>
  <c r="E248" i="27"/>
  <c r="D161" i="27"/>
  <c r="D1092" i="27"/>
  <c r="D1090" i="27" s="1"/>
  <c r="E1090" i="27"/>
  <c r="N1089" i="27"/>
  <c r="D1084" i="27"/>
  <c r="D1082" i="27" s="1"/>
  <c r="E1082" i="27"/>
  <c r="N1081" i="27"/>
  <c r="D1076" i="27"/>
  <c r="D1074" i="27" s="1"/>
  <c r="E1074" i="27"/>
  <c r="N1073" i="27"/>
  <c r="D1068" i="27"/>
  <c r="D1066" i="27" s="1"/>
  <c r="E1066" i="27"/>
  <c r="D1060" i="27"/>
  <c r="E1058" i="27"/>
  <c r="D1058" i="27"/>
  <c r="D1866" i="27" l="1"/>
  <c r="D1864" i="27" s="1"/>
  <c r="E1864" i="27"/>
  <c r="D1292" i="27" l="1"/>
  <c r="D1290" i="27" s="1"/>
  <c r="E1290" i="27"/>
  <c r="E390" i="27" l="1"/>
  <c r="E1648" i="27"/>
  <c r="E1552" i="27"/>
  <c r="E1520" i="27"/>
  <c r="E1504" i="27"/>
  <c r="E1440" i="27"/>
  <c r="E1664" i="27"/>
  <c r="E1640" i="27"/>
  <c r="E1344" i="27"/>
  <c r="E1368" i="27"/>
  <c r="E1510" i="27" l="1"/>
  <c r="E1314" i="27" l="1"/>
  <c r="E52" i="27"/>
  <c r="E138" i="27" l="1"/>
  <c r="E1268" i="27" l="1"/>
  <c r="E1260" i="27"/>
  <c r="E1220" i="27"/>
  <c r="E1204" i="27"/>
  <c r="E1004" i="27"/>
  <c r="E860" i="27"/>
  <c r="E1196" i="27"/>
  <c r="E1244" i="27"/>
  <c r="E972" i="27"/>
  <c r="E996" i="27"/>
  <c r="E708" i="27"/>
  <c r="E1044" i="27"/>
  <c r="E668" i="27"/>
  <c r="D941" i="27"/>
  <c r="D940" i="27"/>
  <c r="E938" i="27"/>
  <c r="D933" i="27"/>
  <c r="D932" i="27"/>
  <c r="E930" i="27"/>
  <c r="E374" i="27"/>
  <c r="D930" i="27" l="1"/>
  <c r="D938" i="27"/>
  <c r="E526" i="27"/>
  <c r="E318" i="27"/>
  <c r="E574" i="27"/>
  <c r="E598" i="27"/>
  <c r="E590" i="27"/>
  <c r="E582" i="27"/>
  <c r="E256" i="27" l="1"/>
  <c r="E224" i="27"/>
  <c r="E154" i="27"/>
  <c r="I1889" i="27"/>
  <c r="I1886" i="27" s="1"/>
  <c r="H1889" i="27"/>
  <c r="H1886" i="27" s="1"/>
  <c r="E1888" i="27"/>
  <c r="E1889" i="27" s="1"/>
  <c r="E1880" i="27"/>
  <c r="D1880" i="27" s="1"/>
  <c r="D1878" i="27" s="1"/>
  <c r="I1878" i="27"/>
  <c r="H1878" i="27"/>
  <c r="D1858" i="27"/>
  <c r="D1856" i="27" s="1"/>
  <c r="E1856" i="27"/>
  <c r="D1850" i="27"/>
  <c r="D1848" i="27" s="1"/>
  <c r="E1848" i="27"/>
  <c r="D1842" i="27"/>
  <c r="D1840" i="27" s="1"/>
  <c r="E1840" i="27"/>
  <c r="D1834" i="27"/>
  <c r="D1832" i="27" s="1"/>
  <c r="E1832" i="27"/>
  <c r="D1826" i="27"/>
  <c r="D1824" i="27" s="1"/>
  <c r="E1824" i="27"/>
  <c r="D1818" i="27"/>
  <c r="D1816" i="27" s="1"/>
  <c r="E1816" i="27"/>
  <c r="E1810" i="27"/>
  <c r="D1810" i="27" s="1"/>
  <c r="D1808" i="27" s="1"/>
  <c r="F1808" i="27"/>
  <c r="D1802" i="27"/>
  <c r="D1800" i="27" s="1"/>
  <c r="E1800" i="27"/>
  <c r="D1794" i="27"/>
  <c r="D1792" i="27" s="1"/>
  <c r="E1792" i="27"/>
  <c r="D1786" i="27"/>
  <c r="D1784" i="27" s="1"/>
  <c r="E1784" i="27"/>
  <c r="D1778" i="27"/>
  <c r="D1776" i="27" s="1"/>
  <c r="E1776" i="27"/>
  <c r="D1765" i="27"/>
  <c r="D1764" i="27"/>
  <c r="F1762" i="27"/>
  <c r="F1754" i="27" s="1"/>
  <c r="E1762" i="27"/>
  <c r="E1754" i="27" s="1"/>
  <c r="F1757" i="27"/>
  <c r="E1757" i="27"/>
  <c r="F1756" i="27"/>
  <c r="E1756" i="27"/>
  <c r="D1750" i="27"/>
  <c r="D1748" i="27" s="1"/>
  <c r="E1748" i="27"/>
  <c r="D1742" i="27"/>
  <c r="D1740" i="27" s="1"/>
  <c r="E1740" i="27"/>
  <c r="D1734" i="27"/>
  <c r="D1732" i="27" s="1"/>
  <c r="E1732" i="27"/>
  <c r="D1726" i="27"/>
  <c r="D1724" i="27" s="1"/>
  <c r="E1724" i="27"/>
  <c r="D1719" i="27"/>
  <c r="D1718" i="27"/>
  <c r="D1717" i="27"/>
  <c r="E1716" i="27"/>
  <c r="D1711" i="27"/>
  <c r="D1710" i="27"/>
  <c r="E1708" i="27"/>
  <c r="D1702" i="27"/>
  <c r="D1701" i="27"/>
  <c r="G1700" i="27"/>
  <c r="F1700" i="27"/>
  <c r="E1700" i="27"/>
  <c r="D1694" i="27"/>
  <c r="D1693" i="27"/>
  <c r="G1692" i="27"/>
  <c r="F1692" i="27"/>
  <c r="E1692" i="27"/>
  <c r="D1686" i="27"/>
  <c r="D1684" i="27" s="1"/>
  <c r="E1684" i="27"/>
  <c r="E1679" i="27"/>
  <c r="D1679" i="27" s="1"/>
  <c r="G1678" i="27"/>
  <c r="F1678" i="27"/>
  <c r="E1678" i="27"/>
  <c r="G1677" i="27"/>
  <c r="F1677" i="27"/>
  <c r="E1677" i="27"/>
  <c r="D1672" i="27"/>
  <c r="D1670" i="27" s="1"/>
  <c r="E1670" i="27"/>
  <c r="D1664" i="27"/>
  <c r="D1662" i="27" s="1"/>
  <c r="E1662" i="27"/>
  <c r="D1656" i="27"/>
  <c r="D1654" i="27" s="1"/>
  <c r="E1654" i="27"/>
  <c r="D1648" i="27"/>
  <c r="D1646" i="27" s="1"/>
  <c r="E1646" i="27"/>
  <c r="D1641" i="27"/>
  <c r="D1640" i="27"/>
  <c r="E1638" i="27"/>
  <c r="D1632" i="27"/>
  <c r="D1630" i="27" s="1"/>
  <c r="E1630" i="27"/>
  <c r="D1625" i="27"/>
  <c r="D1624" i="27"/>
  <c r="E1622" i="27"/>
  <c r="D1617" i="27"/>
  <c r="D1616" i="27"/>
  <c r="E1614" i="27"/>
  <c r="E1606" i="27"/>
  <c r="E1598" i="27"/>
  <c r="D1600" i="27"/>
  <c r="D1598" i="27" s="1"/>
  <c r="E1592" i="27"/>
  <c r="E1590" i="27" s="1"/>
  <c r="D1585" i="27"/>
  <c r="E1584" i="27"/>
  <c r="D1584" i="27" s="1"/>
  <c r="F1582" i="27"/>
  <c r="D1576" i="27"/>
  <c r="D1574" i="27" s="1"/>
  <c r="F1574" i="27"/>
  <c r="E1574" i="27"/>
  <c r="E1568" i="27"/>
  <c r="D1568" i="27" s="1"/>
  <c r="D1566" i="27" s="1"/>
  <c r="F1566" i="27"/>
  <c r="D1560" i="27"/>
  <c r="D1558" i="27" s="1"/>
  <c r="G1558" i="27"/>
  <c r="F1558" i="27"/>
  <c r="D1552" i="27"/>
  <c r="D1550" i="27" s="1"/>
  <c r="E1550" i="27"/>
  <c r="D1544" i="27"/>
  <c r="D1543" i="27"/>
  <c r="H1542" i="27"/>
  <c r="G1542" i="27"/>
  <c r="F1542" i="27"/>
  <c r="E1534" i="27"/>
  <c r="D1536" i="27"/>
  <c r="D1534" i="27" s="1"/>
  <c r="D1528" i="27"/>
  <c r="D1527" i="27"/>
  <c r="G1526" i="27"/>
  <c r="F1526" i="27"/>
  <c r="D1520" i="27"/>
  <c r="D1518" i="27" s="1"/>
  <c r="E1518" i="27"/>
  <c r="D1512" i="27"/>
  <c r="D1511" i="27"/>
  <c r="H1510" i="27"/>
  <c r="G1510" i="27"/>
  <c r="F1510" i="27"/>
  <c r="E1502" i="27"/>
  <c r="D1496" i="27"/>
  <c r="D1495" i="27"/>
  <c r="I1494" i="27"/>
  <c r="H1494" i="27"/>
  <c r="G1494" i="27"/>
  <c r="E1488" i="27"/>
  <c r="E1486" i="27" s="1"/>
  <c r="F1486" i="27"/>
  <c r="D1480" i="27"/>
  <c r="D1478" i="27" s="1"/>
  <c r="E1478" i="27"/>
  <c r="D1472" i="27"/>
  <c r="D1471" i="27"/>
  <c r="E1470" i="27"/>
  <c r="D1464" i="27"/>
  <c r="D1463" i="27"/>
  <c r="H1462" i="27"/>
  <c r="G1462" i="27"/>
  <c r="E1456" i="27"/>
  <c r="D1456" i="27" s="1"/>
  <c r="D1454" i="27" s="1"/>
  <c r="F1454" i="27"/>
  <c r="D1448" i="27"/>
  <c r="D1447" i="27"/>
  <c r="I1446" i="27"/>
  <c r="H1446" i="27"/>
  <c r="G1446" i="27"/>
  <c r="D1440" i="27"/>
  <c r="D1438" i="27" s="1"/>
  <c r="E1438" i="27"/>
  <c r="D1432" i="27"/>
  <c r="D1431" i="27"/>
  <c r="I1430" i="27"/>
  <c r="H1430" i="27"/>
  <c r="G1430" i="27"/>
  <c r="D1424" i="27"/>
  <c r="D1422" i="27" s="1"/>
  <c r="F1422" i="27"/>
  <c r="E1422" i="27"/>
  <c r="D1416" i="27"/>
  <c r="D1415" i="27"/>
  <c r="G1414" i="27"/>
  <c r="F1414" i="27"/>
  <c r="D1408" i="27"/>
  <c r="D1406" i="27" s="1"/>
  <c r="E1406" i="27"/>
  <c r="D1401" i="27"/>
  <c r="H1398" i="27"/>
  <c r="G1398" i="27"/>
  <c r="F1398" i="27"/>
  <c r="D1393" i="27"/>
  <c r="D1392" i="27"/>
  <c r="G1390" i="27"/>
  <c r="F1390" i="27"/>
  <c r="E1390" i="27"/>
  <c r="D1385" i="27"/>
  <c r="E1382" i="27"/>
  <c r="D1378" i="27"/>
  <c r="D1377" i="27"/>
  <c r="D1376" i="27"/>
  <c r="H1374" i="27"/>
  <c r="G1374" i="27"/>
  <c r="F1374" i="27"/>
  <c r="D1369" i="27"/>
  <c r="D1368" i="27"/>
  <c r="F1366" i="27"/>
  <c r="E1366" i="27"/>
  <c r="D1360" i="27"/>
  <c r="D1358" i="27" s="1"/>
  <c r="E1358" i="27"/>
  <c r="D1353" i="27"/>
  <c r="D1345" i="27"/>
  <c r="D1344" i="27"/>
  <c r="F1342" i="27"/>
  <c r="E1342" i="27"/>
  <c r="D1336" i="27"/>
  <c r="D1335" i="27"/>
  <c r="E1334" i="27"/>
  <c r="D1328" i="27"/>
  <c r="D1327" i="27"/>
  <c r="E1326" i="27"/>
  <c r="D1314" i="27"/>
  <c r="D1312" i="27" s="1"/>
  <c r="D1306" i="27"/>
  <c r="D1304" i="27" s="1"/>
  <c r="E1304" i="27"/>
  <c r="D1284" i="27"/>
  <c r="D1282" i="27" s="1"/>
  <c r="E1282" i="27"/>
  <c r="E1276" i="27"/>
  <c r="D1260" i="27"/>
  <c r="D1258" i="27" s="1"/>
  <c r="E1258" i="27"/>
  <c r="D1252" i="27"/>
  <c r="D1250" i="27" s="1"/>
  <c r="E1250" i="27"/>
  <c r="D1244" i="27"/>
  <c r="D1242" i="27" s="1"/>
  <c r="E1242" i="27"/>
  <c r="E1236" i="27"/>
  <c r="E1234" i="27" s="1"/>
  <c r="D1228" i="27"/>
  <c r="D1226" i="27" s="1"/>
  <c r="E1226" i="27"/>
  <c r="D1220" i="27"/>
  <c r="D1218" i="27" s="1"/>
  <c r="E1218" i="27"/>
  <c r="D1212" i="27"/>
  <c r="D1210" i="27" s="1"/>
  <c r="E1210" i="27"/>
  <c r="D1204" i="27"/>
  <c r="D1203" i="27"/>
  <c r="F1202" i="27"/>
  <c r="E1202" i="27"/>
  <c r="E1194" i="27"/>
  <c r="D1196" i="27"/>
  <c r="D1194" i="27" s="1"/>
  <c r="E1182" i="27"/>
  <c r="D1182" i="27" s="1"/>
  <c r="D1180" i="27" s="1"/>
  <c r="D1174" i="27"/>
  <c r="D1172" i="27" s="1"/>
  <c r="E1172" i="27"/>
  <c r="D1166" i="27"/>
  <c r="D1164" i="27" s="1"/>
  <c r="E1164" i="27"/>
  <c r="E1152" i="27"/>
  <c r="E1144" i="27" s="1"/>
  <c r="D1144" i="27" s="1"/>
  <c r="D1142" i="27" s="1"/>
  <c r="D1130" i="27"/>
  <c r="D1128" i="27" s="1"/>
  <c r="E1128" i="27"/>
  <c r="D1122" i="27"/>
  <c r="D1120" i="27" s="1"/>
  <c r="E1120" i="27"/>
  <c r="E1114" i="27"/>
  <c r="D1114" i="27" s="1"/>
  <c r="D1112" i="27" s="1"/>
  <c r="E1106" i="27"/>
  <c r="D1106" i="27" s="1"/>
  <c r="D1104" i="27" s="1"/>
  <c r="E1053" i="27"/>
  <c r="D1053" i="27" s="1"/>
  <c r="D1052" i="27"/>
  <c r="E1045" i="27"/>
  <c r="E1042" i="27" s="1"/>
  <c r="D1044" i="27"/>
  <c r="E1037" i="27"/>
  <c r="D1036" i="27"/>
  <c r="E1029" i="27"/>
  <c r="D1029" i="27" s="1"/>
  <c r="D1028" i="27"/>
  <c r="E1021" i="27"/>
  <c r="E1018" i="27" s="1"/>
  <c r="N1017" i="27" s="1"/>
  <c r="D1020" i="27"/>
  <c r="E1013" i="27"/>
  <c r="D1013" i="27" s="1"/>
  <c r="D1012" i="27"/>
  <c r="D1005" i="27"/>
  <c r="D1004" i="27"/>
  <c r="E1002" i="27"/>
  <c r="N1001" i="27" s="1"/>
  <c r="D997" i="27"/>
  <c r="D996" i="27"/>
  <c r="E994" i="27"/>
  <c r="N993" i="27" s="1"/>
  <c r="D989" i="27"/>
  <c r="D988" i="27"/>
  <c r="E986" i="27"/>
  <c r="D981" i="27"/>
  <c r="D980" i="27"/>
  <c r="E978" i="27"/>
  <c r="E973" i="27"/>
  <c r="D973" i="27" s="1"/>
  <c r="D972" i="27"/>
  <c r="E965" i="27"/>
  <c r="D965" i="27" s="1"/>
  <c r="D964" i="27"/>
  <c r="E957" i="27"/>
  <c r="D956" i="27"/>
  <c r="D949" i="27"/>
  <c r="D948" i="27"/>
  <c r="E946" i="27"/>
  <c r="D925" i="27"/>
  <c r="D924" i="27"/>
  <c r="E922" i="27"/>
  <c r="D917" i="27"/>
  <c r="D916" i="27"/>
  <c r="E914" i="27"/>
  <c r="D909" i="27"/>
  <c r="D908" i="27"/>
  <c r="E906" i="27"/>
  <c r="D901" i="27"/>
  <c r="D900" i="27"/>
  <c r="E898" i="27"/>
  <c r="D893" i="27"/>
  <c r="E892" i="27"/>
  <c r="D892" i="27" s="1"/>
  <c r="D885" i="27"/>
  <c r="E884" i="27"/>
  <c r="D884" i="27" s="1"/>
  <c r="D877" i="27"/>
  <c r="D876" i="27"/>
  <c r="E874" i="27"/>
  <c r="D869" i="27"/>
  <c r="D868" i="27"/>
  <c r="E866" i="27"/>
  <c r="D861" i="27"/>
  <c r="D860" i="27"/>
  <c r="E858" i="27"/>
  <c r="D853" i="27"/>
  <c r="D852" i="27"/>
  <c r="E850" i="27"/>
  <c r="D845" i="27"/>
  <c r="D844" i="27"/>
  <c r="E842" i="27"/>
  <c r="D836" i="27"/>
  <c r="D834" i="27" s="1"/>
  <c r="E834" i="27"/>
  <c r="D829" i="27"/>
  <c r="D828" i="27"/>
  <c r="E826" i="27"/>
  <c r="D821" i="27"/>
  <c r="E820" i="27"/>
  <c r="D813" i="27"/>
  <c r="E812" i="27"/>
  <c r="D812" i="27" s="1"/>
  <c r="D805" i="27"/>
  <c r="D804" i="27"/>
  <c r="E802" i="27"/>
  <c r="D797" i="27"/>
  <c r="D789" i="27"/>
  <c r="E788" i="27"/>
  <c r="E786" i="27" s="1"/>
  <c r="D781" i="27"/>
  <c r="E780" i="27"/>
  <c r="D780" i="27" s="1"/>
  <c r="D773" i="27"/>
  <c r="D772" i="27"/>
  <c r="F770" i="27"/>
  <c r="E770" i="27"/>
  <c r="D765" i="27"/>
  <c r="D764" i="27"/>
  <c r="E762" i="27"/>
  <c r="D757" i="27"/>
  <c r="E756" i="27"/>
  <c r="E754" i="27" s="1"/>
  <c r="D749" i="27"/>
  <c r="D748" i="27"/>
  <c r="E746" i="27"/>
  <c r="D741" i="27"/>
  <c r="D740" i="27"/>
  <c r="E738" i="27"/>
  <c r="D733" i="27"/>
  <c r="D732" i="27"/>
  <c r="E730" i="27"/>
  <c r="D725" i="27"/>
  <c r="D724" i="27"/>
  <c r="E722" i="27"/>
  <c r="D717" i="27"/>
  <c r="D716" i="27"/>
  <c r="E714" i="27"/>
  <c r="D709" i="27"/>
  <c r="D708" i="27"/>
  <c r="E706" i="27"/>
  <c r="D701" i="27"/>
  <c r="E700" i="27"/>
  <c r="D699" i="27"/>
  <c r="G698" i="27"/>
  <c r="F698" i="27"/>
  <c r="D694" i="27"/>
  <c r="D693" i="27"/>
  <c r="D692" i="27"/>
  <c r="E690" i="27"/>
  <c r="D685" i="27"/>
  <c r="D684" i="27"/>
  <c r="E682" i="27"/>
  <c r="D677" i="27"/>
  <c r="D676" i="27"/>
  <c r="E674" i="27"/>
  <c r="D669" i="27"/>
  <c r="D668" i="27"/>
  <c r="E666" i="27"/>
  <c r="D662" i="27"/>
  <c r="D654" i="27"/>
  <c r="D652" i="27" s="1"/>
  <c r="E652" i="27"/>
  <c r="D646" i="27"/>
  <c r="D644" i="27" s="1"/>
  <c r="E644" i="27"/>
  <c r="D637" i="27"/>
  <c r="E636" i="27"/>
  <c r="D636" i="27"/>
  <c r="D629" i="27"/>
  <c r="D628" i="27" s="1"/>
  <c r="F628" i="27"/>
  <c r="E628" i="27"/>
  <c r="E622" i="27"/>
  <c r="D622" i="27" s="1"/>
  <c r="D620" i="27" s="1"/>
  <c r="E614" i="27"/>
  <c r="D614" i="27" s="1"/>
  <c r="D612" i="27" s="1"/>
  <c r="D606" i="27"/>
  <c r="D604" i="27" s="1"/>
  <c r="E604" i="27"/>
  <c r="D598" i="27"/>
  <c r="D596" i="27" s="1"/>
  <c r="E596" i="27"/>
  <c r="D590" i="27"/>
  <c r="D588" i="27" s="1"/>
  <c r="E588" i="27"/>
  <c r="D582" i="27"/>
  <c r="D580" i="27" s="1"/>
  <c r="E580" i="27"/>
  <c r="D574" i="27"/>
  <c r="D572" i="27" s="1"/>
  <c r="E572" i="27"/>
  <c r="D566" i="27"/>
  <c r="D564" i="27" s="1"/>
  <c r="E564" i="27"/>
  <c r="E558" i="27"/>
  <c r="D558" i="27" s="1"/>
  <c r="D556" i="27" s="1"/>
  <c r="D550" i="27"/>
  <c r="D548" i="27" s="1"/>
  <c r="E548" i="27"/>
  <c r="D542" i="27"/>
  <c r="D540" i="27" s="1"/>
  <c r="E540" i="27"/>
  <c r="D534" i="27"/>
  <c r="D532" i="27" s="1"/>
  <c r="E532" i="27"/>
  <c r="D526" i="27"/>
  <c r="D524" i="27" s="1"/>
  <c r="E524" i="27"/>
  <c r="E518" i="27"/>
  <c r="D518" i="27" s="1"/>
  <c r="D516" i="27" s="1"/>
  <c r="D510" i="27"/>
  <c r="D508" i="27" s="1"/>
  <c r="E508" i="27"/>
  <c r="D502" i="27"/>
  <c r="D500" i="27" s="1"/>
  <c r="E500" i="27"/>
  <c r="D494" i="27"/>
  <c r="D493" i="27"/>
  <c r="E492" i="27"/>
  <c r="D486" i="27"/>
  <c r="D485" i="27"/>
  <c r="E484" i="27"/>
  <c r="D478" i="27"/>
  <c r="D476" i="27" s="1"/>
  <c r="E476" i="27"/>
  <c r="E470" i="27"/>
  <c r="E468" i="27" s="1"/>
  <c r="E462" i="27"/>
  <c r="E460" i="27" s="1"/>
  <c r="E454" i="27"/>
  <c r="E452" i="27" s="1"/>
  <c r="D447" i="27"/>
  <c r="E446" i="27"/>
  <c r="D446" i="27" s="1"/>
  <c r="E438" i="27"/>
  <c r="D438" i="27" s="1"/>
  <c r="D436" i="27" s="1"/>
  <c r="D431" i="27"/>
  <c r="E430" i="27"/>
  <c r="D430" i="27" s="1"/>
  <c r="E422" i="27"/>
  <c r="D422" i="27" s="1"/>
  <c r="D420" i="27" s="1"/>
  <c r="D415" i="27"/>
  <c r="E414" i="27"/>
  <c r="E412" i="27" s="1"/>
  <c r="E406" i="27"/>
  <c r="D406" i="27" s="1"/>
  <c r="D404" i="27" s="1"/>
  <c r="D398" i="27"/>
  <c r="D396" i="27" s="1"/>
  <c r="D390" i="27"/>
  <c r="D389" i="27"/>
  <c r="G388" i="27"/>
  <c r="F388" i="27"/>
  <c r="E388" i="27"/>
  <c r="D382" i="27"/>
  <c r="D381" i="27"/>
  <c r="E380" i="27"/>
  <c r="D374" i="27"/>
  <c r="D372" i="27" s="1"/>
  <c r="E372" i="27"/>
  <c r="E364" i="27"/>
  <c r="D366" i="27"/>
  <c r="D364" i="27" s="1"/>
  <c r="D360" i="27"/>
  <c r="D359" i="27"/>
  <c r="D358" i="27"/>
  <c r="E356" i="27"/>
  <c r="E350" i="27"/>
  <c r="D350" i="27" s="1"/>
  <c r="D348" i="27" s="1"/>
  <c r="G348" i="27"/>
  <c r="F348" i="27"/>
  <c r="E342" i="27"/>
  <c r="D342" i="27" s="1"/>
  <c r="D340" i="27" s="1"/>
  <c r="G340" i="27"/>
  <c r="F340" i="27"/>
  <c r="E334" i="27"/>
  <c r="D334" i="27" s="1"/>
  <c r="D332" i="27" s="1"/>
  <c r="G332" i="27"/>
  <c r="F332" i="27"/>
  <c r="E326" i="27"/>
  <c r="D326" i="27" s="1"/>
  <c r="D324" i="27" s="1"/>
  <c r="G324" i="27"/>
  <c r="F324" i="27"/>
  <c r="D319" i="27"/>
  <c r="D318" i="27"/>
  <c r="F316" i="27"/>
  <c r="E316" i="27"/>
  <c r="D310" i="27"/>
  <c r="D308" i="27" s="1"/>
  <c r="E308" i="27"/>
  <c r="D302" i="27"/>
  <c r="D300" i="27" s="1"/>
  <c r="E300" i="27"/>
  <c r="D294" i="27"/>
  <c r="D292" i="27" s="1"/>
  <c r="E292" i="27"/>
  <c r="E288" i="27"/>
  <c r="F287" i="27"/>
  <c r="E287" i="27"/>
  <c r="G286" i="27"/>
  <c r="F286" i="27"/>
  <c r="G285" i="27"/>
  <c r="F285" i="27"/>
  <c r="E285" i="27"/>
  <c r="D280" i="27"/>
  <c r="D278" i="27" s="1"/>
  <c r="E278" i="27"/>
  <c r="D272" i="27"/>
  <c r="D270" i="27" s="1"/>
  <c r="E270" i="27"/>
  <c r="D264" i="27"/>
  <c r="D262" i="27" s="1"/>
  <c r="E262" i="27"/>
  <c r="D256" i="27"/>
  <c r="D254" i="27" s="1"/>
  <c r="D248" i="27"/>
  <c r="D246" i="27" s="1"/>
  <c r="E240" i="27"/>
  <c r="D240" i="27" s="1"/>
  <c r="D238" i="27" s="1"/>
  <c r="D231" i="27"/>
  <c r="G230" i="27"/>
  <c r="F230" i="27"/>
  <c r="E230" i="27"/>
  <c r="D230" i="27"/>
  <c r="D224" i="27"/>
  <c r="G222" i="27"/>
  <c r="F222" i="27"/>
  <c r="E222" i="27"/>
  <c r="D222" i="27"/>
  <c r="G216" i="27"/>
  <c r="F216" i="27"/>
  <c r="G215" i="27"/>
  <c r="F215" i="27"/>
  <c r="E215" i="27"/>
  <c r="E210" i="27"/>
  <c r="D210" i="27" s="1"/>
  <c r="D208" i="27" s="1"/>
  <c r="E202" i="27"/>
  <c r="E200" i="27" s="1"/>
  <c r="D194" i="27"/>
  <c r="D192" i="27" s="1"/>
  <c r="E192" i="27"/>
  <c r="D186" i="27"/>
  <c r="G184" i="27"/>
  <c r="F184" i="27"/>
  <c r="E184" i="27"/>
  <c r="D184" i="27"/>
  <c r="E178" i="27"/>
  <c r="D178" i="27" s="1"/>
  <c r="D176" i="27" s="1"/>
  <c r="G176" i="27"/>
  <c r="F176" i="27"/>
  <c r="D170" i="27"/>
  <c r="D168" i="27" s="1"/>
  <c r="G168" i="27"/>
  <c r="F168" i="27"/>
  <c r="G163" i="27"/>
  <c r="G160" i="27" s="1"/>
  <c r="F163" i="27"/>
  <c r="F160" i="27" s="1"/>
  <c r="E163" i="27"/>
  <c r="D162" i="27"/>
  <c r="G155" i="27"/>
  <c r="F155" i="27"/>
  <c r="E155" i="27"/>
  <c r="D154" i="27"/>
  <c r="F152" i="27"/>
  <c r="D146" i="27"/>
  <c r="D144" i="27" s="1"/>
  <c r="G144" i="27"/>
  <c r="F144" i="27"/>
  <c r="D138" i="27"/>
  <c r="D136" i="27" s="1"/>
  <c r="E136" i="27"/>
  <c r="D130" i="27"/>
  <c r="D128" i="27" s="1"/>
  <c r="G128" i="27"/>
  <c r="F128" i="27"/>
  <c r="E122" i="27"/>
  <c r="D122" i="27" s="1"/>
  <c r="D121" i="27"/>
  <c r="D115" i="27"/>
  <c r="D114" i="27"/>
  <c r="D113" i="27"/>
  <c r="E112" i="27"/>
  <c r="D107" i="27"/>
  <c r="E104" i="27"/>
  <c r="D105" i="27"/>
  <c r="D92" i="27"/>
  <c r="D90" i="27" s="1"/>
  <c r="E90" i="27"/>
  <c r="D84" i="27"/>
  <c r="D82" i="27" s="1"/>
  <c r="E82" i="27"/>
  <c r="D76" i="27"/>
  <c r="D74" i="27" s="1"/>
  <c r="F74" i="27"/>
  <c r="E68" i="27"/>
  <c r="D68" i="27" s="1"/>
  <c r="D66" i="27" s="1"/>
  <c r="H66" i="27"/>
  <c r="G66" i="27"/>
  <c r="F66" i="27"/>
  <c r="E60" i="27"/>
  <c r="D60" i="27" s="1"/>
  <c r="D58" i="27" s="1"/>
  <c r="G58" i="27"/>
  <c r="F58" i="27"/>
  <c r="E50" i="27"/>
  <c r="D52" i="27"/>
  <c r="D50" i="27" s="1"/>
  <c r="I50" i="27"/>
  <c r="I10" i="27" s="1"/>
  <c r="H50" i="27"/>
  <c r="G50" i="27"/>
  <c r="F50" i="27"/>
  <c r="E44" i="27"/>
  <c r="E42" i="27" s="1"/>
  <c r="F42" i="27"/>
  <c r="E36" i="27"/>
  <c r="D36" i="27" s="1"/>
  <c r="D34" i="27" s="1"/>
  <c r="E28" i="27"/>
  <c r="E26" i="27" s="1"/>
  <c r="F26" i="27"/>
  <c r="E20" i="27"/>
  <c r="E18" i="27" s="1"/>
  <c r="F18" i="27"/>
  <c r="I12" i="27"/>
  <c r="H12" i="27"/>
  <c r="G12" i="27"/>
  <c r="F12" i="27"/>
  <c r="G284" i="27" l="1"/>
  <c r="D1462" i="27"/>
  <c r="D1430" i="27"/>
  <c r="E1454" i="27"/>
  <c r="D1488" i="27"/>
  <c r="D1486" i="27" s="1"/>
  <c r="D1470" i="27"/>
  <c r="D1494" i="27"/>
  <c r="D1526" i="27"/>
  <c r="D1762" i="27"/>
  <c r="D454" i="27"/>
  <c r="D452" i="27" s="1"/>
  <c r="E1104" i="27"/>
  <c r="G152" i="27"/>
  <c r="E332" i="27"/>
  <c r="D810" i="27"/>
  <c r="D858" i="27"/>
  <c r="E882" i="27"/>
  <c r="E970" i="27"/>
  <c r="N969" i="27" s="1"/>
  <c r="D120" i="27"/>
  <c r="F284" i="27"/>
  <c r="E216" i="27"/>
  <c r="D216" i="27" s="1"/>
  <c r="E890" i="27"/>
  <c r="D898" i="27"/>
  <c r="F214" i="27"/>
  <c r="D850" i="27"/>
  <c r="D730" i="27"/>
  <c r="D1510" i="27"/>
  <c r="D722" i="27"/>
  <c r="E778" i="27"/>
  <c r="D866" i="27"/>
  <c r="D706" i="27"/>
  <c r="D738" i="27"/>
  <c r="D762" i="27"/>
  <c r="D890" i="27"/>
  <c r="E1010" i="27"/>
  <c r="N1009" i="27" s="1"/>
  <c r="E1878" i="27"/>
  <c r="D388" i="27"/>
  <c r="D746" i="27"/>
  <c r="E810" i="27"/>
  <c r="D906" i="27"/>
  <c r="D1334" i="27"/>
  <c r="D1342" i="27"/>
  <c r="D1390" i="27"/>
  <c r="G1676" i="27"/>
  <c r="E176" i="27"/>
  <c r="D380" i="27"/>
  <c r="D414" i="27"/>
  <c r="D1045" i="27"/>
  <c r="D1692" i="27"/>
  <c r="D946" i="27"/>
  <c r="D163" i="27"/>
  <c r="E516" i="27"/>
  <c r="E1566" i="27"/>
  <c r="D1756" i="27"/>
  <c r="E420" i="27"/>
  <c r="G214" i="27"/>
  <c r="D1326" i="27"/>
  <c r="D1542" i="27"/>
  <c r="D1700" i="27"/>
  <c r="D1872" i="27"/>
  <c r="E324" i="27"/>
  <c r="D1757" i="27"/>
  <c r="D1622" i="27"/>
  <c r="D1366" i="27"/>
  <c r="D1896" i="27"/>
  <c r="D1614" i="27"/>
  <c r="D986" i="27"/>
  <c r="D106" i="27"/>
  <c r="D104" i="27" s="1"/>
  <c r="E208" i="27"/>
  <c r="E340" i="27"/>
  <c r="E404" i="27"/>
  <c r="D470" i="27"/>
  <c r="D468" i="27" s="1"/>
  <c r="E962" i="27"/>
  <c r="E1026" i="27"/>
  <c r="N1025" i="27" s="1"/>
  <c r="D1374" i="27"/>
  <c r="D1582" i="27"/>
  <c r="D882" i="27"/>
  <c r="D922" i="27"/>
  <c r="G10" i="27"/>
  <c r="E160" i="27"/>
  <c r="E96" i="27" s="1"/>
  <c r="D842" i="27"/>
  <c r="D874" i="27"/>
  <c r="D914" i="27"/>
  <c r="D1414" i="27"/>
  <c r="D44" i="27"/>
  <c r="D42" i="27" s="1"/>
  <c r="E58" i="27"/>
  <c r="D659" i="27"/>
  <c r="D661" i="27"/>
  <c r="D1677" i="27"/>
  <c r="E1676" i="27"/>
  <c r="F1676" i="27"/>
  <c r="D978" i="27"/>
  <c r="D112" i="27"/>
  <c r="D770" i="27"/>
  <c r="D1202" i="27"/>
  <c r="D20" i="27"/>
  <c r="D18" i="27" s="1"/>
  <c r="F10" i="27"/>
  <c r="D202" i="27"/>
  <c r="D200" i="27" s="1"/>
  <c r="D1002" i="27"/>
  <c r="D1010" i="27"/>
  <c r="D1021" i="27"/>
  <c r="D1026" i="27"/>
  <c r="E1112" i="27"/>
  <c r="E1180" i="27"/>
  <c r="E1156" i="27" s="1"/>
  <c r="E1312" i="27"/>
  <c r="E1296" i="27" s="1"/>
  <c r="D1319" i="27"/>
  <c r="D1384" i="27"/>
  <c r="D1382" i="27" s="1"/>
  <c r="D1592" i="27"/>
  <c r="D1590" i="27" s="1"/>
  <c r="D1608" i="27"/>
  <c r="D1606" i="27" s="1"/>
  <c r="D1638" i="27"/>
  <c r="D1708" i="27"/>
  <c r="D1873" i="27"/>
  <c r="D1888" i="27"/>
  <c r="E348" i="27"/>
  <c r="D492" i="27"/>
  <c r="E556" i="27"/>
  <c r="E1298" i="27"/>
  <c r="D1298" i="27" s="1"/>
  <c r="D1296" i="27" s="1"/>
  <c r="D1320" i="27"/>
  <c r="D1446" i="27"/>
  <c r="H10" i="27"/>
  <c r="E396" i="27"/>
  <c r="E428" i="27"/>
  <c r="D462" i="27"/>
  <c r="D460" i="27" s="1"/>
  <c r="D484" i="27"/>
  <c r="D970" i="27"/>
  <c r="E1158" i="27"/>
  <c r="D1158" i="27" s="1"/>
  <c r="D1156" i="27" s="1"/>
  <c r="D1504" i="27"/>
  <c r="D1502" i="27" s="1"/>
  <c r="D1678" i="27"/>
  <c r="E66" i="27"/>
  <c r="D155" i="27"/>
  <c r="D215" i="27"/>
  <c r="E1050" i="27"/>
  <c r="D1188" i="27"/>
  <c r="D1186" i="27" s="1"/>
  <c r="D1716" i="27"/>
  <c r="D1754" i="27"/>
  <c r="D287" i="27"/>
  <c r="D97" i="27"/>
  <c r="D152" i="27"/>
  <c r="D428" i="27"/>
  <c r="D674" i="27"/>
  <c r="D285" i="27"/>
  <c r="D288" i="27"/>
  <c r="D316" i="27"/>
  <c r="D412" i="27"/>
  <c r="D682" i="27"/>
  <c r="D778" i="27"/>
  <c r="D356" i="27"/>
  <c r="D444" i="27"/>
  <c r="D160" i="27"/>
  <c r="D714" i="27"/>
  <c r="D826" i="27"/>
  <c r="D802" i="27"/>
  <c r="E34" i="27"/>
  <c r="E120" i="27"/>
  <c r="E238" i="27"/>
  <c r="E246" i="27"/>
  <c r="E254" i="27"/>
  <c r="D700" i="27"/>
  <c r="D698" i="27" s="1"/>
  <c r="E698" i="27"/>
  <c r="D962" i="27"/>
  <c r="D994" i="27"/>
  <c r="D1042" i="27"/>
  <c r="D1050" i="27"/>
  <c r="D1138" i="27"/>
  <c r="D1136" i="27" s="1"/>
  <c r="E1136" i="27"/>
  <c r="E1096" i="27" s="1"/>
  <c r="E1098" i="27"/>
  <c r="D1098" i="27" s="1"/>
  <c r="D1096" i="27" s="1"/>
  <c r="D1321" i="27"/>
  <c r="E12" i="27"/>
  <c r="D28" i="27"/>
  <c r="D26" i="27" s="1"/>
  <c r="D98" i="27"/>
  <c r="E152" i="27"/>
  <c r="E286" i="27"/>
  <c r="D286" i="27" s="1"/>
  <c r="D284" i="27" s="1"/>
  <c r="E436" i="27"/>
  <c r="E444" i="27"/>
  <c r="E612" i="27"/>
  <c r="E620" i="27"/>
  <c r="D660" i="27"/>
  <c r="D666" i="27"/>
  <c r="D796" i="27"/>
  <c r="D794" i="27" s="1"/>
  <c r="E794" i="27"/>
  <c r="D820" i="27"/>
  <c r="D818" i="27" s="1"/>
  <c r="E818" i="27"/>
  <c r="D1400" i="27"/>
  <c r="D1398" i="27" s="1"/>
  <c r="E1398" i="27"/>
  <c r="D690" i="27"/>
  <c r="E954" i="27"/>
  <c r="D957" i="27"/>
  <c r="D954" i="27" s="1"/>
  <c r="D1018" i="27"/>
  <c r="E1034" i="27"/>
  <c r="D1037" i="27"/>
  <c r="D1034" i="27" s="1"/>
  <c r="D1152" i="27"/>
  <c r="D1150" i="27" s="1"/>
  <c r="E1150" i="27"/>
  <c r="E1142" i="27" s="1"/>
  <c r="D1268" i="27"/>
  <c r="D1266" i="27" s="1"/>
  <c r="E1266" i="27"/>
  <c r="D1352" i="27"/>
  <c r="D1350" i="27" s="1"/>
  <c r="E1350" i="27"/>
  <c r="D1276" i="27"/>
  <c r="D1274" i="27" s="1"/>
  <c r="E1274" i="27"/>
  <c r="D1889" i="27"/>
  <c r="D1886" i="27" s="1"/>
  <c r="E1886" i="27"/>
  <c r="D756" i="27"/>
  <c r="D754" i="27" s="1"/>
  <c r="D788" i="27"/>
  <c r="D786" i="27" s="1"/>
  <c r="D1236" i="27"/>
  <c r="D1234" i="27" s="1"/>
  <c r="D1322" i="27"/>
  <c r="E1582" i="27"/>
  <c r="D1770" i="27"/>
  <c r="D1768" i="27" s="1"/>
  <c r="E1808" i="27"/>
  <c r="D658" i="27" l="1"/>
  <c r="D1893" i="27"/>
  <c r="D1676" i="27"/>
  <c r="E10" i="27"/>
  <c r="D1870" i="27"/>
  <c r="D214" i="27"/>
  <c r="D1318" i="27"/>
  <c r="E284" i="27"/>
  <c r="D99" i="27"/>
  <c r="D96" i="27" s="1"/>
  <c r="D1894" i="27"/>
  <c r="D12" i="27"/>
  <c r="D10" i="27" s="1"/>
  <c r="E214" i="27"/>
  <c r="D1895" i="27" l="1"/>
  <c r="D1892" i="27" s="1"/>
  <c r="E1892" i="27"/>
</calcChain>
</file>

<file path=xl/sharedStrings.xml><?xml version="1.0" encoding="utf-8"?>
<sst xmlns="http://schemas.openxmlformats.org/spreadsheetml/2006/main" count="3937" uniqueCount="1063">
  <si>
    <t>федеральный бюджет</t>
  </si>
  <si>
    <t>краевой бюджет</t>
  </si>
  <si>
    <t>местные бюджеты</t>
  </si>
  <si>
    <t>внебюджетные источники</t>
  </si>
  <si>
    <t>Тигильский муниципальный район</t>
  </si>
  <si>
    <t xml:space="preserve">мощность </t>
  </si>
  <si>
    <t>Итого</t>
  </si>
  <si>
    <t>наличие ПД</t>
  </si>
  <si>
    <t>статус</t>
  </si>
  <si>
    <t>переходящий</t>
  </si>
  <si>
    <t>соглашение</t>
  </si>
  <si>
    <t>2016 год, 3 года</t>
  </si>
  <si>
    <t>муниципальная</t>
  </si>
  <si>
    <t>Петропавловск-Камчатский городской округ</t>
  </si>
  <si>
    <t>2015 год, 2 года</t>
  </si>
  <si>
    <t>2014 год, 1 год</t>
  </si>
  <si>
    <t>2014 год, 2 года</t>
  </si>
  <si>
    <t>региональная</t>
  </si>
  <si>
    <t>Елизовский муниципальный район</t>
  </si>
  <si>
    <t>Мильковский муниципальный район</t>
  </si>
  <si>
    <t>2014 год, 3 года</t>
  </si>
  <si>
    <t>Усть-Камчатский муниципальный район</t>
  </si>
  <si>
    <t>Быстринский муниципальный район</t>
  </si>
  <si>
    <t>Министерство строительства Камчатского края</t>
  </si>
  <si>
    <t>застройщик (в отношении объектов Инвестиционной программы государственной собственности Камчатского края);</t>
  </si>
  <si>
    <t>общая стоимость выполняемых работ за весь период реализации инвестиционного проекта (в ценах соответствующих лет);</t>
  </si>
  <si>
    <t>форма собственности;</t>
  </si>
  <si>
    <t>наименование муниципального образования, на территории которого расположен объект Инвестиционной программы.</t>
  </si>
  <si>
    <t>2014 год</t>
  </si>
  <si>
    <t>Строительство детского сада на 220 мест в микрорайоне Центральный г.Вилючинска Камчатского края</t>
  </si>
  <si>
    <t>Вилючинский городской округ</t>
  </si>
  <si>
    <t>265 мест</t>
  </si>
  <si>
    <t>1586,16 м2</t>
  </si>
  <si>
    <t>30 Гкал/час</t>
  </si>
  <si>
    <t>2015 год, 3 года</t>
  </si>
  <si>
    <t>220 мест</t>
  </si>
  <si>
    <t>Пенжинский муниципальный район</t>
  </si>
  <si>
    <t>Елизовское городское поселение</t>
  </si>
  <si>
    <t xml:space="preserve">муниципальная </t>
  </si>
  <si>
    <t>Строительство детского сада на 150 мест в р.п.Оссора Карагинского района (проектные работы)</t>
  </si>
  <si>
    <t>Карагинский муниципальный район</t>
  </si>
  <si>
    <t>42 койки</t>
  </si>
  <si>
    <t>2015 год, 5 лет</t>
  </si>
  <si>
    <t>500 посещений</t>
  </si>
  <si>
    <t>вновь начинаемый</t>
  </si>
  <si>
    <t>Детский сад в микрорайоне А-II северо-восточной части г.Петропавловска-Камчатского</t>
  </si>
  <si>
    <t>150 мест</t>
  </si>
  <si>
    <t>Олюторский муниципальный район</t>
  </si>
  <si>
    <t>30 мест</t>
  </si>
  <si>
    <t>Государственная программа Камчатского края «Социальное и экономическое развитие территории с особым статусом «Корякский округ» на период 2014-2018»</t>
  </si>
  <si>
    <t>Обеспечение доступным и комфортным жильем в рамках ликвидации аварийного жилищного фонда на территории Корякского округа</t>
  </si>
  <si>
    <t xml:space="preserve"> Алеутский муниципальный район </t>
  </si>
  <si>
    <t>Строительство ПС 110/10 кВ "Молодежная" (проектные работы)</t>
  </si>
  <si>
    <t>Строительство ПС 110/10 кВ "Тундровая" (проектные работы)</t>
  </si>
  <si>
    <t>Инженерная инфраструктура Камчатской краевой больницы (в том числе проектные работы)</t>
  </si>
  <si>
    <t>Строительство ПС 110/10 кВ "Сероглазка" (проектные работы)</t>
  </si>
  <si>
    <t>Строительство детского сада по ул. Савченко, г.Петропавловск-Камчатский (в том числе проектные работы)</t>
  </si>
  <si>
    <t>Строительство детского сада по ул. Арсеньева, г.Петропавловск-Камчатский (проектные работы)</t>
  </si>
  <si>
    <t>Микрорайон жилой застройки в п. Лесной Елизовского муниципального района (в том числе проектные работы)</t>
  </si>
  <si>
    <t>Министерство транспорта и дорожного строительства Камчатского края</t>
  </si>
  <si>
    <t>2014 год, 4 года</t>
  </si>
  <si>
    <t>42,027 км, 339,05 п.м.</t>
  </si>
  <si>
    <t>КГКУ "Управление автомобильных дорог Камчатского края"</t>
  </si>
  <si>
    <t>3,124 км / 567,7 п.м.</t>
  </si>
  <si>
    <t>10,56 км / 79,5 п.м.</t>
  </si>
  <si>
    <t>3,627 км</t>
  </si>
  <si>
    <t>2017 год, 4 года</t>
  </si>
  <si>
    <t>0,3 км</t>
  </si>
  <si>
    <t>0,7 км</t>
  </si>
  <si>
    <t>1,2 км</t>
  </si>
  <si>
    <t>6 км</t>
  </si>
  <si>
    <t>Реконструкция автомобильной дороги Петропавловск-Камчатский - Мильково на участке км 12- км 17 с подъездом к федеральной дороге</t>
  </si>
  <si>
    <t>5 км</t>
  </si>
  <si>
    <t>18 км</t>
  </si>
  <si>
    <t>Реконструкция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</si>
  <si>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2 км \
120.4 п.м.</t>
  </si>
  <si>
    <t>10 км</t>
  </si>
  <si>
    <t>Реконструкция автомобильной дороги Елизово - Паратунка на кольцевой развязке км 12+700</t>
  </si>
  <si>
    <t>Министерство ЖКХ и энергетики Камчатского края</t>
  </si>
  <si>
    <t>6 Гкал/час</t>
  </si>
  <si>
    <t>2016 год, 4 года</t>
  </si>
  <si>
    <t>3187пм</t>
  </si>
  <si>
    <t>3,05 км</t>
  </si>
  <si>
    <t>7340 пм</t>
  </si>
  <si>
    <t>Строительство очистных сооружений хозяйственно-бытовых стоков с реконструкцией существующих систем водоотведения с. Никольское</t>
  </si>
  <si>
    <t>Министерство сельского хозяйства, пищевой и перерабатывающей промышленности Камчатского края</t>
  </si>
  <si>
    <t>400 мест</t>
  </si>
  <si>
    <t>расход воды от 0 до 9 м3/сут</t>
  </si>
  <si>
    <t>Тигильского муниципального района</t>
  </si>
  <si>
    <t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специализированного жилищного фонда по договорам найма специализированных жилых помещений</t>
  </si>
  <si>
    <t>Министерство спорта и молодежной политики Камчатского края</t>
  </si>
  <si>
    <t>Усть-Большерецкий муниципальный район</t>
  </si>
  <si>
    <t>Создание инфраструктуры для занятий сноубордом и фристайлом</t>
  </si>
  <si>
    <t>1485,6м2</t>
  </si>
  <si>
    <t>Министерство специальных программ и по делам казачества Камчатского края</t>
  </si>
  <si>
    <t>Агентство по ветеринарии Камчатского края</t>
  </si>
  <si>
    <t xml:space="preserve"> 5 ям</t>
  </si>
  <si>
    <t>КГБУ "Елизовская районная станция по борьбе с болезнями животных"</t>
  </si>
  <si>
    <t>Министерство здравоохранения Камчатского края</t>
  </si>
  <si>
    <t xml:space="preserve">Реконструкция системы теплоснабжения с переводом на автоматизированные миникотельные на жидком топливе в с. Каменское Пенжинского  района (2-й этап)     </t>
  </si>
  <si>
    <t>Предельные объемы денежных средств, направляемых на реализацию объекта Инвестиционной программы, в разрезе источников финансирования на очередной финансовый год, плановый и прогнозный периоды</t>
  </si>
  <si>
    <t xml:space="preserve">Строительство автозимника продленного действия с. Анавгай - пгт. Палана на участке км 308 - км 350 </t>
  </si>
  <si>
    <t xml:space="preserve">Разработка типового проекта автостанции (автостанция в с Мильково) </t>
  </si>
  <si>
    <t>Реконструкция наружных сетей с. Тиличики систем водоснабжения и канализации с установкой теплоизолирующих кожухов на вводы в строения Олюторского муниципального района, Камчатского края</t>
  </si>
  <si>
    <t>Предоставление социальных выплат на строительство (приобретение) жилья гражданам, проживающим в сельской местности</t>
  </si>
  <si>
    <t>Предоставление социальных выплат на строительство (приобретение) жилья молодым семьям и молодым специалистам, проживающим в сельской местности</t>
  </si>
  <si>
    <t>Министерство специального программ и по делам казачества Камчатского края</t>
  </si>
  <si>
    <t>Министерство образования и науки Камчатского края</t>
  </si>
  <si>
    <t>Государственная программа Камчатского края "Обеспечение доступным и комфортным жильем жителей Камчатского края на 2014-2018 годы"</t>
  </si>
  <si>
    <t>Государственная программа Камчатского края "Развитие здравоохранения Камчатского края на 2014-2020 годы"</t>
  </si>
  <si>
    <t>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</t>
  </si>
  <si>
    <t>Строительство здания городской поликлиники с реабилитационным центром по ул. Индустриальная в г.Петропавловск-Камчатский (в том числе корректировка проектной документации)</t>
  </si>
  <si>
    <t>Строительство  здания фельдшерско-акушерского пункта в сельской местности на территории Камчатского края (в том числе проектные работы)</t>
  </si>
  <si>
    <t>Строительство Камчатской краевой больницы</t>
  </si>
  <si>
    <t>510 коек/150 посещений в смену</t>
  </si>
  <si>
    <t>ГБУЗ "Камчатская краевая больница им. А.С. Лукашевского"</t>
  </si>
  <si>
    <t>Государственная программа Камчатского края  "Развитие образования в Камчатском крае на 2014-2016 годы"</t>
  </si>
  <si>
    <t>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"B", "С", "D" г.Петропавловск-Камчатский</t>
  </si>
  <si>
    <t>Сейсмоусиление зданий центра ГБУЗ "Камчатский краевой психоневрологический диспансер" по ул. Карагинская,22 в г.Петропавловске-Камчатском</t>
  </si>
  <si>
    <t>Сейсмоусиление здания КГБОУ ДПОРК "Камчатский учебно-методический центр" по ул. Савченко, 8/1 в г.Петропавловске-Камчатском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</si>
  <si>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</si>
  <si>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</t>
  </si>
  <si>
    <t xml:space="preserve">Строительство котельной села Сосновка (в том числе проектные работы)    </t>
  </si>
  <si>
    <t>Разработка схемы водоснабжения и водоотведения сельского поселения "село Лесная" Тигильского района</t>
  </si>
  <si>
    <t>Реконструкция станции 2-го подъема и ЗРУ - 6 кВ "Авачинского водозабора" (проектные работы)</t>
  </si>
  <si>
    <t>Реконструкция сетей холодного водоснабжения ул.Нагорная с.Эссо Быстринского района Камчатского края (проектные работы)</t>
  </si>
  <si>
    <t>Станция второго подъема водозабора и реконструкция скважины №4, с Тиличики Олюторского района Камчатский край</t>
  </si>
  <si>
    <t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</t>
  </si>
  <si>
    <t>Государственная программа Камчатского края "Развитие внутреннего и въездного туризма в Камчатском крае на 2014-2018 годы"</t>
  </si>
  <si>
    <t>Реконструкция здания дома культуры под этнокультурный центр в с. Никольское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</si>
  <si>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</t>
  </si>
  <si>
    <t>Строительство здания горнолыжной базы "Красная сопка" в г. Петропавловске-Камчатском</t>
  </si>
  <si>
    <t>Государственная программа Камчатского края "Развитие транспортной системы в Камчатском крае на 2014-2025 годы"</t>
  </si>
  <si>
    <t>Реконструкция инженерного сооружения "Мост через р. Микижа с. Паратунка" (в том числе разработка проектной документации)</t>
  </si>
  <si>
    <t>Реконструкция автомобильной дороги общего пользования местного значения подъезд к ул. Невельского с. Паратунка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</si>
  <si>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</si>
  <si>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 на 2014-2018 годы"</t>
  </si>
  <si>
    <t>Государственная программа Камчатского края "Совершенствование управления краевым имуществом Камчатского края на 2014-2018 годы"</t>
  </si>
  <si>
    <t>Строительство помещений ветеринарных лечебниц в п. Нагорный и с. Николаевка Елизовского района</t>
  </si>
  <si>
    <t>способ финансового обеспечения осуществления капитальных вложений.</t>
  </si>
  <si>
    <t>200 мест</t>
  </si>
  <si>
    <t>260 мест</t>
  </si>
  <si>
    <t>срок ввода в эксплуатацию и нормативный срок реализации объекта Инвестиционной программы;</t>
  </si>
  <si>
    <t>Дворец бракосочетания в г. Петропавловске-Камчатском</t>
  </si>
  <si>
    <t>7846,8 м2</t>
  </si>
  <si>
    <t xml:space="preserve">Сооружение тепловые сети первого и второго контура (реконструкция первого контура на участке от ВК 2 до УТС-13) в микрорайоне Северо-Восток г.Петропавловска-Камчатского </t>
  </si>
  <si>
    <t>Сооружение центральный тепловой пункт № 334 и  тепловые сети второго и первого контура инв. № 8299 (реконструкция первого контура на участке от УТП-22 до УТС-12) в микрорайоне Северо-Восток г.Петропавловска-Камчатского</t>
  </si>
  <si>
    <t>Микрорайон жилой застройки в п. Красный Елизовского муниципального района (в том числе проектные работы)</t>
  </si>
  <si>
    <t>Микрорайон жилой застройки в районе Северо-Восточного шоссе в г.Петропавловска-Камчатского (2 очередь) 1 этап</t>
  </si>
  <si>
    <t>Микрорайон жилой застройки в районе Северо-Восточного шоссе в г.Петропавловска-Камчатского (2 очередь) 2 этап</t>
  </si>
  <si>
    <t>Группа жилой застройки в границах ул. Свердлова и ул. Хуторская в г. Елизово Камчатского края (проектные работы)</t>
  </si>
  <si>
    <t>Строительство корпуса паллиативной медицинской помощи на 80 коек (в том числе проектные работы)</t>
  </si>
  <si>
    <t>Строительство нового корпуса КГАУ СЗ "Паратунский дом-интернат для престарелых и инвалидов" п. Термальный. (проектные работы)</t>
  </si>
  <si>
    <t>Строительство Комплексного центра для детей с нарушением опорно-двигательной системы в Елизовском районе (проектные работы)</t>
  </si>
  <si>
    <t>Государственная программа Камчатского края "Развитие культуры в Камчатском крае на 2014-2018 годы"</t>
  </si>
  <si>
    <t>152 места</t>
  </si>
  <si>
    <t>Микрорайон жилой застройки между п. Дальний и п. Заозерный в г.Петропавловске-Камчатском (в том числе проектные работы)</t>
  </si>
  <si>
    <t xml:space="preserve">Проектирование реконструкции автомобильной дороги Петропавловск-Камчатский - Мильково на участке км 106 - км 112 </t>
  </si>
  <si>
    <t>Проектирование реконструкции автомобильной дороги Петропавловск-Камчатский - Мильково на участке км 12- км 17 с подъездом к федеральной дороге</t>
  </si>
  <si>
    <t>Проектирование реконструкции автомобильной дороги Петропавловск-Камчатский - Мильково на участке км 152- км 170</t>
  </si>
  <si>
    <t>Проектирование реконструкции автомобильной дороги Петропавловск-Камчатский - Мильково на участке км 231 - км 249</t>
  </si>
  <si>
    <t>Проектирование реконструкции автомобильной дороги Петропавловск-Камчатский - Мильково на участке строительства западного обхода г.Елизово км 27 - км 30 с подъездом к аэропорту</t>
  </si>
  <si>
    <t>Проектирование реконструкции автомобильной дороги Елизово - Паратунка на кольцевой развязке км 12+700</t>
  </si>
  <si>
    <t>Реконструкция автомобильной дороги "Садовое кольцо-подъезд к СНТ "Автомобилист" (в том числе разработка проектной документации)</t>
  </si>
  <si>
    <t>Реконструкция автомобильной дороги "Садовое кольцо-подъезд к СНТ "БАМ" (в том числе разработка проектной документации)</t>
  </si>
  <si>
    <t>Реконструкция автомобильной дороги общего пользования местного значения по ул. Центральная от КПП-ВАИ до гостиницы п. Вулканный (в том числе разработка проектной документации)</t>
  </si>
  <si>
    <t>Реконструкция автомобильной дороги общего пользования местного значения Начикинского сельского поселения (въезд в поселок от автобусной остановки к санаторию, подъезд к пункту ГОЧС п. Начики), в том числе разработка проектной документации</t>
  </si>
  <si>
    <t xml:space="preserve">Реконструкция автомобильной дороги Петропавловск-Камчатский - Мильково на участке км 106 - км 112 </t>
  </si>
  <si>
    <t>Реконструкция автомобильной дороги Петропавловск-Камчатский - Мильково на участке км 249 - км 260</t>
  </si>
  <si>
    <t>Строительство тепловой сети и автоматизированной котельной мощностью 12,9 Гкал/час (15 МВт) на газовом топливе (аварийное - дизельное топливо) для пос. Пионерский, ул. Зеленая, Пионерского сельского поселения (в том числе проектные работы)</t>
  </si>
  <si>
    <t>Строительство тепловой сети и автоматизированной котельной мощностью 0,86 Гкал/час (1 МВт) на газовом топливе (аварийное - дизельное топливо) для п. Светлый, ул. Луговая, Пионерского сельского поселения (в том числе проектные работы)</t>
  </si>
  <si>
    <t>Строительство тепловой сети и автоматизированной котельной мощностью 0,33 Гкал/час (0,38 МВт) на газовом топливе (аварийное - дизельное топливо) для объекта "Очистные сооружения",пос. Пионерский, Пионерского сельского поселения (в том числе проектные работы)</t>
  </si>
  <si>
    <t>Строительство тепловой сети и автоматизированной котельной мощностью 0,86 Гкал/час (1 МВт) на газовом топливе (аварийное - дизельное топливо) для пос. Крутобереговый, Пионерского сельского поселения (в том числе проектные работы)</t>
  </si>
  <si>
    <t>Строительство тепловой сети и автоматизированной котельной мощностью 0,86 Гкал/час (1 МВт) на газовом топливе (аварийное - дизельное топливо) для п. Светлый, ул. Мира, Пионерского сельского поселения (в том числе проектные работы)</t>
  </si>
  <si>
    <t>Реконструкция напорного канализационного коллектора Д700 с заменой оборудования КНС № 11 по улице Дальневосточной (в том числе проектные работы и государственная экспертиза проектной документации)</t>
  </si>
  <si>
    <t>Строительство наружного водопровода в с. Пиначево Раздольненского сельского поселения</t>
  </si>
  <si>
    <t xml:space="preserve">Водопроводные сети системы холодного водоснабжения с присоединением к центральному водоводу в сельском поселении «село Усть-Хайрюзово» (капитальное строительство)
</t>
  </si>
  <si>
    <t>Котельная, работающая по инновационной технологии сжигания топлива в псевдосжиженном слое катализатора в с. Шаромы Мильковского района Камчатского края (проектные работы)</t>
  </si>
  <si>
    <t>Водоснабжение села Соболево на территории Соболевского муниципального района Камчатского края (проектные работы)</t>
  </si>
  <si>
    <t>Соболевский муниципальный район</t>
  </si>
  <si>
    <t>Строительство хранилища техники на базе краевого резерва КГКУ "ЦОД", расположенного по адресу: Камчатский край, Елизовский район, п. Пионерский, р-н 15 км автомобильной дороги Петропавловск-Камчатский - Елизово</t>
  </si>
  <si>
    <t>Реконструкция автомобильной дороги Петропавловск-Камчатский - Мильково на участке км 231 - км 249</t>
  </si>
  <si>
    <t>Министерство социального развития и труда Камчатского края</t>
  </si>
  <si>
    <t>Государственная программа Камчатского края "Социальная поддержка граждан в Камчатском крае на 2014-2018 годы"</t>
  </si>
  <si>
    <t>Министерство жилищно-коммунального хозяйства и энергетики Камчатского края</t>
  </si>
  <si>
    <t>Предоставление социальной выплаты на строительство или приобретение жилого помещения в собственность граждан, состав семьи которых не менее 4-х детей и не менее 3-х одновременно рожденных детей, и одиноких матерей, имеющих не более 3-х детей проживающих в Камчатском крае</t>
  </si>
  <si>
    <t>Инвестиционная программа Камчатского края на 2014 год и на плановый период 2015-2016 годов и прогнозный период 2017-2018 годов</t>
  </si>
  <si>
    <t>Предоставление социальных выплат отдельным категориям граждан, проживающим в Камчатском крае, для уплаты первоначального взноса по ипотечному жилищному кредиту на приобретение жилого помещения на территории Камчатского края</t>
  </si>
  <si>
    <t>Реконструкция инфраструктуры горнолыжного комплекса Камчатского края. 2-я очередь. Горнолыжная база "Эдельвейс" г.Петропавловск-Камчатский. Строительство системы искусственного снегообразования и системы искусственного освещения трасс, строительство 4-х местной скоростной канатной дороги и буксировочных канатных дорог</t>
  </si>
  <si>
    <t>Государственная программа Камчатского края "Развитие экономики и внешнеэкономической деятельности Камчатского края на 2014-2018 годы"</t>
  </si>
  <si>
    <t>Приобретение объектов недвижимости в собственность Камчатского края для обеспечения деятельности КГАУ "Камчатский выставочно-инвестиционный центр": здание кинотеатра "Горизонт" с земельным участком по адресу: Камчатский край, г. Петропавловск-Камчатский, просп. Циолковского, д. 50</t>
  </si>
  <si>
    <t>Проектирование строительства линии наружного освещения на автомобильной дороге Петропавловск-Камчатский - Мильково на участке км 12 - км 24</t>
  </si>
  <si>
    <t>Приобретение грузопассажирского судна</t>
  </si>
  <si>
    <t>Разработка проектной документации и строительство скотомогильников с биотермическими ямами в муниципальных образованиях Камчатского края</t>
  </si>
  <si>
    <t>Реконструкция незавершенного строительством здания травматологии под родильное отделение ГБУЗ КК "Елизовская районная больница" г. Елизово ул. Пограничная, 18, Камчатский край (в том числе проектные работы)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</si>
  <si>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</si>
  <si>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</si>
  <si>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</si>
  <si>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</si>
  <si>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</si>
  <si>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</si>
  <si>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</si>
  <si>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</si>
  <si>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</si>
  <si>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</si>
  <si>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</si>
  <si>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</t>
  </si>
  <si>
    <t>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</si>
  <si>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</si>
  <si>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</si>
  <si>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</si>
  <si>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</si>
  <si>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</si>
  <si>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</si>
  <si>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</si>
  <si>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</si>
  <si>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</si>
  <si>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</si>
  <si>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</si>
  <si>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</si>
  <si>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Строительство детского сада на 200 мест в  п. Ключи Усть-Камчатского района (проектные работы)</t>
  </si>
  <si>
    <t>3.1.</t>
  </si>
  <si>
    <t>3.2.</t>
  </si>
  <si>
    <t>3.3.</t>
  </si>
  <si>
    <t>3.4.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</si>
  <si>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</si>
  <si>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</si>
  <si>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</si>
  <si>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</si>
  <si>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</si>
  <si>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</si>
  <si>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</si>
  <si>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</si>
  <si>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</si>
  <si>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</si>
  <si>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</si>
  <si>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</si>
  <si>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</si>
  <si>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</si>
  <si>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</si>
  <si>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</si>
  <si>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</si>
  <si>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</si>
  <si>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</si>
  <si>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</si>
  <si>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</si>
  <si>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</si>
  <si>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</si>
  <si>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</si>
  <si>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</si>
  <si>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</si>
  <si>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</si>
  <si>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</si>
  <si>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</si>
  <si>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</si>
  <si>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</si>
  <si>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</si>
  <si>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</si>
  <si>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</si>
  <si>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5.</t>
  </si>
  <si>
    <t>Центральный тепловой пункт мощностью 30 Гкал/час и тепловые сети I контура от котельной № 1 до ЦТП в квартале 110 г.Петропавловска-Камчатского</t>
  </si>
  <si>
    <t>Переселение граждан из аварийного жилищного фонда Камчатского края в соответствии с жилищным законодательством Российской Федерации</t>
  </si>
  <si>
    <t>Сейсмоусиление здания КГБОУ СПО "Камчатский колледж искусств" по пр. Рыбаков, 7 в г.Петропавловске-Камчатский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</si>
  <si>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</si>
  <si>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</si>
  <si>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</si>
  <si>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</si>
  <si>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</si>
  <si>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</si>
  <si>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</si>
  <si>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</si>
  <si>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</si>
  <si>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</si>
  <si>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</si>
  <si>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</si>
  <si>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</si>
  <si>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</si>
  <si>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</si>
  <si>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5.17.</t>
  </si>
  <si>
    <t>5.18.</t>
  </si>
  <si>
    <t>5.19.</t>
  </si>
  <si>
    <t>5.20.</t>
  </si>
  <si>
    <t>5.21.</t>
  </si>
  <si>
    <t>5.22.</t>
  </si>
  <si>
    <t>5.23.</t>
  </si>
  <si>
    <t>5.24.</t>
  </si>
  <si>
    <t>5.25.</t>
  </si>
  <si>
    <t>5.26.</t>
  </si>
  <si>
    <t>5.27.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</si>
  <si>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</si>
  <si>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</si>
  <si>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</si>
  <si>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</si>
  <si>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</si>
  <si>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</si>
  <si>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</si>
  <si>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</si>
  <si>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5.37.</t>
  </si>
  <si>
    <t>5.38.</t>
  </si>
  <si>
    <t>5.39.</t>
  </si>
  <si>
    <t>5.40.</t>
  </si>
  <si>
    <t>5.41.</t>
  </si>
  <si>
    <t>5.42.</t>
  </si>
  <si>
    <t>8.</t>
  </si>
  <si>
    <t>8.1.</t>
  </si>
  <si>
    <t>8.2.</t>
  </si>
  <si>
    <t>8.3.</t>
  </si>
  <si>
    <t>Сети теплоснабжения  в с.Анавгай Быстринского района Камчатского края (проектные работы)</t>
  </si>
  <si>
    <t>Строительство котельной в п. Сокоч Елизовского района Камчатского края (в том числе проектные работы)</t>
  </si>
  <si>
    <t>Реконструкция системы теплоснабжения в с. Слаутное Пенжинского района Камчатского края со строительством новой котельной, работающей по инновационной технологии сжигания топлива в псевдосжиженном слое катализатора и реконструкцией сетей тепло и водоснабжения (проектные работы и государственная экспертиза проектной документации)</t>
  </si>
  <si>
    <t>Проектирование и строительство учебной башни в п.Усть-Камчатск Усть-Камчатского муниципального района</t>
  </si>
  <si>
    <t>9.</t>
  </si>
  <si>
    <t>9.1.</t>
  </si>
  <si>
    <t>10.</t>
  </si>
  <si>
    <t>10.1.</t>
  </si>
  <si>
    <t>11.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</si>
  <si>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</si>
  <si>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</si>
  <si>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</si>
  <si>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</si>
  <si>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</si>
  <si>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</si>
  <si>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</si>
  <si>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</si>
  <si>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</si>
  <si>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</si>
  <si>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</si>
  <si>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</si>
  <si>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</si>
  <si>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</si>
  <si>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11.15.</t>
  </si>
  <si>
    <t>11.16.</t>
  </si>
  <si>
    <t>Реконструкция инфраструктуры горнолыжного и лыжного комплексов Камчатского края (горнолыжная база "Морозная" г.Елизово)</t>
  </si>
  <si>
    <t>13.</t>
  </si>
  <si>
    <t>13.1.</t>
  </si>
  <si>
    <t>15.</t>
  </si>
  <si>
    <t>15.1.</t>
  </si>
  <si>
    <t>15.2.</t>
  </si>
  <si>
    <t>Реконструкция и капитальный ремонт магистральной улицы общегородского значения ул.Вулканная-ул.Чубарова (от поста ГИБДД до пересечения с пр. Победы) в г.Петропавловске-Камчатском</t>
  </si>
  <si>
    <t>Реконструкция автомобильной дороги общего пользования местного значения п. Сокоч (въезд в поселок, подъезд к ул. Лесной жд №№6,7,8,9,10, подъезд к школе, детскому саду, ул. Юбилейная жд №№ 5,6 п. Сокоч), в том числе разработка проектной документации</t>
  </si>
  <si>
    <t>Реконструкция автомобильной дороги общего пользования местного значения (ул. "Вилюйская-ул. Спартака Мячина-ул. Пограничная", г. Елизово)</t>
  </si>
  <si>
    <t>Строительство школы на 400 мест в с. Эссо Быстринского района</t>
  </si>
  <si>
    <t>Мильковкий муниципальный район</t>
  </si>
  <si>
    <t>водопровод- 12,739 км, канализация -8,747 км</t>
  </si>
  <si>
    <t xml:space="preserve">260 мест </t>
  </si>
  <si>
    <t>180 мест</t>
  </si>
  <si>
    <t>100 мест</t>
  </si>
  <si>
    <t>0,6 га</t>
  </si>
  <si>
    <t xml:space="preserve">1176,0 м2, </t>
  </si>
  <si>
    <t>4280,0 м2</t>
  </si>
  <si>
    <t>4638,5 м2</t>
  </si>
  <si>
    <t>4251,3 м2</t>
  </si>
  <si>
    <t>2565,4 м2</t>
  </si>
  <si>
    <t>7325,34 м2</t>
  </si>
  <si>
    <t>20553,2 м2</t>
  </si>
  <si>
    <t>720,6 м2</t>
  </si>
  <si>
    <t>12374,4 м2</t>
  </si>
  <si>
    <t>250 мест</t>
  </si>
  <si>
    <t>ПС 110/10 кВ</t>
  </si>
  <si>
    <t>130 мест</t>
  </si>
  <si>
    <t>Строительство отделения врача общей практики с коттеджем для проживания врачебного персонала, расположенного в сельской местности на территории Камчатского края (в том числе проектные работы)</t>
  </si>
  <si>
    <t xml:space="preserve"> -</t>
  </si>
  <si>
    <t>Концессионное Соглашение от 28.04.2012</t>
  </si>
  <si>
    <t>2021 год, 8 лет</t>
  </si>
  <si>
    <t>30 000 м3/сут</t>
  </si>
  <si>
    <t>Соглашение от 13.01.2014 № 11-ПК</t>
  </si>
  <si>
    <t>2018 год, 5 лет</t>
  </si>
  <si>
    <t>300 м3/сут</t>
  </si>
  <si>
    <t>Соглашение от 13.01.2014 № 14-А</t>
  </si>
  <si>
    <t>6 кВ</t>
  </si>
  <si>
    <t>Соглашение от 13.01.2014 № 5-ЕГП</t>
  </si>
  <si>
    <t>4 645 п.м.</t>
  </si>
  <si>
    <t>Соглашение от 11.03.2014 № 132-Б</t>
  </si>
  <si>
    <t>2017 год, 3 года</t>
  </si>
  <si>
    <t>9 кг/см2</t>
  </si>
  <si>
    <t>Дополнительное Соглашение №1 11.03.2014 к Соглашению от 13.01.2014 № 12-ОЛ</t>
  </si>
  <si>
    <t>500 м3/сут.</t>
  </si>
  <si>
    <t>5 980 п.м.</t>
  </si>
  <si>
    <t>66 000 м3/сут; 
4 000 п.м.</t>
  </si>
  <si>
    <t>12,9 Гкал/час</t>
  </si>
  <si>
    <t>Дополнительное соглашение от 07.04.2014 №1 к Соглашению от 13.01.2014 №6-Пион№</t>
  </si>
  <si>
    <t>0,86 Гкал/час</t>
  </si>
  <si>
    <t>0,33 Гкал/час</t>
  </si>
  <si>
    <t>11 624,7 п.м.</t>
  </si>
  <si>
    <t>Соглашение  от 13.01.2014 № 9-Анавгай</t>
  </si>
  <si>
    <t>Соглашение от 13.01.2014 № 12-Ол</t>
  </si>
  <si>
    <t xml:space="preserve">    -</t>
  </si>
  <si>
    <t>85 Гкал/час</t>
  </si>
  <si>
    <t>3 гкал/час</t>
  </si>
  <si>
    <t>Дополнительное Соглашение №1 от 11.03.2014  к Соглашению от  13.01.2014 №4-Ник</t>
  </si>
  <si>
    <t>3 Гкал/час</t>
  </si>
  <si>
    <t>Дополнительное соглашение №1 к Соглашению от 13.01.2014 №8-М</t>
  </si>
  <si>
    <t>4,52 Гкал/час</t>
  </si>
  <si>
    <t>4,5 Гкал/час</t>
  </si>
  <si>
    <t>Концессионное Соглашение от 02.07.2012</t>
  </si>
  <si>
    <t>16 км.</t>
  </si>
  <si>
    <t>до 10 тыс. человек в сутки</t>
  </si>
  <si>
    <t>10,56 км</t>
  </si>
  <si>
    <t>12 км</t>
  </si>
  <si>
    <t>16 км</t>
  </si>
  <si>
    <t>3,7 км</t>
  </si>
  <si>
    <t>6,6 км</t>
  </si>
  <si>
    <t>0,6 км</t>
  </si>
  <si>
    <t>1,738 км</t>
  </si>
  <si>
    <t>140 м</t>
  </si>
  <si>
    <t>12 600 м.кв.</t>
  </si>
  <si>
    <t>5 811 м.кв.</t>
  </si>
  <si>
    <t>2 341 м.кв.</t>
  </si>
  <si>
    <t>509 м</t>
  </si>
  <si>
    <t>до 250 чел в сутки</t>
  </si>
  <si>
    <t>Строительство педиатрического корпуса на 40 коек и 40 посещений ГБУЗ "Камчатский краевой психоневрологический диспансер" в г. Петропавловск-Камчатский (проектные работы)</t>
  </si>
  <si>
    <t>3.5.</t>
  </si>
  <si>
    <t xml:space="preserve">Министерство социального развития и труда Камчатского края </t>
  </si>
  <si>
    <t>Приобретение помещения для открытия кризисного центра для женщин с детьми пострадавшими от жестокого обращения</t>
  </si>
  <si>
    <t xml:space="preserve">Техническое перевооружение основного оборудования объекта "Сооружение котельная № 1" (в том числе проектные работы)    </t>
  </si>
  <si>
    <t>4.35.</t>
  </si>
  <si>
    <t>Переселение граждан из аварийного жилищного фонда с учетом необходимости развития малоэтажного жилищного строительства в Камчатском крае в соответствии с жилищным законодательством Российской Федерации</t>
  </si>
  <si>
    <t>80 коек</t>
  </si>
  <si>
    <t xml:space="preserve">положительное заключение гос. экспертизы от 01.04.2008 № 41-1-5-0025-08 </t>
  </si>
  <si>
    <t xml:space="preserve">Елизовский муниципальный район  </t>
  </si>
  <si>
    <t>40 коек, 40 посещений</t>
  </si>
  <si>
    <t>елизовский район</t>
  </si>
  <si>
    <t>14 шт</t>
  </si>
  <si>
    <t>КГБУ "Служба заказчика Министерства строительства Камчатского края"</t>
  </si>
  <si>
    <t>2017 год, 5 лет</t>
  </si>
  <si>
    <t>2018 год, 6 лет</t>
  </si>
  <si>
    <t>129 920,63 тыс.рублей</t>
  </si>
  <si>
    <t>14 000,00 тыс.рублей</t>
  </si>
  <si>
    <t>68 057,21 тыс.рублей</t>
  </si>
  <si>
    <t>535 563,058 тыс.рублей</t>
  </si>
  <si>
    <t>10 000,00 тыс.рублей</t>
  </si>
  <si>
    <t>КГБОУ НПО "Профессиональное училище № 3"</t>
  </si>
  <si>
    <t>298 504,75 тыс.рублей</t>
  </si>
  <si>
    <t>412 763,08 тыс.рублей</t>
  </si>
  <si>
    <t>158 868,00 тыс.рублей</t>
  </si>
  <si>
    <t>49 057,72 тыс.рублей</t>
  </si>
  <si>
    <t>5 200,00 тыс.рублей</t>
  </si>
  <si>
    <t>65 179,05 тыс.рублей</t>
  </si>
  <si>
    <t>260 728,21 тыс.рублей</t>
  </si>
  <si>
    <t>323 273,61 тыс.рублей</t>
  </si>
  <si>
    <t>134 543,00 тыс.рублей</t>
  </si>
  <si>
    <t>61 600,00 тыс.рублей</t>
  </si>
  <si>
    <t>253 200,00 тыс.рублей</t>
  </si>
  <si>
    <t>101 500,00 тыс.рублей</t>
  </si>
  <si>
    <t>администрации муниципальных образований Камчатского края</t>
  </si>
  <si>
    <t>1 699 855,75 тыс.рублей</t>
  </si>
  <si>
    <t>631 931,6 тыс.рублей</t>
  </si>
  <si>
    <t>500 512,30 тыс. рублей</t>
  </si>
  <si>
    <t xml:space="preserve">администрация Алеутского муниципального района </t>
  </si>
  <si>
    <t>6 565,66 тыс. рублей</t>
  </si>
  <si>
    <t>51 980,33 тыс. рублей</t>
  </si>
  <si>
    <t>45 434, 63 тыс.рублей</t>
  </si>
  <si>
    <t>52 252, 33 тыс.рублей</t>
  </si>
  <si>
    <t>5 824,50 тыс.рублей</t>
  </si>
  <si>
    <t>19 700,00 тыс.рублей</t>
  </si>
  <si>
    <t>6 334,00 тыс.рублей</t>
  </si>
  <si>
    <t>60 361,29 тыс.рублей</t>
  </si>
  <si>
    <t>360 221,99 тыс.рублей</t>
  </si>
  <si>
    <t>27 800,00 тыс.рублей</t>
  </si>
  <si>
    <t>Алеутский муниципальный район</t>
  </si>
  <si>
    <t>кол. чел./мес. с 20 до 240</t>
  </si>
  <si>
    <t>36 325,42 тыс.рублей</t>
  </si>
  <si>
    <t>администрация  Елизовского муниципального района</t>
  </si>
  <si>
    <t>24 950,00 тыс.рублей</t>
  </si>
  <si>
    <t>администрация Николаевского сельского поселения</t>
  </si>
  <si>
    <t xml:space="preserve"> 2015 год, 2 года</t>
  </si>
  <si>
    <t>265 254,68 тыс.рублей</t>
  </si>
  <si>
    <t>233 300,47 тыс.рублей</t>
  </si>
  <si>
    <t xml:space="preserve"> администрация Вилючинского городского округа</t>
  </si>
  <si>
    <t>администрация Петропавловск-Камчатского городского округа</t>
  </si>
  <si>
    <t>6 527,80 тыс.рублей</t>
  </si>
  <si>
    <t>администрация Усть-Камчатского муниципального района</t>
  </si>
  <si>
    <t>114 316,90 тыс. рублей</t>
  </si>
  <si>
    <t>администрация Елизовского городского поселения</t>
  </si>
  <si>
    <t>174 830,87 тыс.рублей</t>
  </si>
  <si>
    <t>1 534 537,15 тыс.рублей</t>
  </si>
  <si>
    <t>1 128 791,00 тыс.рублей</t>
  </si>
  <si>
    <t>1 900 000 тыс.рублей</t>
  </si>
  <si>
    <t>406 009,99 тыс.рублей</t>
  </si>
  <si>
    <t>администрация Никольского сельского поселения</t>
  </si>
  <si>
    <t>117 253,45 тыс.рублей</t>
  </si>
  <si>
    <t>администрация Елизовского муниципального района</t>
  </si>
  <si>
    <t>администрация Быстринского муниципального района</t>
  </si>
  <si>
    <t>16 416,02 тыс.рублей</t>
  </si>
  <si>
    <t>администрация Олюторского муниципального района</t>
  </si>
  <si>
    <t>36 405,50 тыс.рублей</t>
  </si>
  <si>
    <t>64 792,61 тыс.рублей</t>
  </si>
  <si>
    <t>63 605,41 тыс.рублей</t>
  </si>
  <si>
    <t>117 680,84 тыс.рублей</t>
  </si>
  <si>
    <t>администрация Пионерского сельского поселения</t>
  </si>
  <si>
    <t>412 862,57 тыс.рублей</t>
  </si>
  <si>
    <t>администрация Мильковского муниципального района</t>
  </si>
  <si>
    <t>64 913,63 тыс.рублей</t>
  </si>
  <si>
    <t>1 920 761,22 тыс.рублей</t>
  </si>
  <si>
    <t>администрация Начикинского сельского поселения</t>
  </si>
  <si>
    <t>103 775,29 тыс.рублей</t>
  </si>
  <si>
    <t>администрация сельского поселения "село Лесная"</t>
  </si>
  <si>
    <t>администрация Пенжиского муниципального района</t>
  </si>
  <si>
    <t>администрация Соболевского муниципального района</t>
  </si>
  <si>
    <t>КГКУ «Центр обеспечения действий по гражданской обороне, чрезвычайным ситуациям и пожарной безопасности в Камчатском крае»</t>
  </si>
  <si>
    <t>1 200,00 тыс.рублей</t>
  </si>
  <si>
    <t>663,30 тыс.рублей</t>
  </si>
  <si>
    <t>1 единица</t>
  </si>
  <si>
    <t>4 400,00 тыс.рублей</t>
  </si>
  <si>
    <t>710 967,00 тыс.рублей</t>
  </si>
  <si>
    <t>278 000,00 тыс.рублей</t>
  </si>
  <si>
    <t>КГАОУ дополнительного образования детей "Специализированная детско-юношеская спортивная школа олимпийского резерва по горнолыжному спорту"</t>
  </si>
  <si>
    <t>514 086,00 тыс.рублей</t>
  </si>
  <si>
    <t>КГАОУ дополнительного образования детей "Специализированная детско-юношеская спортивная школа олимпийского резерва по горнолыжному спорту "Эдельвейс"</t>
  </si>
  <si>
    <t>1 570 780,89 тыс.рублей</t>
  </si>
  <si>
    <t>67 340,00 тыс.рублей</t>
  </si>
  <si>
    <t>Горнолыжный комплекс "Оленгенде", расположенный в с.Эссо Быстринского района Камчатского края (строительство)</t>
  </si>
  <si>
    <t>43 116,30 тыс.рублей</t>
  </si>
  <si>
    <t>9 000,00 тыс.рублей</t>
  </si>
  <si>
    <t>15 000,00 тыс.рублей</t>
  </si>
  <si>
    <t>20 000,00 тыс.рублей</t>
  </si>
  <si>
    <t>Устройство электроосвещения и твердого асфальтобетонного покрытия на лыжероллерной трассе и биатлонном стадионе. Объект: Биатлонный комплекс в г.Петропавловске-Камчатском с освещенной лыжероллерной трассой</t>
  </si>
  <si>
    <t>КГАОУ дополнительного образования детей "Специализированная детско-юношеская спортивная школа олимпийского резерва по зимним видам спорта"</t>
  </si>
  <si>
    <t>364 000,00 тыс.рублей</t>
  </si>
  <si>
    <t>3 757,81 тыс.рублей</t>
  </si>
  <si>
    <t>2 спорт.зала</t>
  </si>
  <si>
    <t>9 700,00 тыс.рублей</t>
  </si>
  <si>
    <t>709 959,35 тыс.рублей</t>
  </si>
  <si>
    <t>343 975,63 тыс.рублей</t>
  </si>
  <si>
    <t>2,740 м</t>
  </si>
  <si>
    <t>1 ед.</t>
  </si>
  <si>
    <t>840 000,00 тыс.рублей</t>
  </si>
  <si>
    <t xml:space="preserve"> 79 091,29 тыс.рублей</t>
  </si>
  <si>
    <t>955 634,11 тыс.рублей</t>
  </si>
  <si>
    <t>535 487,20 тыс.рублей</t>
  </si>
  <si>
    <t>2018 год,5 лет</t>
  </si>
  <si>
    <t>120 000,00 тыс.рублей</t>
  </si>
  <si>
    <t>414 097,37 тыс.рублей</t>
  </si>
  <si>
    <t>30 084,05 тыс.рублей</t>
  </si>
  <si>
    <t>14 800,00 тыс.рублей</t>
  </si>
  <si>
    <t>43 557,56 тыс.рублей</t>
  </si>
  <si>
    <t xml:space="preserve"> </t>
  </si>
  <si>
    <t>55 200,00 тыс.рублей</t>
  </si>
  <si>
    <t>12 183,70 тыс.рублей</t>
  </si>
  <si>
    <t>администрация Паратунского сельского поселения</t>
  </si>
  <si>
    <t>31 607,19 тыс.рублей</t>
  </si>
  <si>
    <t>18 888,68 тыс.рублей</t>
  </si>
  <si>
    <t>49 327,21 тыс.рублей</t>
  </si>
  <si>
    <t>6 000,00 тыс.рублей</t>
  </si>
  <si>
    <t>168 630,28 тыс.рублей</t>
  </si>
  <si>
    <t>1 198 028,6 тыс.рублей</t>
  </si>
  <si>
    <t>181 231,00 тыс.рублей</t>
  </si>
  <si>
    <t>администрация Раздольненского сельского поселения</t>
  </si>
  <si>
    <t>администрация сельского поселения "село Усть-Хайрюзово"</t>
  </si>
  <si>
    <t>9 114,00 тыс.рублей</t>
  </si>
  <si>
    <t>6 294,00 тыс.рублей</t>
  </si>
  <si>
    <t>1 000 374,70 тыс.рублей</t>
  </si>
  <si>
    <t>411 878,00 тыс.рублей</t>
  </si>
  <si>
    <t xml:space="preserve">Городской округ «посёлок Палана» 
</t>
  </si>
  <si>
    <t>Государственная программа Камчатского края "Социальное и экономическое развитие территории с особым статусом "Корякский округ" на период 2014-2018 годы". Подпрограмма "Обеспечение доступным и комфортным жильем и коммунальными услугами населения Корякского округа".</t>
  </si>
  <si>
    <t>Обеспечение  жильем эконом-класса специалистов социальной сферы, а также граждан стоящих в очереди на улучшении жилищных условий</t>
  </si>
  <si>
    <t>Государственная программа Камчатского края "Совершенствование управления краевым имуществом Камчатского края на 2014-2018 годы". Подпрограмма "Повышение эффективности управления краевым имуществом".</t>
  </si>
  <si>
    <t xml:space="preserve"> Этнографический центр-музей под открытым небом "Тигильский острог" расположенный в с. Тигиль Камчатского края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</si>
  <si>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 на 2014-2018 годы". Подпрограмма "Устойчивое развитие коренных малочисленных народов Севера, Сибири и Дальнего Востока, проживающих в Камчатском крае".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</si>
  <si>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"Обеспечение эпизоотического и ветеринарно-санитарного благополучия".</t>
  </si>
  <si>
    <t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 на 2014-2018 годы". Подпрограмма "Устойчивое развитие сельских территорий".</t>
  </si>
  <si>
    <t>Государственная программа Камчатского края "Развитие транспортной системы в Камчатском крае на 2014-2025 годы". Подпрограмма "Развитие пассажирского автомобильного транспорта".</t>
  </si>
  <si>
    <t xml:space="preserve">Государственная программа Камчатского края "Развитие транспортной системы в Камчатском крае на 2014-2025 годы". Подпрограмма "Развитие дорожного хозяйства". </t>
  </si>
  <si>
    <t xml:space="preserve">Государственная программа Камчатского края "Развитие транспортной системы в Камчатском крае на 2014-2025 годы". Подпрограмма "Развитие пассажирского автомобильного транспорта". </t>
  </si>
  <si>
    <t xml:space="preserve">Государственная программа Камчатского края "Развитие транспортной системы в Камчатском крае на 2014-2025 годы". Подпрограмма "Развитие водного транспорта". </t>
  </si>
  <si>
    <t>Реконструкция автомобильной дороги Мильково-Ключи-Усть-Камчатск на участке км 263 - км 267</t>
  </si>
  <si>
    <t>Государственная программа Камчатского края "Развитие экономики и внешнеэкономической деятельности Камчатского края на 2014-2018 годы". Подпрограмма "Формирование благоприятной инвестиционной среды".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</si>
  <si>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"Организация отдыха, оздоровления и занятости детей и молодежи в Камчатском крае на 2014-2018 годы".</t>
  </si>
  <si>
    <t>Строительство (реконструкция) футбольных полей в муниципальных образованиях в Камчатском крае</t>
  </si>
  <si>
    <t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"Развитие инфраструктуры для занятий физической культурой и спортом".</t>
  </si>
  <si>
    <t>Реконструкция муниципальных спортивных залов, находящихся в муниципальных образованиях в Камчатском крае</t>
  </si>
  <si>
    <t>Строительство (реконструкция) спортивных площадок для занятий ледовыми видами спорта в муниципальных образованиях в Камчатском крае</t>
  </si>
  <si>
    <t xml:space="preserve">Государственная программа Камчатского края "Физическая культура, спорт, молодежная политика, отдых и оздоровление детей в Камчатском крае на 2014-2018 годы". Подпрограмма "Организация отдыха, оздоровления и занятости детей и молодежи в Камчатском крае на 2014-2018 годы". </t>
  </si>
  <si>
    <t>Государственная программа Камчатского края "Развитие культуры в Камчатском крае на 2014-2018 годы". Подпрограмма "Обеспечение условий реализации Программы".</t>
  </si>
  <si>
    <t xml:space="preserve">Государственная программа Камчатского края "Развитие внутреннего и въездного туризма в Камчатском крае на 2014-2018 годы". Подпрограмма "Создание и развитие туристской инфраструктуры в Камчатском крае". </t>
  </si>
  <si>
    <t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края". Подпрограмма "Снижение рисков и смягчение последствий чрезвычайных ситуаций природного и техногенного характера в Камчатском крае".</t>
  </si>
  <si>
    <t xml:space="preserve">Государственная программа Камчатского края "Защита населения, территорий от чрезвычайных ситуаций, обеспечение пожарной безопасности, развитие гражданской обороны и поддержка российского казачества на 2014-2018 годы на территории Камчатского края". Подпрограмма "Обеспечение пожарной безопасности в Камчатском крае". 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</si>
  <si>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"Чистая вода в Камчатском крае". 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</si>
  <si>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</si>
  <si>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"Стимулирование развития жилищного строительства в Камчатском крае". </t>
  </si>
  <si>
    <t>1 000,00 тыс.рублей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</si>
  <si>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"Повышение устойчивости жилых домов, основных объектов и систем жизнеобеспечения в Камчатском крае".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</si>
  <si>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"Обеспечение жилыми помещениями граждан отдельных категорий в Камчатском крае". </t>
  </si>
  <si>
    <t>субвенции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</si>
  <si>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"Обеспечение жильем молодых семей в Камчатском крае". </t>
  </si>
  <si>
    <t>2 590 239,71 тыс.рублей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</si>
  <si>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"Адресная программа по переселению граждан из аварийного жилищного фонда в Камчатском крае". </t>
  </si>
  <si>
    <t>Государственная программа Камчатского края "Социальная поддержка граждан в Камчатском крае на 2014-2018 годы". Подпрограмма "Детство без жестокости и насилия".</t>
  </si>
  <si>
    <t>Государственная программа Камчатского края "Социальная поддержка граждан в Камчатском крае на 2014-2018 годы". Подпрограмма "Развитие системы социального обслуживания населения в Камчатском крае. Повышение эффективности государственной поддержки социально ориентированных некоммерческих организаций на 2014-2018 годы".</t>
  </si>
  <si>
    <t xml:space="preserve">Государственная программа Камчатского края "Социальная поддержка граждан в Камчатском крае на 2014-2018 годы". Подпрограмма "Меры социальной поддержки отдельных категорий граждан в Камчатском крае". </t>
  </si>
  <si>
    <t xml:space="preserve">Государственная программа Камчатского края  "Развитие образования в Камчатском крае на 2014-2016 годы". Подпрограмма "Развитие дошкольного, общего образования и дополнительного образования детей в Камчатском крае". </t>
  </si>
  <si>
    <t xml:space="preserve">Государственная программа Камчатского края  "Развитие образования в Камчатском крае на 2014-2016 годы". Подпрограмма "Развитие профессионального образования в Камчатском крае". </t>
  </si>
  <si>
    <t xml:space="preserve">Государственная программа Камчатского края "Развитие здравоохранения Камчатского края на 2014-2020 годы". Подпрограмма "Инвестиционные мероприятия в здравоохранении Камчатского края". </t>
  </si>
  <si>
    <t xml:space="preserve">Государственная программа Камчатского края "Развитие здравоохранения Камчатского края на 2014-2020 годы". Подпрограмма "Оказание паллиативной помощи, в том числе детям". </t>
  </si>
  <si>
    <t xml:space="preserve">Государственная программа Камчатского края "Развитие здравоохранения Камчатского края на 2014-2020 годы". Подпрограмма "Кадровое обеспечение системы здравоохранения". </t>
  </si>
  <si>
    <t>положительное заключение гос. экспертизы от 28.04.2012 № 41-1-5-0046-12</t>
  </si>
  <si>
    <t>633 141,88 тыс.рублей</t>
  </si>
  <si>
    <t>407 858,12 тыс. рублей</t>
  </si>
  <si>
    <t>2015 год</t>
  </si>
  <si>
    <t>2016 год</t>
  </si>
  <si>
    <t>2017 год</t>
  </si>
  <si>
    <t>2018 год</t>
  </si>
  <si>
    <t xml:space="preserve">положительное заключение гос. экспертизы от 19.12.2012 № 41-1-6-0042-12 </t>
  </si>
  <si>
    <t xml:space="preserve">положительное заключение гос. экспертизы от 12.02.2013 № 41-1-5-0010-13 </t>
  </si>
  <si>
    <t xml:space="preserve">положительное заключение гос. экспертизы от 08.08.2011 №  41-1-5-0078-11 </t>
  </si>
  <si>
    <t>410 000, 00 тыс.рублей</t>
  </si>
  <si>
    <t>332 242,70 тыс.рублей</t>
  </si>
  <si>
    <t>Строительство детского сада на 30 мест в с. Ковран Тигильского района (в том числе проектные работы)</t>
  </si>
  <si>
    <t>327 130,00 тыс.рублей</t>
  </si>
  <si>
    <t>2.13.</t>
  </si>
  <si>
    <t>Детский сад на 260 мест г.Елизово</t>
  </si>
  <si>
    <t>30 546,35 тыс.рублей</t>
  </si>
  <si>
    <t>1 автодром</t>
  </si>
  <si>
    <t>7 000,00 тыс.рублей</t>
  </si>
  <si>
    <t>3.6.</t>
  </si>
  <si>
    <t>Разработка проектной документации на установку резервного источника электроснабжения КГАУ СЗ "Камчатский специальный дом ветеранов"</t>
  </si>
  <si>
    <t>КГАУ СЗ "Камчатский специальный дом ветеранов"</t>
  </si>
  <si>
    <t>КГАУ СЗ "Камчатский центр социальной помощи семье и детям"</t>
  </si>
  <si>
    <t>1200,00 тыс.рублей</t>
  </si>
  <si>
    <t>Микрорайон жилой застройки по ул.Вулканной Вулканного городского поселения Елизовского муниципального района (в том числе проектные работы)</t>
  </si>
  <si>
    <t>Внеплощадочные сети 110 квартала в г.Петропавловске-Камчатском</t>
  </si>
  <si>
    <t>4.36.</t>
  </si>
  <si>
    <t>4.37.</t>
  </si>
  <si>
    <t>4.38.</t>
  </si>
  <si>
    <t>18 квартирный трехэтажный дом в с.Эссо Быстринского района Камчатского края. Наружные внеплощадочные сети</t>
  </si>
  <si>
    <t>администрация Эссовского сельского поселения</t>
  </si>
  <si>
    <t>4.39.</t>
  </si>
  <si>
    <t>администрация Ключевского сельского поселения</t>
  </si>
  <si>
    <t>4.40.</t>
  </si>
  <si>
    <t>Создание объектов инженерной инфраструктуры для 12-квартирного жилого дома по ул.Октябрьская, 30 в пос.Козыревск Камчатского края (в том числе проектные работы)</t>
  </si>
  <si>
    <t>администрация Козыревского сельского поселения</t>
  </si>
  <si>
    <t>4.41.</t>
  </si>
  <si>
    <t>администрация Усть-Камчатского сельского поселения</t>
  </si>
  <si>
    <t>4.42.</t>
  </si>
  <si>
    <t>Подготовка объектов инженерной инфраструктуры для групп жилых домов по ул.Новый в пос.Козыревск Камчасткого края (в том числе проектные работы)</t>
  </si>
  <si>
    <t>5 034,00 тыс.рублей</t>
  </si>
  <si>
    <t>5 630,00 тыс.рублей</t>
  </si>
  <si>
    <t>Государственная программа Камчатского края "Обеспечение доступным и комфортным жильем жителей Камчатского края на 2014-2018 годы". Подпрограмма "Переселение граждан из аварийного жилищного фонда с учетом необходимости развития малоэтажного жилищного строительства в Камчатском крае".</t>
  </si>
  <si>
    <t>82 087,47 тыс.рублей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</si>
  <si>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"Переселение граждан из аварийных жилых домов и непригодных для проживания жилых помещений в Камчатском крае". </t>
  </si>
  <si>
    <t>Приобретение жилых помещений у застройщиков</t>
  </si>
  <si>
    <t>Строительство многоквартирных домов (в том числе проектные работы)</t>
  </si>
  <si>
    <t>Реконструкция котельной № 2 г.Елизово (ул.Рябикова, 59) со строительством дополнительного газового энергоблока каркасного типа с блочным расположением оборудования с передачей нагрузок котельных № 1, № 3</t>
  </si>
  <si>
    <t>Реконструкция котельной № 4 г.Елизово (ул.40 лет Октября) со строительством дополнительного газового энергоблока каркасного типа с блочным расположением оборудования</t>
  </si>
  <si>
    <t>администрация Анавгайского сельского поселения</t>
  </si>
  <si>
    <t>Реконструкция и строительство сетей водоснабжения в г.Петропавловске-Камчатском. Этап 1. "Реконструкция системы водоснабжения Юго-Восточной части города Петропавловска-Камчатского. Строительство перемычки по Госпитальному переулку от РЧВ пр.Циолковского,3/1 до ул.Пограничной,31а. (1 этап строительства)" (в том числе проектные работы и государственная экспертиза проектной документации)</t>
  </si>
  <si>
    <t>Строительство (строительство каркасных модульных  газовых котельных) дополнительного энергоблока к объекту, состоящего из котельной каркасного типа с расчетной теплопроизводительностью 35 МВт</t>
  </si>
  <si>
    <t>35 МВт</t>
  </si>
  <si>
    <t>администрация городского округа "поселок Палана"</t>
  </si>
  <si>
    <t>6.</t>
  </si>
  <si>
    <t>6.1.</t>
  </si>
  <si>
    <t>6.2.</t>
  </si>
  <si>
    <t>6.3.</t>
  </si>
  <si>
    <t>6.4.</t>
  </si>
  <si>
    <t>Проектирование и строительство учебной башни в с.Усть-Большерецк Усть-Большерецкого муниципального района</t>
  </si>
  <si>
    <t>Проектирование и строительство учебных башен для подготовки пожарных (Завершение строительства учебно-тренировочной башни на улице Нагорная, 30а в п.Эссо Быстринского района Камчатского края)</t>
  </si>
  <si>
    <t>6 572,95 тыс.рублей</t>
  </si>
  <si>
    <t>6.5.</t>
  </si>
  <si>
    <t>Строительство системы теплоснабжения здания гаража пожарной части технической службы для нужд КГКУ "ЦОД"</t>
  </si>
  <si>
    <t>7.</t>
  </si>
  <si>
    <t>7.1.</t>
  </si>
  <si>
    <t>Капитальные вложения в основные средства  ГУП "Камчатстройэнергосервис" на строительство, реконструкцию помещений в ДОЛ им.Ю.Гагарина (в том числе разработка проектной документации)</t>
  </si>
  <si>
    <t>9.2.</t>
  </si>
  <si>
    <t>9.3.</t>
  </si>
  <si>
    <t>9.4.</t>
  </si>
  <si>
    <t>9.5.</t>
  </si>
  <si>
    <t>9.6.</t>
  </si>
  <si>
    <t>9.7.</t>
  </si>
  <si>
    <t>9.9.</t>
  </si>
  <si>
    <t>9.10.</t>
  </si>
  <si>
    <t>9.11.</t>
  </si>
  <si>
    <t>9.12.</t>
  </si>
  <si>
    <t>Автомобильная дорога по ул. Ларина с устройством транспортной развязки и водопропускными сооружениями в городе Петропавловске-Камчатском</t>
  </si>
  <si>
    <t>Магистраль общегородского значения от поста ГАИ до ул. Академика Королева с развязкой в микрорайоне Северо-Восток в г.Петропавловске-Камчатском (участок от ул. Ларина до ул. Академика Королева)</t>
  </si>
  <si>
    <t>Автомобильная дорога общегородского значения по улице Дальневосточной в г.Петропавловске-Камчатском (от ПК +00+ПКЗ+70)</t>
  </si>
  <si>
    <t>Строительство стационарного пункта весового контроля на автомобильной дороге Петропавловск-Камчатский-Мильково (проектные работы)</t>
  </si>
  <si>
    <t>Реконструкция автомобильной дороги Елизово-Паратунка на участке мостового перехода через реку Половинка</t>
  </si>
  <si>
    <t>11.17.</t>
  </si>
  <si>
    <t>11.18.</t>
  </si>
  <si>
    <t>11.19.</t>
  </si>
  <si>
    <t>11.20.</t>
  </si>
  <si>
    <t>11.21.</t>
  </si>
  <si>
    <t>11.22.</t>
  </si>
  <si>
    <t>11.23.</t>
  </si>
  <si>
    <t>11.24.</t>
  </si>
  <si>
    <t>11.25.</t>
  </si>
  <si>
    <t>11.26.</t>
  </si>
  <si>
    <t>11.27.</t>
  </si>
  <si>
    <t>11.28.</t>
  </si>
  <si>
    <t>11.29.</t>
  </si>
  <si>
    <t>11.30.</t>
  </si>
  <si>
    <t>11.31.</t>
  </si>
  <si>
    <t>11.32.</t>
  </si>
  <si>
    <t>11.33.</t>
  </si>
  <si>
    <t>11.34.</t>
  </si>
  <si>
    <t>11.35.</t>
  </si>
  <si>
    <t>11.36.</t>
  </si>
  <si>
    <t>11.37.</t>
  </si>
  <si>
    <t>11.39.</t>
  </si>
  <si>
    <t>11.38.</t>
  </si>
  <si>
    <t>11.40.</t>
  </si>
  <si>
    <t>11.41.</t>
  </si>
  <si>
    <t>11.42.</t>
  </si>
  <si>
    <t>12.</t>
  </si>
  <si>
    <t>12.1.</t>
  </si>
  <si>
    <t>12.2.</t>
  </si>
  <si>
    <t>12.3.</t>
  </si>
  <si>
    <t>12.4.</t>
  </si>
  <si>
    <t>12.5.</t>
  </si>
  <si>
    <t>12.6.</t>
  </si>
  <si>
    <t>12.7.</t>
  </si>
  <si>
    <t>14.</t>
  </si>
  <si>
    <t>14.1.</t>
  </si>
  <si>
    <t>администрация Тигильского муниципального района</t>
  </si>
  <si>
    <t>14.2.</t>
  </si>
  <si>
    <t>14.3.</t>
  </si>
  <si>
    <t>14.4.</t>
  </si>
  <si>
    <t>7 200,00 тыс.рублей</t>
  </si>
  <si>
    <t>1 099 475,35 тыс.рублей</t>
  </si>
  <si>
    <t xml:space="preserve">положительное заключение гос. экспертизы от 07.12.2010 № 41-1-5-0137-10 </t>
  </si>
  <si>
    <t>Соглашение с Федеральным дорожным агентством от 22.07.11 № 48/84-С-2</t>
  </si>
  <si>
    <t>2 047 943,81 тыс.рублей</t>
  </si>
  <si>
    <t xml:space="preserve">положительное заключение гос. экспертизы от 22.12.2011 № 41-1-5-0163-11 </t>
  </si>
  <si>
    <t xml:space="preserve">положительное заключение гос. экспертизы от 22.12.2011 № 41-1-5-0163-11  от 15.02.2013 №41-1-4-0011-13 </t>
  </si>
  <si>
    <t xml:space="preserve">положительное заключение гос. экспертизы от 24.08.2012 № 41-1-4-0096-12 , от 24.08.2012 № 41-1-6-0030-12 </t>
  </si>
  <si>
    <t>34 пасс., 200 тонн</t>
  </si>
  <si>
    <t xml:space="preserve">265 000,00 тыс.рублей 
</t>
  </si>
  <si>
    <t>680 749,89 тыс.рублей</t>
  </si>
  <si>
    <t xml:space="preserve">положительное заключение гос. экспертизы от 28.07.2010 года № 41-1-5-0073-10 , от 27.07.2011 года № 41-1-6-0074-11 </t>
  </si>
  <si>
    <t xml:space="preserve">положительное заключение гос. экспертизы от 05.06.2013 № 41-1-5-042-13 </t>
  </si>
  <si>
    <t>527 307,00 тыс.рублей</t>
  </si>
  <si>
    <t>1 915 270,00 тыс.рублей</t>
  </si>
  <si>
    <t>1 435 614,76 тыс.рублей</t>
  </si>
  <si>
    <t>1 399 163,53 тыс.рублей</t>
  </si>
  <si>
    <t xml:space="preserve">положительное заключение гос. экспертизы от 15.02.2013 № 41-1-4-0011-13 </t>
  </si>
  <si>
    <t>3,49 км</t>
  </si>
  <si>
    <t>3 428 118,91 тыс.рублей</t>
  </si>
  <si>
    <t>745 607,00 тыс.рублей</t>
  </si>
  <si>
    <t>429 564,00 тыс.рублей</t>
  </si>
  <si>
    <t>625 556,38 тыс.рублей</t>
  </si>
  <si>
    <t>10 254,00 тыс.рублей</t>
  </si>
  <si>
    <t>70 000,00 тыс.рублей</t>
  </si>
  <si>
    <t>1 пункт</t>
  </si>
  <si>
    <t>0,43 км / 48,25 п.м.</t>
  </si>
  <si>
    <t>475 793,00 тыс.рублей</t>
  </si>
  <si>
    <t>положительное заключение гос. экспертизы от 29.04.2013 № 41-1-5-0131-13</t>
  </si>
  <si>
    <t xml:space="preserve">положительное заключение гос. экспертизы от 21.03 2013 № 41-1-2-0020-13 </t>
  </si>
  <si>
    <t>Договор о финансировании строительства от 05.03.2014 № 03/48</t>
  </si>
  <si>
    <t>121 934,40 тыс.рублей</t>
  </si>
  <si>
    <t>Соглашение с Минсельхозом России от 23.04.2014 № 568/10</t>
  </si>
  <si>
    <t>2 731,50 тыс.рублей</t>
  </si>
  <si>
    <t>Договор о финансировании строительства от 28.03.2014 № 03/126</t>
  </si>
  <si>
    <t xml:space="preserve">положительное заключение гос. экспертизы от 11.04.2012  № 41-1-3-0037-12 </t>
  </si>
  <si>
    <t xml:space="preserve">положительное заключение гос. экспертизы от 01.02.2012  № 41-1-3-0066-12 </t>
  </si>
  <si>
    <t xml:space="preserve">положительное заключение гос. экспертизы от 26.03.2013   № 1-1-6-0005-13 </t>
  </si>
  <si>
    <t>положительное заключение гос.экспертизы  от 16.11.2012 № 41-1-5-0117-12</t>
  </si>
  <si>
    <t xml:space="preserve">положительное заключение гос.экспертизы  от 14.10.2011 № 41-1-4-0118-11 </t>
  </si>
  <si>
    <t xml:space="preserve">положительное заключение гос.экспертизы от 29.05.2012 № 41-1-5-0063-12 ,от 04.09.2012 № 41-1-6-0033-12 </t>
  </si>
  <si>
    <t>положительное заключение гос.экспертизы от 09.04.2010  №41-1-4-0032-10, от 30.11.2010 № 00-1-6-0757-10</t>
  </si>
  <si>
    <t>положительное заключение гос.экспертизы от 22.12.2010 41-1-4-0150-10 от 20.07.2011 41-1-6-0072-11</t>
  </si>
  <si>
    <t>положительное заключение гос.экспертизы от 24.06.2013 № 41-1-5-0048-13</t>
  </si>
  <si>
    <t>положительное заключение гос.экспертизы от 29.05.2012 № 41-1-5-0063-12 от 04.09..2012 № 41-6-003-12</t>
  </si>
  <si>
    <t xml:space="preserve">положительное заключение гос.экспертизы от 12.11.2012 № 41-1-5-0116-12 </t>
  </si>
  <si>
    <t>положительное заключение гос.экспертизы от 20.11.2008 №41-1-3-0117-08, от 11.02.2013 №1-1-6-0002-13</t>
  </si>
  <si>
    <t xml:space="preserve">положительное заключение гос.экспертизы от 25.12.2012 № 41-1-3-0129-12 </t>
  </si>
  <si>
    <t xml:space="preserve">положительное заключение гос.экспертизы от 31.07.2012 № 41-1-6-0024-12 </t>
  </si>
  <si>
    <t xml:space="preserve">положительное заключение гос.экспертизы от 21.02.2013 № 1.9-091 </t>
  </si>
  <si>
    <t>Капитальные вложения в основные средства казенного предприятия Камчатского края "Единая дирекция по строительству" на реконструкцию и строительство зданий и сооружений, расположенных по адресу: Елизовский район, Паратунское шоссе, 23 км</t>
  </si>
  <si>
    <t>положительное заключение гос.экспертизы от 25.09.2013 № 41-1-4-0085-13   От 26.09.2013 № 41-1-6-0086-13</t>
  </si>
  <si>
    <t xml:space="preserve">положительное заключение гос.экспертизы от 22.08.2011 № 41-1-5-0088-11 </t>
  </si>
  <si>
    <t>положительное заключение гос.экспертизы от 15.02.2012г. № 41-1-0013-12.</t>
  </si>
  <si>
    <t xml:space="preserve">положительное заключение гос.экспертизы от 12.2013. № 01/в149.1.4 </t>
  </si>
  <si>
    <t>11.43.</t>
  </si>
  <si>
    <t>Строительство морского служебно-разъездного судна</t>
  </si>
  <si>
    <t>до 12 пасс.</t>
  </si>
  <si>
    <t>10 736 036,82 тыс. рублей</t>
  </si>
  <si>
    <t>Реконструкция канализационных очистных сооружении "Чавыча" (в том числе проектные работы и государственная экспертиза проектной документации)</t>
  </si>
  <si>
    <t>177 886,49 тыс.рублей</t>
  </si>
  <si>
    <t>396 167,00 тыс.рублей</t>
  </si>
  <si>
    <t>положительное заключение гос. экспертизы от 28.08.2013 № 41-1-4-0073-13, от 30.08.2013 № 41-1-6-0076-13</t>
  </si>
  <si>
    <t>Дополнительное Соглашение №1 11.03.2014 к Соглашению от 13.01.2014 № 4-Ник</t>
  </si>
  <si>
    <t>15 тыс.м3</t>
  </si>
  <si>
    <t>316 370,30 тыс.рублей</t>
  </si>
  <si>
    <t>8 163,11 тыс.рублей</t>
  </si>
  <si>
    <t>3,25 Гкал/час</t>
  </si>
  <si>
    <t>14 131,83 тыс.рублей</t>
  </si>
  <si>
    <t>42 548,00 тыс.рублей</t>
  </si>
  <si>
    <t>0,3 Гкал/час; 0,3 Гкал/час; 0,4 Гкал/час</t>
  </si>
  <si>
    <t>15 306,12 тыс.рублей</t>
  </si>
  <si>
    <t>1 900,00 тыс.рублей</t>
  </si>
  <si>
    <t>2 489 179,99 тыс.рублей</t>
  </si>
  <si>
    <t>2 358,45 тыс.рублей</t>
  </si>
  <si>
    <t>204,08 тыс.рублей</t>
  </si>
  <si>
    <t>39 642,86 тыс.рублей</t>
  </si>
  <si>
    <t>4 591,84 тыс.рублей</t>
  </si>
  <si>
    <t>Соглашение от 15.04.2014 № 189-С</t>
  </si>
  <si>
    <t>-</t>
  </si>
  <si>
    <t>4 455,00 тыс.рублей</t>
  </si>
  <si>
    <t>Соглашение от 11.03.2014 № 131 ПР</t>
  </si>
  <si>
    <t>№ 41-1-5-0161-11 от 19.12.2011</t>
  </si>
  <si>
    <t>12.8.</t>
  </si>
  <si>
    <t>администрация Усть-Большерецкого муниципального района</t>
  </si>
  <si>
    <t>12.9.</t>
  </si>
  <si>
    <t>муниципальные образования в Камчатском крае</t>
  </si>
  <si>
    <t>16 200,00 тыс.рублей</t>
  </si>
  <si>
    <t>Площадь застройки 451,5 кв.м / 18 квартир</t>
  </si>
  <si>
    <t>61 023,520 тыс. рублей</t>
  </si>
  <si>
    <t>24987,590 тыс. рублей</t>
  </si>
  <si>
    <t>расход воды  до 185,07 м3/сут</t>
  </si>
  <si>
    <t>Строительство 18-ти квартирного трехэтажного жилого дома в с. Эссо Быстринского района Камчатского края. Позиция 4 по генплану (закрытие контрактных обязательств)</t>
  </si>
  <si>
    <t>Реконструкция наружных сетей холодного водоснабжения в с.Кавалерское Усть-Большерецкого района Камчатского края (закрытие контрактных обязательств)</t>
  </si>
  <si>
    <t>Строительство двухэтажного 12 квартирного жилого дома в с.Никольское. Инженерные сети</t>
  </si>
  <si>
    <t>Реконструкция резервуаров чистой воды "Богородское озеро" г.Петропавловск-Камчатский (в том числе проектные работы и государственная экспертиза проектной документации)</t>
  </si>
  <si>
    <t>Автомобильная дорога районного значения от ул. Тушканова до пр. Карла Маркса в г. Петропавловске-Камчатском</t>
  </si>
  <si>
    <t>11.44.</t>
  </si>
  <si>
    <t>438 938,805 тыс.рублей</t>
  </si>
  <si>
    <t>22 пасс.</t>
  </si>
  <si>
    <t xml:space="preserve">Государственная программа Камчатского края "Развитие транспортной системы в Камчатском крае на 2014-2025 годы". Подпрограмма "Развитие воздушного транспорта". </t>
  </si>
  <si>
    <t>Приобретение вертолета МИ-8МТВ-1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</si>
  <si>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</si>
  <si>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</si>
  <si>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</si>
  <si>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субсидии на софинансирование  капитальных вложений в объекты государственной (муниципальной) собственности</t>
  </si>
  <si>
    <t>субсидии  на осуществление капитальных вложений в объекты капитального строительства государственной (муниципальной ) собственности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</si>
  <si>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</si>
  <si>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</si>
  <si>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предоставление социальной выплаты на строительство или приобретение жилого помещения в собственность граждан, состав семьи которых не менее 4-х детей и не менее 3-х одновременно рожденных детей, и одиноких матерей, имеющих не более 3-х детей проживающих в Камчатском крае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</si>
  <si>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</si>
  <si>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</si>
  <si>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предприятием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</si>
  <si>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</si>
  <si>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</si>
  <si>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субсидии 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</si>
  <si>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2 500,00 тыс.рублей</t>
  </si>
  <si>
    <t>Детский дом семейного типа в г.Елизово (предпроектные работы)</t>
  </si>
  <si>
    <t>Детский дом семейного типа в с.Мильково (предпроектные работы)</t>
  </si>
  <si>
    <t>13 620,00 тыс.рублей</t>
  </si>
  <si>
    <t>Сейсмоусиление здания МБДОУ "Детский сад № 51" по ул.Павлова, 5 в г.Петропавловске-Камчатском</t>
  </si>
  <si>
    <t>Сейсмоусиление здания МБДОУ "Детский сад № 20" по ул.Драбкина, 7 в г.Петропавловске-Камчатском</t>
  </si>
  <si>
    <t>4.43.</t>
  </si>
  <si>
    <t>Сейсмоусиление здания государственного бюджетного образовательного учреждения среднего профессионального образования "Камчатский медицинский колледж" в г.Петропавловске-Камчатском</t>
  </si>
  <si>
    <t>45 191,60 тыс.рублей</t>
  </si>
  <si>
    <t>34 622,80 тыс.рублей</t>
  </si>
  <si>
    <t>52 947,36 тыс.рублей</t>
  </si>
  <si>
    <t>43 333,62 тыс.рублей</t>
  </si>
  <si>
    <t>Министерство имущественных и земельных отношений Камчатского края</t>
  </si>
  <si>
    <t>241 место</t>
  </si>
  <si>
    <t>35 000,00 тыс.рублей</t>
  </si>
  <si>
    <t>площадь 700,2 м2, 20 тел</t>
  </si>
  <si>
    <t>151 000,00 тыс.рублей</t>
  </si>
  <si>
    <t>13 367,32 тыс.рублей</t>
  </si>
  <si>
    <t>90 815,44 тыс.рублей</t>
  </si>
  <si>
    <t>56 соц.выплат</t>
  </si>
  <si>
    <t>2 833,00 тыс.рублей</t>
  </si>
  <si>
    <t>1951, м2</t>
  </si>
  <si>
    <t>942,0 м2</t>
  </si>
  <si>
    <t>3 000,00 тыс.рублей</t>
  </si>
  <si>
    <t>2120,0 м2</t>
  </si>
  <si>
    <t>Канализационная насосная станция № 15 в г.Петропавловске-Камчатском (в том числе проектные работы)</t>
  </si>
  <si>
    <t>Модульная трансформаторная подстанция по ул.Заводская</t>
  </si>
  <si>
    <t>18 кв.</t>
  </si>
  <si>
    <t xml:space="preserve">100 423,67 тыс.рублей </t>
  </si>
  <si>
    <t>2483,0 м2</t>
  </si>
  <si>
    <t>Камчатский театр кукол г.Петропавловск-Камчатский</t>
  </si>
  <si>
    <t>Камчатский концертный комплекс в г. Петропавловск-Камчатский (проектные работы)</t>
  </si>
  <si>
    <t>1 290 000,00 тыс.рублей</t>
  </si>
  <si>
    <t>3 075 349,15 тыс.рублей</t>
  </si>
  <si>
    <t xml:space="preserve">КП КК "Камчаткрайстрой" </t>
  </si>
  <si>
    <t>Капитальные вложения в основные средства казенного предприятия Камчатского края "Единая дирекция по строительству" на завершение строительства объекта "Мини-ТЭЦ Тигиль Тигильского района Корякского автономного округа. Водозабор с водоводом".</t>
  </si>
  <si>
    <t>ГУП КК "Камчатстройэнергосервис"</t>
  </si>
  <si>
    <t>ГУП КК "Камчаттрансфлот"</t>
  </si>
  <si>
    <t>Капитальные вложения в основные средства ГУП "Камчатстройэнергосервис" на реконструкцию здания, расположенного по адресу: г.Петропавловск-Камчатский, пл.Ленина, д.1</t>
  </si>
  <si>
    <t>Капитальные вложения в основные средства ГУП "Камчатстройэнергосервис" на проведение реконструкции здания, расположенного по адресу: г.Петропавловск-Камчатский, ул.Ленинская, 64 (в том числе разработка проектной документации)</t>
  </si>
  <si>
    <t>131 761,25 тыс.рублей</t>
  </si>
  <si>
    <t>Сельский учебный комплекс "Школа-детский сад" в с.Каменское Пенжинского района на 161 ученических и 80 дошкольных мест (проектные работы)</t>
  </si>
  <si>
    <t>Магистраль общегородского значения от II кольца до улицы Кавказской, включая ул. Ломоносова в г.Петропавловске-Камчатском (в том числе устройство линии наружного освещения)</t>
  </si>
  <si>
    <t xml:space="preserve">Строительство, в том числе разработка проектной документации автовокзала в г.Петропавловске-Камчатском </t>
  </si>
  <si>
    <t>Реконструкция автомобильной дороги Петропавловск-Камчатский - Мильково на участке км 152- км 170</t>
  </si>
  <si>
    <t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</si>
  <si>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Обеспечение жильем отдельных категорий граждан, установленных Федеральным законом от 12.01.1995 № 5-ФЗ "О ветеранах", Федеральным законом № 181-ФЗ от 24.11.1995 "О социальной защите инвалидов в Российской Федерации"</t>
  </si>
  <si>
    <t>Реконструкция здания, расположенного по адресу: Камчатский край, Тигильский район, пгт. Палана, ул. Поротова д. 24 (предпроектная подготовка и проектные работы)</t>
  </si>
  <si>
    <t>Капитальные вложения в основные средства ГУП "Камчатстройэнергосервис"  на подготовку проектной документации на проведение реконструкции помещений столовой и Большого зала заседаний, находящихся в здании, расположенном по адресу: г.Петропавловск-Камчатский, пл.Ленина, д.1</t>
  </si>
  <si>
    <t>3.7.</t>
  </si>
  <si>
    <t>4.44.</t>
  </si>
  <si>
    <t>Повышение устойчивости жилых домов, основных объектов и систем жизнеобеспечения в Камчатском крае</t>
  </si>
  <si>
    <t>14.5.</t>
  </si>
  <si>
    <t>Приобретение недвижимого имущества, расположенного по адресу г.Петропавловск-Камчатский, ул. Радиосвязи, д. 26/1</t>
  </si>
  <si>
    <t>121 000,00 тыс.рублей</t>
  </si>
  <si>
    <t>2015 год, 4 года</t>
  </si>
  <si>
    <t>Сейсмоусиление здания жилого дома № 7 по проспекту 50 лет Октября в г.Петропавловск-Камчатский</t>
  </si>
  <si>
    <t>4.45.</t>
  </si>
  <si>
    <t>Строительство здания патологоанатомического отделения на территории ГБУЗ КК "Елизовская районная больница" в г. Елизово Камчатского края, ул. Пограничная, 18, Камчатский край</t>
  </si>
  <si>
    <t>188 956,44 тыс. рублей</t>
  </si>
  <si>
    <t>3 шт.</t>
  </si>
  <si>
    <t xml:space="preserve">Государственная программа Камчатского края "Обеспечение доступным и комфортным жильем жителей Камчатского края на 2014-2018 годы". Подпрограмма "Развитие системы ипотечного жилищного кредитования в Камчатском крае". </t>
  </si>
  <si>
    <t>Приобретение (строительство) жилых помещений в целях формирования специализированного жилищного фонда Камчатского края</t>
  </si>
  <si>
    <t>Сейсмоусиление здания КГКОУ "Камчатская школа-интернат для детей-сирот и детей, оставшихся без попечения родителей" по адресу ул. Санаторная, 4 в г. Елизово Камчатского края (в том числе проектные работы)</t>
  </si>
  <si>
    <t>5 411,72362 тыс.рублей</t>
  </si>
  <si>
    <t>10 358,66 тыс.рублей</t>
  </si>
  <si>
    <t>администрация сельского поселения "село Тигиль"</t>
  </si>
  <si>
    <t>администрация сельского поселения "село Каменское"</t>
  </si>
  <si>
    <t>администрация Новолесновского сельского поселения</t>
  </si>
  <si>
    <t>Разработка программы комплексного развития систем коммунальной инфраструктуры в Елизовском городском поселении</t>
  </si>
  <si>
    <t>администрация Вулканного городского поселения</t>
  </si>
  <si>
    <t>Реконструкция автомобильной дороги общего пользования местного значения "Петропавловск-Камчатский - Мильково 56 км. - Березняки" (в том числе разработка проектной документации)</t>
  </si>
  <si>
    <t>6 331,80 тыс.рублей</t>
  </si>
  <si>
    <t>11 710,95 тыс.рублей</t>
  </si>
  <si>
    <t>15 142,44 тыс.рублей</t>
  </si>
  <si>
    <t>29 665,94 тыс.рублей</t>
  </si>
  <si>
    <t>19 987,29 тыс.рублей</t>
  </si>
  <si>
    <t>Котельная на ул. Советская в с.Николаевка Елизовского района Камчатского края</t>
  </si>
  <si>
    <t>Реконструкция сетей централизованного теплоснабжения и холодного водоснабжения улиц Березовая, Зеленая, Южная, Кедровая, пер. Медвежий угол, ул. Девяткина, ул.Линейная в в с. Эссо Быстринского района Камчатского края (проектные работы)</t>
  </si>
  <si>
    <t>".</t>
  </si>
  <si>
    <t>администрации муниципальных образований в Камчатском крае</t>
  </si>
  <si>
    <t>"Приложение к постановлению Правительства Камчатского края от 15.05.2014 № 218-П</t>
  </si>
  <si>
    <t>Правительства Камчатского края</t>
  </si>
  <si>
    <t xml:space="preserve">Приложение к постановлению 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</si>
  <si>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</si>
  <si>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Приобретение здания, расположенного по адресу г.Петропавловск-Камчатский, ул.Матросова, д. 37, для размещения стационарного отделения КГАУ СЗ "Камчатский центр социальной помощи семье и детям"</t>
  </si>
  <si>
    <t xml:space="preserve"> 17 000,00 тыс.рублей</t>
  </si>
  <si>
    <t>3.8.</t>
  </si>
  <si>
    <t>10 041,0п.м</t>
  </si>
  <si>
    <t>2 566,0 п.м.</t>
  </si>
  <si>
    <t>35479,23 тыс.рублей</t>
  </si>
  <si>
    <t>19302,17 тыс.рублей</t>
  </si>
  <si>
    <t>Запорожское сельское поселение</t>
  </si>
  <si>
    <t>Дополнительное соглашение от 08.09.2014 №1 к Соглашению от 17.03.2014 №182-ЗАП</t>
  </si>
  <si>
    <t>Положительное заключение госэкспертиза от 02.09.2014 № 41-1-5-0084-14</t>
  </si>
  <si>
    <t>Положительное заключение госэкспертиза от 29.08. 2014 № 41-1-5-0083-14</t>
  </si>
  <si>
    <t xml:space="preserve">Приобретение имущества предприятия-должника ОАО "Судоремонтный завод "Фреза" </t>
  </si>
  <si>
    <t>35640 услуг/год</t>
  </si>
  <si>
    <t>Подготовка земельных участков под жилую застройку с созданием объектов инженерной инфраструктуры в пос.Ключи по ул.Школьная. 1, 2 этап (в том числе проектные работы)</t>
  </si>
  <si>
    <t xml:space="preserve">Подготовка земельных участков под жилую застройку с созданием объектов инженерной инфраструктуры в пос.Усть-Камчатск на мысе Погодный. 1, 2, 3 этап </t>
  </si>
  <si>
    <t>171589,86 тыс.рублей</t>
  </si>
  <si>
    <t>Приобретение в собственность Камчатского края здания магазина, расположенного по адресу: г.Петропавловск-Камчатский, ул. Виталия Кручины, д.8/6</t>
  </si>
  <si>
    <t>22 966 тыс.рублей</t>
  </si>
  <si>
    <t>Приобретение нежилых помещений поз. 1-4, 7, 9-10 цокольного этажа в жилом доме, расположенном по адресу: г.Петропавловск-Камчатский, ул. Ларина, д. 22/8</t>
  </si>
  <si>
    <t>14 548 тыс.рублей</t>
  </si>
  <si>
    <t>Приобретение земельного участка, предназначенного для размещения объектов торговли, общественного питания и бытового обслуживания, расположенного по адресу: г.Петропавловск-Камчатский, ул. Виталия Кручины, д.8/6</t>
  </si>
  <si>
    <t>1 592 тыс.рублей</t>
  </si>
  <si>
    <t>Капитальные вложения в основные средства ГУП "Камчатстройэнергосервис" на реконструкцию фасада и кровли здания, расположенного по адресу: г.Петропавловск-Камчатский, ул. Владивостокская, д.2/1</t>
  </si>
  <si>
    <t>33 000 тыс.рублей</t>
  </si>
  <si>
    <t>14.7.</t>
  </si>
  <si>
    <t>14.8.</t>
  </si>
  <si>
    <t>14.9.</t>
  </si>
  <si>
    <t>14.10.</t>
  </si>
  <si>
    <t>Котельная "Центральная" п.г.т. Палана. Техническое перевооружение котельной на работу в водогрейном режиме. Россия, Камчатский край, п.г.т. Палана, ул. Поротова, 13 (в том числе разработка проектной документации)</t>
  </si>
  <si>
    <t>Строительство  котельной КТУ - 4,5 Гкал № 1 на газовом топливе (резервное - уголь) для пос. Лесной Новолесновского сельского поселения</t>
  </si>
  <si>
    <t>Реконструкция воздушных линий 0,4  кВ с уличным освещением в селе Запорожье Камчатского края (в том числе разработка проектной документации)</t>
  </si>
  <si>
    <t>Реконструкция воздушных линий 10  кВ  с.Запорожье Камчатского края (в том числе разработка проектной документации)</t>
  </si>
  <si>
    <t>Строительство  канализационных очистных сооружений производительностью 500 м3/сут в сельском поселении "с.Тигиль" (проектные работы)</t>
  </si>
  <si>
    <t xml:space="preserve"> Микрорайон жилой застройки в районе Северо-Восточного шоссе г.Петропавловска- Камчатского (2 очередь) 3 этап</t>
  </si>
  <si>
    <t>Сейсмоусиление здания (Литер А5) средней общеобразовательной школы № 3 в п.Усть-Камчатск (1 этап)</t>
  </si>
  <si>
    <t>Сейсмоусиление здания (Литер А) средней общеобразовательной школы № 3 в п.Усть-Камчатск (II этап)</t>
  </si>
  <si>
    <t xml:space="preserve">Сейсмоусиление здания средней школы № 8 по ул. Давыдова 15, в г.Петропавловске-Камчатском </t>
  </si>
  <si>
    <t>Стадион "Спартак" в г.Петропавловск-Камчатский (в том числе проектные работы)</t>
  </si>
  <si>
    <t>Подготовка инфраструктуры для 2-х этажных жилых домов по пер. 3-му Рабочему в п.Козыревск Камчатского края</t>
  </si>
  <si>
    <t>4.46.</t>
  </si>
  <si>
    <t>4.47.</t>
  </si>
  <si>
    <t>Сейсмоусиление здания МБОУ средняя школа № 33 (филиал 2) по проспекту Рыбаков, 28 в г.Петропавловске-Камчатском</t>
  </si>
  <si>
    <t>Капитальные вложения в основные средства ГУП "Камчатстройэнергосервис" на приобретение жилого помещения</t>
  </si>
  <si>
    <t>2014 год,  год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</si>
  <si>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предприятием</t>
  </si>
  <si>
    <t>9 500,00 тыс.рублей</t>
  </si>
  <si>
    <t>Детский сад на 260 мест (приобретение проектной и рабочей документации с привязкой к земельному участку)</t>
  </si>
  <si>
    <t>субсидии муниципальному образованию на осуществление капитальных вложений в объекты капитального строительства государственной (муниципальной) собственности</t>
  </si>
  <si>
    <t xml:space="preserve">Строительство автозимника продленного действия Анавгай - Палана на участке км 230 - км 240 </t>
  </si>
  <si>
    <t>Строительство автозимника продленного действия Анавгай - Палана на участке км 230 - км 240 (проектные работы)</t>
  </si>
  <si>
    <t xml:space="preserve">Строительство автозимника продленного действия Анавгай - Палана на участке км 0 - км 16 </t>
  </si>
  <si>
    <t>Строительство автозимника продленного действия Анавгай - Палана на участке км 0 - км 16 (проектные работы)</t>
  </si>
  <si>
    <t>9.14.</t>
  </si>
  <si>
    <t>Разработка проектной документации на строительство пищеблока в профильном спортивно-оздоровительном лагере "Товарищ" КГАОУ ДОД СДЮСШОР по зимним видам спорта</t>
  </si>
  <si>
    <t>14.11.</t>
  </si>
  <si>
    <t>2016, 2 года</t>
  </si>
  <si>
    <t>60 мест</t>
  </si>
  <si>
    <t>500,00 тыс.рублей</t>
  </si>
  <si>
    <t>МАУ  "Дирекция по строительству" Усть-Камчатского сельского поселения</t>
  </si>
  <si>
    <t>МКУ "Управление капитального строительства и ремонта" администрации ПКГО</t>
  </si>
  <si>
    <t>Козыревское сельствое поселение</t>
  </si>
  <si>
    <t>нет</t>
  </si>
  <si>
    <t>ГАУ "Государственная экспертиза проектной документации Камчатского края", от 12.09.2012г. №41-1-4-0100-12, и  от 01.10.2012г. № 41-1-6-0036-12</t>
  </si>
  <si>
    <t>61564,034 тыс.рублей</t>
  </si>
  <si>
    <t>1579,1 м2</t>
  </si>
  <si>
    <t>2016 год, 2 года</t>
  </si>
  <si>
    <t>10.2.</t>
  </si>
  <si>
    <t>Приобретение земельного участка, расположенного по адресу: Камчатский край, г. Петропавловск-Камчатский, проспект Циолковского, д.50</t>
  </si>
  <si>
    <t>32 263,89851 тыс.рублей</t>
  </si>
  <si>
    <t>27 756,10149 тыс.рублей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</si>
  <si>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"Благоустройство территорий муниципальных образований"</t>
  </si>
  <si>
    <t>5.43.</t>
  </si>
  <si>
    <t>Реконструкция сквера возле памятника им.В.И. Ленина по ул.Сахалинская, 2 в г.Петропавловск-Камчатский</t>
  </si>
  <si>
    <t>Администрация Петропавловск-Камчатского городского округа</t>
  </si>
  <si>
    <t>5.44.</t>
  </si>
  <si>
    <t>Реконструкция парка на сопке Никольская в г.Петропавловск-Камчатский (проектные работы)</t>
  </si>
  <si>
    <t>5 900 м²</t>
  </si>
  <si>
    <t>5.45.</t>
  </si>
  <si>
    <t>Реконструкция сквера у ДК КГТУ в г.Петропавловск-Камчатский</t>
  </si>
  <si>
    <t>5.46.</t>
  </si>
  <si>
    <t>Реконструкция линии наружного освещения ул.Звездная (от пр. Циолковского, 47 до ул.Ак. Королева, 5) с отпайкой до СОШ № 27 в г.Петропавловск-Камчатский</t>
  </si>
  <si>
    <t>1,1 км.</t>
  </si>
  <si>
    <t>5.47.</t>
  </si>
  <si>
    <t>Реконструкция линии наружного освещения от ул.Автомобилистов, 12 до магистральной дороги пр. 50 лет Октября в г.Петропавловск-Камчатский</t>
  </si>
  <si>
    <t>0,6 км.</t>
  </si>
  <si>
    <t>2014, 1 год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</si>
  <si>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эффективности"</t>
  </si>
  <si>
    <t>5.48.</t>
  </si>
  <si>
    <t>Администрация Новолесновского сельского поселения</t>
  </si>
  <si>
    <t>Новолесновское сельское поселение</t>
  </si>
  <si>
    <t>5.49.</t>
  </si>
  <si>
    <t>Администрация Раздольненского сельского поселения</t>
  </si>
  <si>
    <t>Раздольненское сельское поселение</t>
  </si>
  <si>
    <t>5.50.</t>
  </si>
  <si>
    <t>Администрация Вулканного городского поселения  поселения</t>
  </si>
  <si>
    <t>Вулканное городское поселение</t>
  </si>
  <si>
    <t>5.51.</t>
  </si>
  <si>
    <t>Администрация Николаевского сельского поселения сельского поселения</t>
  </si>
  <si>
    <t>Николаевское сельское поселение</t>
  </si>
  <si>
    <t>5.52.</t>
  </si>
  <si>
    <t>Реконструкция участков тепловых трубопроводов с исчерпанным остаточным ресурсом в п.Лесной Новолесновского сельского поселения Елизовского муниципального района (в том числе проектные работы)</t>
  </si>
  <si>
    <t>3,22 км</t>
  </si>
  <si>
    <t>ПД в стадии разработки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</si>
  <si>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"Чистая вода в Камчатском крае"</t>
  </si>
  <si>
    <t>5.53.</t>
  </si>
  <si>
    <t>Подключение сетей канализации с. Эссо Быстринского района Камчатского края. Третья очередь</t>
  </si>
  <si>
    <t>5,3 км</t>
  </si>
  <si>
    <t>Администрация Быстриснкого муниципального района</t>
  </si>
  <si>
    <t xml:space="preserve">ПД имеется </t>
  </si>
  <si>
    <r>
      <t>7 000 м</t>
    </r>
    <r>
      <rPr>
        <sz val="12"/>
        <rFont val="Calibri"/>
        <family val="2"/>
        <charset val="204"/>
      </rPr>
      <t>²</t>
    </r>
  </si>
  <si>
    <r>
      <t>3 720 м</t>
    </r>
    <r>
      <rPr>
        <sz val="12"/>
        <rFont val="Calibri"/>
        <family val="2"/>
        <charset val="204"/>
      </rPr>
      <t>²</t>
    </r>
  </si>
  <si>
    <t>Разработка программ комплексного развития систем коммунальной инфраструктуры со схемами теплоснабжения,  водоснабжения и водоотведения в Новолесновском сельском поселении Елизовского муниципального района</t>
  </si>
  <si>
    <t>Разработка программ комплексного развития систем коммунальной инфраструктуры со схемами теплоснабжения,  водоснабжения и водоотведения в Раздольненском сельском поселении Елизовского муниципального района</t>
  </si>
  <si>
    <t>Разработка программ комплексного развития систем коммунальной инфраструктуры со схемами теплоснабжения,  водоснабжения и водоотведения в Вулканном  городском поселении Елизовского муниципального района</t>
  </si>
  <si>
    <t>Разработка программ комплексного развития систем коммунальной инфраструктуры со схемами теплоснабжения,  водоснабжения и водоотведения в Николаевском сельском поселении Елизовского муниципального района</t>
  </si>
  <si>
    <t>Актуализация схемы теплоснабжения Петропавловск-Камчатского городского округа с электронной моделью (с подробным гидравлическим расчетом)</t>
  </si>
  <si>
    <t>3 500,00  тыс.рублей</t>
  </si>
  <si>
    <t>Разработка схемы водоснабжения Петропавловск-Камчатского городского округа с электронной моделью (с подробным гидравлическим расчетом)</t>
  </si>
  <si>
    <t>3 250,00 тыс.рублей</t>
  </si>
  <si>
    <t>Разработка схемы водоотведения Петропавловск-Камчатского городского округа с электронной моделью (с подробным гидравлическим расчетом)</t>
  </si>
  <si>
    <t xml:space="preserve">Проектирование строительства мостового перехода через р. Кирганик на 16 км автомобильной дороги Мильково - Ключи - Усть-Камчатск 
</t>
  </si>
  <si>
    <t>Строительство мостового перехода через р. Кирганик на 16 км автомобильной дороги Мильково - Ключи Усть-Камчатск</t>
  </si>
  <si>
    <t>Благоустройство жилого района "Мишенный " Северного городского планировочного района (участок №2) (разработка проектной документации)</t>
  </si>
  <si>
    <t>Благоустройство жилого района "Мишенный " Северного городского планировочного района (участок №4) (разработка проектной документации)</t>
  </si>
  <si>
    <t>Реконструкция линии наружного освещения от ТП-542 к памятнику в честь 50-летия окончания мировой войны  (в том числе определение достоверности сметной стоимости)</t>
  </si>
  <si>
    <t>Реконструкция линии наружного освещения сквера около ул. Ленинская, 32-28 (в том числе определение достоверности сметной стоимости)</t>
  </si>
  <si>
    <t>Реконструкция линии наружного освещения от Петропавловское шоссе, 27/2 до магистральной дороги с отпайкой до Петропавловское шоссе, 43, ул. Тургенева, 16</t>
  </si>
  <si>
    <t>9.15.</t>
  </si>
  <si>
    <t>Горнолыжная база «Эдельвейс» в г.Петропавловске-Камчатском (государственная экспертиза проектной документации)</t>
  </si>
  <si>
    <t>1081,719 тыс.рублей</t>
  </si>
  <si>
    <t>14.12.</t>
  </si>
  <si>
    <t>Приобретение в собственность Камчатского края нежилых помещений 3-го этажа по адресу: Камчатский край, г.Петропавловск-Камчатский, ул. Пограничная, 19</t>
  </si>
  <si>
    <t>40 000,00  тыс.рублей</t>
  </si>
  <si>
    <t>5.54.</t>
  </si>
  <si>
    <t>2014, 1год</t>
  </si>
  <si>
    <t>350 чел/смена</t>
  </si>
  <si>
    <t>Администарция Петропавловск-Камчатского горрдского округа</t>
  </si>
  <si>
    <t>ПД разработана</t>
  </si>
  <si>
    <t>2.14.</t>
  </si>
  <si>
    <t>Капитальные вложения в основные средства казенного предприятия Камчатского края "Единая дирекция по строительству" на строительство объекта "Сельский учебный комплекс в с. Усть-Хайрюзово Тигильского района"</t>
  </si>
  <si>
    <t>5.16.</t>
  </si>
  <si>
    <t>5.36.</t>
  </si>
  <si>
    <t>"Единая дирекция по строительству"</t>
  </si>
  <si>
    <t>14.6.</t>
  </si>
  <si>
    <t xml:space="preserve"> от   03.12.2014   №  501 -П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</si>
</sst>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AFE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/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0" fontId="0" fillId="0" borderId="0" xfId="0" applyFill="1"/>
    <xf numFmtId="0" fontId="1" fillId="0" borderId="0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vertical="center" wrapText="1"/>
    </xf>
    <xf numFmtId="0" fontId="0" fillId="6" borderId="0" xfId="0" applyFill="1"/>
    <xf numFmtId="164" fontId="3" fillId="3" borderId="1" xfId="0" applyNumberFormat="1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2" fillId="5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top" wrapText="1"/>
    </xf>
    <xf numFmtId="164" fontId="15" fillId="0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vertical="top" wrapText="1"/>
    </xf>
    <xf numFmtId="16" fontId="3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textRotation="90" wrapText="1"/>
    </xf>
    <xf numFmtId="0" fontId="3" fillId="0" borderId="1" xfId="0" applyFont="1" applyFill="1" applyBorder="1" applyAlignment="1">
      <alignment horizontal="justify" vertical="top" wrapText="1"/>
    </xf>
    <xf numFmtId="16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justify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5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justify" vertical="top" wrapText="1"/>
    </xf>
    <xf numFmtId="16" fontId="3" fillId="3" borderId="7" xfId="0" applyNumberFormat="1" applyFont="1" applyFill="1" applyBorder="1" applyAlignment="1">
      <alignment horizontal="center" vertical="top"/>
    </xf>
    <xf numFmtId="16" fontId="3" fillId="3" borderId="6" xfId="0" applyNumberFormat="1" applyFont="1" applyFill="1" applyBorder="1" applyAlignment="1">
      <alignment horizontal="center" vertical="top"/>
    </xf>
    <xf numFmtId="16" fontId="3" fillId="3" borderId="2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6" fillId="4" borderId="3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justify" vertical="top" wrapText="1"/>
    </xf>
    <xf numFmtId="0" fontId="10" fillId="5" borderId="4" xfId="0" applyFont="1" applyFill="1" applyBorder="1" applyAlignment="1">
      <alignment horizontal="justify" vertical="top" wrapText="1"/>
    </xf>
    <xf numFmtId="0" fontId="10" fillId="5" borderId="5" xfId="0" applyFont="1" applyFill="1" applyBorder="1" applyAlignment="1">
      <alignment horizontal="justify" vertical="top" wrapText="1"/>
    </xf>
    <xf numFmtId="1" fontId="4" fillId="5" borderId="3" xfId="0" applyNumberFormat="1" applyFont="1" applyFill="1" applyBorder="1" applyAlignment="1">
      <alignment horizontal="left" vertical="center" wrapText="1"/>
    </xf>
    <xf numFmtId="1" fontId="4" fillId="5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AAFE2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7"/>
  <sheetViews>
    <sheetView tabSelected="1" view="pageBreakPreview" topLeftCell="D1" zoomScale="55" zoomScaleNormal="60" zoomScaleSheetLayoutView="55" workbookViewId="0">
      <selection activeCell="Q7" sqref="Q7"/>
    </sheetView>
  </sheetViews>
  <sheetFormatPr defaultColWidth="9.140625" defaultRowHeight="15" x14ac:dyDescent="0.25"/>
  <cols>
    <col min="1" max="1" width="6" style="1" customWidth="1"/>
    <col min="2" max="2" width="10.42578125" style="18" bestFit="1" customWidth="1"/>
    <col min="3" max="3" width="57.140625" style="1" bestFit="1" customWidth="1"/>
    <col min="4" max="5" width="21.28515625" style="1" bestFit="1" customWidth="1"/>
    <col min="6" max="6" width="21.140625" style="1" bestFit="1" customWidth="1"/>
    <col min="7" max="7" width="20.5703125" style="1" customWidth="1"/>
    <col min="8" max="9" width="19.7109375" style="1" bestFit="1" customWidth="1"/>
    <col min="10" max="10" width="22.28515625" style="1" customWidth="1"/>
    <col min="11" max="11" width="35.85546875" style="1" customWidth="1"/>
    <col min="12" max="12" width="15.42578125" style="1" customWidth="1"/>
    <col min="13" max="13" width="30" style="1" customWidth="1"/>
    <col min="14" max="14" width="28.85546875" style="1" customWidth="1"/>
    <col min="15" max="15" width="18.7109375" style="1" customWidth="1"/>
    <col min="16" max="16" width="30" style="1" customWidth="1"/>
    <col min="17" max="17" width="21.140625" style="1" customWidth="1"/>
    <col min="18" max="18" width="24.28515625" style="1" customWidth="1"/>
    <col min="19" max="19" width="24" style="1" customWidth="1"/>
    <col min="20" max="20" width="9.140625" style="1"/>
    <col min="21" max="21" width="15.5703125" style="1" bestFit="1" customWidth="1"/>
    <col min="22" max="16384" width="9.140625" style="1"/>
  </cols>
  <sheetData>
    <row r="1" spans="1:19" ht="18.75" x14ac:dyDescent="0.3">
      <c r="Q1" s="57" t="s">
        <v>916</v>
      </c>
      <c r="R1" s="57"/>
      <c r="S1" s="57"/>
    </row>
    <row r="2" spans="1:19" ht="18.75" x14ac:dyDescent="0.3">
      <c r="P2" s="57" t="s">
        <v>915</v>
      </c>
      <c r="Q2" s="57"/>
      <c r="R2" s="57"/>
      <c r="S2" s="57"/>
    </row>
    <row r="3" spans="1:19" x14ac:dyDescent="0.25">
      <c r="R3" s="58" t="s">
        <v>1062</v>
      </c>
      <c r="S3" s="58"/>
    </row>
    <row r="4" spans="1:19" ht="18.75" x14ac:dyDescent="0.3">
      <c r="O4" s="57" t="s">
        <v>914</v>
      </c>
      <c r="P4" s="59"/>
      <c r="Q4" s="59"/>
      <c r="R4" s="59"/>
      <c r="S4" s="59"/>
    </row>
    <row r="5" spans="1:19" ht="30" x14ac:dyDescent="0.25">
      <c r="A5" s="60" t="s">
        <v>186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5.75" x14ac:dyDescent="0.25">
      <c r="A6" s="3"/>
      <c r="B6" s="1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 spans="1:19" ht="107.25" customHeight="1" x14ac:dyDescent="0.25">
      <c r="A7" s="61" t="s">
        <v>100</v>
      </c>
      <c r="B7" s="61"/>
      <c r="C7" s="61"/>
      <c r="D7" s="32" t="s">
        <v>6</v>
      </c>
      <c r="E7" s="32" t="s">
        <v>28</v>
      </c>
      <c r="F7" s="32" t="s">
        <v>598</v>
      </c>
      <c r="G7" s="32" t="s">
        <v>599</v>
      </c>
      <c r="H7" s="32" t="s">
        <v>600</v>
      </c>
      <c r="I7" s="32" t="s">
        <v>601</v>
      </c>
      <c r="J7" s="32" t="s">
        <v>142</v>
      </c>
      <c r="K7" s="32" t="s">
        <v>139</v>
      </c>
      <c r="L7" s="32" t="s">
        <v>5</v>
      </c>
      <c r="M7" s="32" t="s">
        <v>24</v>
      </c>
      <c r="N7" s="32" t="s">
        <v>25</v>
      </c>
      <c r="O7" s="32" t="s">
        <v>26</v>
      </c>
      <c r="P7" s="32" t="s">
        <v>27</v>
      </c>
      <c r="Q7" s="8" t="s">
        <v>8</v>
      </c>
      <c r="R7" s="8" t="s">
        <v>10</v>
      </c>
      <c r="S7" s="8" t="s">
        <v>7</v>
      </c>
    </row>
    <row r="8" spans="1:19" s="3" customFormat="1" ht="15.75" x14ac:dyDescent="0.25">
      <c r="A8" s="9">
        <v>1</v>
      </c>
      <c r="B8" s="20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</row>
    <row r="9" spans="1:19" s="3" customFormat="1" ht="21" customHeight="1" x14ac:dyDescent="0.25">
      <c r="A9" s="54" t="s">
        <v>195</v>
      </c>
      <c r="B9" s="55" t="s">
        <v>109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s="3" customFormat="1" ht="18" customHeight="1" x14ac:dyDescent="0.25">
      <c r="A10" s="54"/>
      <c r="B10" s="56" t="s">
        <v>6</v>
      </c>
      <c r="C10" s="56"/>
      <c r="D10" s="16">
        <f t="shared" ref="D10" si="0">SUM(D11:D14)</f>
        <v>11971863.665819999</v>
      </c>
      <c r="E10" s="16">
        <f>E18+E26+E34+E42+E50+E58+E66+E74+E82+E90</f>
        <v>746859.32581999991</v>
      </c>
      <c r="F10" s="16">
        <f t="shared" ref="F10:I10" si="1">F18+F26+F34+F42+F50+F58+F66+F74+F82+F90</f>
        <v>2616004.34</v>
      </c>
      <c r="G10" s="16">
        <f t="shared" si="1"/>
        <v>3336000</v>
      </c>
      <c r="H10" s="16">
        <f t="shared" si="1"/>
        <v>2593000</v>
      </c>
      <c r="I10" s="16">
        <f t="shared" si="1"/>
        <v>2680000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8" customHeight="1" x14ac:dyDescent="0.25">
      <c r="A11" s="54"/>
      <c r="B11" s="56" t="s">
        <v>0</v>
      </c>
      <c r="C11" s="56"/>
      <c r="D11" s="16"/>
      <c r="E11" s="16"/>
      <c r="F11" s="16"/>
      <c r="G11" s="16"/>
      <c r="H11" s="16"/>
      <c r="I11" s="1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18" customHeight="1" x14ac:dyDescent="0.25">
      <c r="A12" s="54"/>
      <c r="B12" s="56" t="s">
        <v>1</v>
      </c>
      <c r="C12" s="56"/>
      <c r="D12" s="16">
        <f>SUM(E12:I12)</f>
        <v>11971863.665819999</v>
      </c>
      <c r="E12" s="16">
        <f t="shared" ref="E12:I12" si="2">E20+E28+E36+E44+E52+E60+E68+E76+E84+E92</f>
        <v>746859.32581999991</v>
      </c>
      <c r="F12" s="16">
        <f t="shared" si="2"/>
        <v>2616004.34</v>
      </c>
      <c r="G12" s="16">
        <f t="shared" si="2"/>
        <v>3336000</v>
      </c>
      <c r="H12" s="16">
        <f t="shared" si="2"/>
        <v>2593000</v>
      </c>
      <c r="I12" s="16">
        <f t="shared" si="2"/>
        <v>2680000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ht="18" customHeight="1" x14ac:dyDescent="0.25">
      <c r="A13" s="54"/>
      <c r="B13" s="56" t="s">
        <v>2</v>
      </c>
      <c r="C13" s="56"/>
      <c r="D13" s="16"/>
      <c r="E13" s="16"/>
      <c r="F13" s="16"/>
      <c r="G13" s="16"/>
      <c r="H13" s="16"/>
      <c r="I13" s="1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18" customHeight="1" x14ac:dyDescent="0.25">
      <c r="A14" s="54"/>
      <c r="B14" s="56" t="s">
        <v>3</v>
      </c>
      <c r="C14" s="56"/>
      <c r="D14" s="16"/>
      <c r="E14" s="16"/>
      <c r="F14" s="16"/>
      <c r="G14" s="16"/>
      <c r="H14" s="16"/>
      <c r="I14" s="1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8.75" customHeight="1" x14ac:dyDescent="0.25">
      <c r="A15" s="46" t="s">
        <v>845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21" customHeight="1" x14ac:dyDescent="0.25">
      <c r="A16" s="47"/>
      <c r="B16" s="48" t="s">
        <v>594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30.75" customHeight="1" x14ac:dyDescent="0.25">
      <c r="A17" s="47"/>
      <c r="B17" s="49" t="s">
        <v>196</v>
      </c>
      <c r="C17" s="50" t="s">
        <v>110</v>
      </c>
      <c r="D17" s="50"/>
      <c r="E17" s="50"/>
      <c r="F17" s="50"/>
      <c r="G17" s="50"/>
      <c r="H17" s="50"/>
      <c r="I17" s="50"/>
      <c r="J17" s="43" t="s">
        <v>465</v>
      </c>
      <c r="K17" s="43" t="s">
        <v>820</v>
      </c>
      <c r="L17" s="43"/>
      <c r="M17" s="43" t="s">
        <v>845</v>
      </c>
      <c r="N17" s="52" t="s">
        <v>428</v>
      </c>
      <c r="O17" s="43" t="s">
        <v>17</v>
      </c>
      <c r="P17" s="43" t="s">
        <v>803</v>
      </c>
      <c r="Q17" s="43" t="s">
        <v>9</v>
      </c>
      <c r="R17" s="43"/>
      <c r="S17" s="43"/>
    </row>
    <row r="18" spans="1:19" ht="18" customHeight="1" x14ac:dyDescent="0.25">
      <c r="A18" s="47"/>
      <c r="B18" s="49"/>
      <c r="C18" s="31" t="s">
        <v>6</v>
      </c>
      <c r="D18" s="27">
        <f>SUM(D19:D22)</f>
        <v>67661.11</v>
      </c>
      <c r="E18" s="23">
        <f t="shared" ref="E18:F18" si="3">SUM(E19:E22)</f>
        <v>40221.300000000003</v>
      </c>
      <c r="F18" s="23">
        <f t="shared" si="3"/>
        <v>27439.81</v>
      </c>
      <c r="G18" s="23"/>
      <c r="H18" s="23"/>
      <c r="I18" s="23"/>
      <c r="J18" s="43"/>
      <c r="K18" s="43"/>
      <c r="L18" s="43"/>
      <c r="M18" s="43"/>
      <c r="N18" s="52"/>
      <c r="O18" s="43"/>
      <c r="P18" s="43"/>
      <c r="Q18" s="43"/>
      <c r="R18" s="43"/>
      <c r="S18" s="43"/>
    </row>
    <row r="19" spans="1:19" ht="18" customHeight="1" x14ac:dyDescent="0.25">
      <c r="A19" s="47"/>
      <c r="B19" s="49"/>
      <c r="C19" s="31" t="s">
        <v>0</v>
      </c>
      <c r="D19" s="27"/>
      <c r="E19" s="23"/>
      <c r="F19" s="23"/>
      <c r="G19" s="23"/>
      <c r="H19" s="23"/>
      <c r="I19" s="23"/>
      <c r="J19" s="43"/>
      <c r="K19" s="43"/>
      <c r="L19" s="43"/>
      <c r="M19" s="43"/>
      <c r="N19" s="52"/>
      <c r="O19" s="43"/>
      <c r="P19" s="43"/>
      <c r="Q19" s="43"/>
      <c r="R19" s="43"/>
      <c r="S19" s="43"/>
    </row>
    <row r="20" spans="1:19" ht="18" customHeight="1" x14ac:dyDescent="0.25">
      <c r="A20" s="47"/>
      <c r="B20" s="49"/>
      <c r="C20" s="31" t="s">
        <v>1</v>
      </c>
      <c r="D20" s="27">
        <f t="shared" ref="D20" si="4">SUM(E20:I20)</f>
        <v>67661.11</v>
      </c>
      <c r="E20" s="23">
        <f>40617.4-396.1</f>
        <v>40221.300000000003</v>
      </c>
      <c r="F20" s="23">
        <v>27439.81</v>
      </c>
      <c r="G20" s="23"/>
      <c r="H20" s="23"/>
      <c r="I20" s="23"/>
      <c r="J20" s="43"/>
      <c r="K20" s="43"/>
      <c r="L20" s="43"/>
      <c r="M20" s="43"/>
      <c r="N20" s="52"/>
      <c r="O20" s="43"/>
      <c r="P20" s="43"/>
      <c r="Q20" s="43"/>
      <c r="R20" s="43"/>
      <c r="S20" s="43"/>
    </row>
    <row r="21" spans="1:19" ht="18" customHeight="1" x14ac:dyDescent="0.25">
      <c r="A21" s="47"/>
      <c r="B21" s="49"/>
      <c r="C21" s="31" t="s">
        <v>2</v>
      </c>
      <c r="D21" s="27"/>
      <c r="E21" s="23"/>
      <c r="F21" s="23"/>
      <c r="G21" s="23"/>
      <c r="H21" s="23"/>
      <c r="I21" s="23"/>
      <c r="J21" s="43"/>
      <c r="K21" s="43"/>
      <c r="L21" s="43"/>
      <c r="M21" s="43"/>
      <c r="N21" s="52"/>
      <c r="O21" s="43"/>
      <c r="P21" s="43"/>
      <c r="Q21" s="43"/>
      <c r="R21" s="43"/>
      <c r="S21" s="43"/>
    </row>
    <row r="22" spans="1:19" ht="18" customHeight="1" x14ac:dyDescent="0.25">
      <c r="A22" s="47"/>
      <c r="B22" s="49"/>
      <c r="C22" s="31" t="s">
        <v>3</v>
      </c>
      <c r="D22" s="27"/>
      <c r="E22" s="23"/>
      <c r="F22" s="23"/>
      <c r="G22" s="23"/>
      <c r="H22" s="23"/>
      <c r="I22" s="23"/>
      <c r="J22" s="43"/>
      <c r="K22" s="43"/>
      <c r="L22" s="43"/>
      <c r="M22" s="43"/>
      <c r="N22" s="52"/>
      <c r="O22" s="43"/>
      <c r="P22" s="43"/>
      <c r="Q22" s="43"/>
      <c r="R22" s="43"/>
      <c r="S22" s="43"/>
    </row>
    <row r="23" spans="1:19" ht="18.75" customHeight="1" x14ac:dyDescent="0.25">
      <c r="A23" s="46" t="s">
        <v>98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ht="21" customHeight="1" x14ac:dyDescent="0.25">
      <c r="A24" s="47"/>
      <c r="B24" s="48" t="s">
        <v>592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ht="39" customHeight="1" x14ac:dyDescent="0.25">
      <c r="A25" s="47"/>
      <c r="B25" s="49" t="s">
        <v>197</v>
      </c>
      <c r="C25" s="50" t="s">
        <v>111</v>
      </c>
      <c r="D25" s="50"/>
      <c r="E25" s="50"/>
      <c r="F25" s="50"/>
      <c r="G25" s="50"/>
      <c r="H25" s="50"/>
      <c r="I25" s="50"/>
      <c r="J25" s="43" t="s">
        <v>42</v>
      </c>
      <c r="K25" s="43" t="s">
        <v>822</v>
      </c>
      <c r="L25" s="43" t="s">
        <v>43</v>
      </c>
      <c r="M25" s="43" t="s">
        <v>469</v>
      </c>
      <c r="N25" s="53" t="s">
        <v>778</v>
      </c>
      <c r="O25" s="43" t="s">
        <v>12</v>
      </c>
      <c r="P25" s="43" t="s">
        <v>13</v>
      </c>
      <c r="Q25" s="43" t="s">
        <v>9</v>
      </c>
      <c r="R25" s="43"/>
      <c r="S25" s="51" t="s">
        <v>418</v>
      </c>
    </row>
    <row r="26" spans="1:19" ht="18" customHeight="1" x14ac:dyDescent="0.25">
      <c r="A26" s="47"/>
      <c r="B26" s="49"/>
      <c r="C26" s="31" t="s">
        <v>6</v>
      </c>
      <c r="D26" s="27">
        <f>SUM(D27:D30)</f>
        <v>374538.79000000004</v>
      </c>
      <c r="E26" s="23">
        <f t="shared" ref="E26:F26" si="5">SUM(E27:E30)</f>
        <v>165001.33000000002</v>
      </c>
      <c r="F26" s="23">
        <f t="shared" si="5"/>
        <v>209537.46</v>
      </c>
      <c r="G26" s="23"/>
      <c r="H26" s="23"/>
      <c r="I26" s="23"/>
      <c r="J26" s="43"/>
      <c r="K26" s="43"/>
      <c r="L26" s="43"/>
      <c r="M26" s="43"/>
      <c r="N26" s="53"/>
      <c r="O26" s="43"/>
      <c r="P26" s="43"/>
      <c r="Q26" s="43"/>
      <c r="R26" s="43"/>
      <c r="S26" s="51"/>
    </row>
    <row r="27" spans="1:19" ht="18" customHeight="1" x14ac:dyDescent="0.25">
      <c r="A27" s="47"/>
      <c r="B27" s="49"/>
      <c r="C27" s="31" t="s">
        <v>0</v>
      </c>
      <c r="D27" s="27"/>
      <c r="E27" s="23"/>
      <c r="F27" s="23"/>
      <c r="G27" s="23"/>
      <c r="H27" s="23"/>
      <c r="I27" s="23"/>
      <c r="J27" s="43"/>
      <c r="K27" s="43"/>
      <c r="L27" s="43"/>
      <c r="M27" s="43"/>
      <c r="N27" s="53"/>
      <c r="O27" s="43"/>
      <c r="P27" s="43"/>
      <c r="Q27" s="43"/>
      <c r="R27" s="43"/>
      <c r="S27" s="51"/>
    </row>
    <row r="28" spans="1:19" ht="18" customHeight="1" x14ac:dyDescent="0.25">
      <c r="A28" s="47"/>
      <c r="B28" s="49"/>
      <c r="C28" s="31" t="s">
        <v>1</v>
      </c>
      <c r="D28" s="27">
        <f t="shared" ref="D28" si="6">SUM(E28:I28)</f>
        <v>374538.79000000004</v>
      </c>
      <c r="E28" s="23">
        <f>135001.33-50000+8463.81291+71536.18709</f>
        <v>165001.33000000002</v>
      </c>
      <c r="F28" s="23">
        <v>209537.46</v>
      </c>
      <c r="G28" s="23"/>
      <c r="H28" s="23"/>
      <c r="I28" s="23"/>
      <c r="J28" s="43"/>
      <c r="K28" s="43"/>
      <c r="L28" s="43"/>
      <c r="M28" s="43"/>
      <c r="N28" s="53"/>
      <c r="O28" s="43"/>
      <c r="P28" s="43"/>
      <c r="Q28" s="43"/>
      <c r="R28" s="43"/>
      <c r="S28" s="51"/>
    </row>
    <row r="29" spans="1:19" ht="18" customHeight="1" x14ac:dyDescent="0.25">
      <c r="A29" s="47"/>
      <c r="B29" s="49"/>
      <c r="C29" s="31" t="s">
        <v>2</v>
      </c>
      <c r="D29" s="27"/>
      <c r="E29" s="23"/>
      <c r="F29" s="23"/>
      <c r="G29" s="23"/>
      <c r="H29" s="23"/>
      <c r="I29" s="23"/>
      <c r="J29" s="43"/>
      <c r="K29" s="43"/>
      <c r="L29" s="43"/>
      <c r="M29" s="43"/>
      <c r="N29" s="53"/>
      <c r="O29" s="43"/>
      <c r="P29" s="43"/>
      <c r="Q29" s="43"/>
      <c r="R29" s="43"/>
      <c r="S29" s="51"/>
    </row>
    <row r="30" spans="1:19" ht="18" customHeight="1" x14ac:dyDescent="0.25">
      <c r="A30" s="47"/>
      <c r="B30" s="49"/>
      <c r="C30" s="31" t="s">
        <v>3</v>
      </c>
      <c r="D30" s="27"/>
      <c r="E30" s="23"/>
      <c r="F30" s="23"/>
      <c r="G30" s="23"/>
      <c r="H30" s="23"/>
      <c r="I30" s="23"/>
      <c r="J30" s="43"/>
      <c r="K30" s="43"/>
      <c r="L30" s="43"/>
      <c r="M30" s="43"/>
      <c r="N30" s="53"/>
      <c r="O30" s="43"/>
      <c r="P30" s="43"/>
      <c r="Q30" s="43"/>
      <c r="R30" s="43"/>
      <c r="S30" s="51"/>
    </row>
    <row r="31" spans="1:19" ht="18.75" customHeight="1" x14ac:dyDescent="0.25">
      <c r="A31" s="46" t="s">
        <v>23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21" customHeight="1" x14ac:dyDescent="0.25">
      <c r="A32" s="47"/>
      <c r="B32" s="48" t="s">
        <v>592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21" ht="18.75" customHeight="1" x14ac:dyDescent="0.25">
      <c r="A33" s="47"/>
      <c r="B33" s="49" t="s">
        <v>198</v>
      </c>
      <c r="C33" s="50" t="s">
        <v>54</v>
      </c>
      <c r="D33" s="50"/>
      <c r="E33" s="50"/>
      <c r="F33" s="50"/>
      <c r="G33" s="50"/>
      <c r="H33" s="50"/>
      <c r="I33" s="50"/>
      <c r="J33" s="43" t="s">
        <v>16</v>
      </c>
      <c r="K33" s="43" t="s">
        <v>821</v>
      </c>
      <c r="L33" s="43" t="s">
        <v>343</v>
      </c>
      <c r="M33" s="62" t="s">
        <v>423</v>
      </c>
      <c r="N33" s="53" t="s">
        <v>847</v>
      </c>
      <c r="O33" s="43" t="s">
        <v>17</v>
      </c>
      <c r="P33" s="43" t="s">
        <v>18</v>
      </c>
      <c r="Q33" s="43" t="s">
        <v>9</v>
      </c>
      <c r="R33" s="43"/>
      <c r="S33" s="43"/>
    </row>
    <row r="34" spans="1:21" ht="18" customHeight="1" x14ac:dyDescent="0.25">
      <c r="A34" s="47"/>
      <c r="B34" s="49"/>
      <c r="C34" s="31" t="s">
        <v>6</v>
      </c>
      <c r="D34" s="27">
        <f>SUM(D35:D38)</f>
        <v>15000</v>
      </c>
      <c r="E34" s="23">
        <f t="shared" ref="E34" si="7">SUM(E35:E38)</f>
        <v>15000</v>
      </c>
      <c r="F34" s="23"/>
      <c r="G34" s="23"/>
      <c r="H34" s="23"/>
      <c r="I34" s="23"/>
      <c r="J34" s="43"/>
      <c r="K34" s="43"/>
      <c r="L34" s="43"/>
      <c r="M34" s="63"/>
      <c r="N34" s="53"/>
      <c r="O34" s="43"/>
      <c r="P34" s="43"/>
      <c r="Q34" s="43"/>
      <c r="R34" s="43"/>
      <c r="S34" s="43"/>
    </row>
    <row r="35" spans="1:21" ht="18" customHeight="1" x14ac:dyDescent="0.25">
      <c r="A35" s="47"/>
      <c r="B35" s="49"/>
      <c r="C35" s="31" t="s">
        <v>0</v>
      </c>
      <c r="D35" s="27"/>
      <c r="E35" s="23"/>
      <c r="F35" s="23"/>
      <c r="G35" s="23"/>
      <c r="H35" s="23"/>
      <c r="I35" s="23"/>
      <c r="J35" s="43"/>
      <c r="K35" s="43"/>
      <c r="L35" s="43"/>
      <c r="M35" s="63"/>
      <c r="N35" s="53"/>
      <c r="O35" s="43"/>
      <c r="P35" s="43"/>
      <c r="Q35" s="43"/>
      <c r="R35" s="43"/>
      <c r="S35" s="43"/>
    </row>
    <row r="36" spans="1:21" ht="18" customHeight="1" x14ac:dyDescent="0.25">
      <c r="A36" s="47"/>
      <c r="B36" s="49"/>
      <c r="C36" s="31" t="s">
        <v>1</v>
      </c>
      <c r="D36" s="27">
        <f t="shared" ref="D36" si="8">SUM(E36:I36)</f>
        <v>15000</v>
      </c>
      <c r="E36" s="23">
        <f>35000-20000</f>
        <v>15000</v>
      </c>
      <c r="F36" s="23"/>
      <c r="G36" s="23"/>
      <c r="H36" s="23"/>
      <c r="I36" s="23"/>
      <c r="J36" s="43"/>
      <c r="K36" s="43"/>
      <c r="L36" s="43"/>
      <c r="M36" s="63"/>
      <c r="N36" s="53"/>
      <c r="O36" s="43"/>
      <c r="P36" s="43"/>
      <c r="Q36" s="43"/>
      <c r="R36" s="43"/>
      <c r="S36" s="43"/>
    </row>
    <row r="37" spans="1:21" ht="18" customHeight="1" x14ac:dyDescent="0.25">
      <c r="A37" s="47"/>
      <c r="B37" s="49"/>
      <c r="C37" s="31" t="s">
        <v>2</v>
      </c>
      <c r="D37" s="27"/>
      <c r="E37" s="23"/>
      <c r="F37" s="23"/>
      <c r="G37" s="23"/>
      <c r="H37" s="23"/>
      <c r="I37" s="23"/>
      <c r="J37" s="43"/>
      <c r="K37" s="43"/>
      <c r="L37" s="43"/>
      <c r="M37" s="63"/>
      <c r="N37" s="53"/>
      <c r="O37" s="43"/>
      <c r="P37" s="43"/>
      <c r="Q37" s="43"/>
      <c r="R37" s="43"/>
      <c r="S37" s="43"/>
    </row>
    <row r="38" spans="1:21" ht="18" customHeight="1" x14ac:dyDescent="0.25">
      <c r="A38" s="47"/>
      <c r="B38" s="49"/>
      <c r="C38" s="31" t="s">
        <v>3</v>
      </c>
      <c r="D38" s="27"/>
      <c r="E38" s="23"/>
      <c r="F38" s="23"/>
      <c r="G38" s="23"/>
      <c r="H38" s="23"/>
      <c r="I38" s="23"/>
      <c r="J38" s="43"/>
      <c r="K38" s="43"/>
      <c r="L38" s="43"/>
      <c r="M38" s="64"/>
      <c r="N38" s="53"/>
      <c r="O38" s="43"/>
      <c r="P38" s="43"/>
      <c r="Q38" s="43"/>
      <c r="R38" s="43"/>
      <c r="S38" s="43"/>
    </row>
    <row r="39" spans="1:21" ht="18.75" customHeight="1" x14ac:dyDescent="0.25">
      <c r="A39" s="46" t="s">
        <v>23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21" ht="21" customHeight="1" x14ac:dyDescent="0.25">
      <c r="A40" s="47"/>
      <c r="B40" s="48" t="s">
        <v>592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21" ht="36" customHeight="1" x14ac:dyDescent="0.25">
      <c r="A41" s="47"/>
      <c r="B41" s="49" t="s">
        <v>199</v>
      </c>
      <c r="C41" s="50" t="s">
        <v>891</v>
      </c>
      <c r="D41" s="50"/>
      <c r="E41" s="50"/>
      <c r="F41" s="50"/>
      <c r="G41" s="50"/>
      <c r="H41" s="50"/>
      <c r="I41" s="50"/>
      <c r="J41" s="43" t="s">
        <v>14</v>
      </c>
      <c r="K41" s="43" t="s">
        <v>822</v>
      </c>
      <c r="L41" s="43" t="s">
        <v>848</v>
      </c>
      <c r="M41" s="43" t="s">
        <v>462</v>
      </c>
      <c r="N41" s="53" t="s">
        <v>892</v>
      </c>
      <c r="O41" s="43" t="s">
        <v>12</v>
      </c>
      <c r="P41" s="43" t="s">
        <v>419</v>
      </c>
      <c r="Q41" s="43" t="s">
        <v>44</v>
      </c>
      <c r="R41" s="43"/>
      <c r="S41" s="51" t="s">
        <v>595</v>
      </c>
    </row>
    <row r="42" spans="1:21" ht="18" customHeight="1" x14ac:dyDescent="0.25">
      <c r="A42" s="47"/>
      <c r="B42" s="49"/>
      <c r="C42" s="31" t="s">
        <v>6</v>
      </c>
      <c r="D42" s="27">
        <f t="shared" ref="D42:F42" si="9">SUM(D43:D46)</f>
        <v>188956.44</v>
      </c>
      <c r="E42" s="23">
        <f t="shared" si="9"/>
        <v>90000</v>
      </c>
      <c r="F42" s="23">
        <f t="shared" si="9"/>
        <v>98956.44</v>
      </c>
      <c r="G42" s="23"/>
      <c r="H42" s="23"/>
      <c r="I42" s="23"/>
      <c r="J42" s="43"/>
      <c r="K42" s="43"/>
      <c r="L42" s="43"/>
      <c r="M42" s="43"/>
      <c r="N42" s="53"/>
      <c r="O42" s="43"/>
      <c r="P42" s="43"/>
      <c r="Q42" s="43"/>
      <c r="R42" s="43"/>
      <c r="S42" s="51"/>
    </row>
    <row r="43" spans="1:21" ht="18" customHeight="1" x14ac:dyDescent="0.25">
      <c r="A43" s="47"/>
      <c r="B43" s="49"/>
      <c r="C43" s="31" t="s">
        <v>0</v>
      </c>
      <c r="D43" s="27"/>
      <c r="E43" s="23"/>
      <c r="F43" s="23"/>
      <c r="G43" s="23"/>
      <c r="H43" s="23"/>
      <c r="I43" s="23"/>
      <c r="J43" s="43"/>
      <c r="K43" s="43"/>
      <c r="L43" s="43"/>
      <c r="M43" s="43"/>
      <c r="N43" s="53"/>
      <c r="O43" s="43"/>
      <c r="P43" s="43"/>
      <c r="Q43" s="43"/>
      <c r="R43" s="43"/>
      <c r="S43" s="51"/>
      <c r="U43" s="1" t="s">
        <v>421</v>
      </c>
    </row>
    <row r="44" spans="1:21" ht="18" customHeight="1" x14ac:dyDescent="0.25">
      <c r="A44" s="47"/>
      <c r="B44" s="49"/>
      <c r="C44" s="31" t="s">
        <v>1</v>
      </c>
      <c r="D44" s="27">
        <f>SUM(E44:I44)</f>
        <v>188956.44</v>
      </c>
      <c r="E44" s="23">
        <f>170775-80775</f>
        <v>90000</v>
      </c>
      <c r="F44" s="23">
        <v>98956.44</v>
      </c>
      <c r="G44" s="23"/>
      <c r="H44" s="23"/>
      <c r="I44" s="23"/>
      <c r="J44" s="43"/>
      <c r="K44" s="43"/>
      <c r="L44" s="43"/>
      <c r="M44" s="43"/>
      <c r="N44" s="53"/>
      <c r="O44" s="43"/>
      <c r="P44" s="43"/>
      <c r="Q44" s="43"/>
      <c r="R44" s="43"/>
      <c r="S44" s="51"/>
    </row>
    <row r="45" spans="1:21" ht="18" customHeight="1" x14ac:dyDescent="0.25">
      <c r="A45" s="47"/>
      <c r="B45" s="49"/>
      <c r="C45" s="31" t="s">
        <v>2</v>
      </c>
      <c r="D45" s="27"/>
      <c r="E45" s="23"/>
      <c r="F45" s="23"/>
      <c r="G45" s="23"/>
      <c r="H45" s="23"/>
      <c r="I45" s="23"/>
      <c r="J45" s="43"/>
      <c r="K45" s="43"/>
      <c r="L45" s="43"/>
      <c r="M45" s="43"/>
      <c r="N45" s="53"/>
      <c r="O45" s="43"/>
      <c r="P45" s="43"/>
      <c r="Q45" s="43"/>
      <c r="R45" s="43"/>
      <c r="S45" s="51"/>
    </row>
    <row r="46" spans="1:21" ht="18" customHeight="1" x14ac:dyDescent="0.25">
      <c r="A46" s="47"/>
      <c r="B46" s="49"/>
      <c r="C46" s="31" t="s">
        <v>3</v>
      </c>
      <c r="D46" s="27"/>
      <c r="E46" s="23"/>
      <c r="F46" s="23"/>
      <c r="G46" s="23"/>
      <c r="H46" s="23"/>
      <c r="I46" s="23"/>
      <c r="J46" s="43"/>
      <c r="K46" s="43"/>
      <c r="L46" s="43"/>
      <c r="M46" s="43"/>
      <c r="N46" s="53"/>
      <c r="O46" s="43"/>
      <c r="P46" s="43"/>
      <c r="Q46" s="43"/>
      <c r="R46" s="43"/>
      <c r="S46" s="51"/>
    </row>
    <row r="47" spans="1:21" ht="18.75" customHeight="1" x14ac:dyDescent="0.25">
      <c r="A47" s="46" t="s">
        <v>98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21" ht="21" customHeight="1" x14ac:dyDescent="0.25">
      <c r="A48" s="47"/>
      <c r="B48" s="48" t="s">
        <v>592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ht="18.75" customHeight="1" x14ac:dyDescent="0.25">
      <c r="A49" s="47"/>
      <c r="B49" s="49" t="s">
        <v>200</v>
      </c>
      <c r="C49" s="41" t="s">
        <v>113</v>
      </c>
      <c r="D49" s="41"/>
      <c r="E49" s="41"/>
      <c r="F49" s="41"/>
      <c r="G49" s="41"/>
      <c r="H49" s="41"/>
      <c r="I49" s="41"/>
      <c r="J49" s="43" t="s">
        <v>425</v>
      </c>
      <c r="K49" s="43" t="s">
        <v>821</v>
      </c>
      <c r="L49" s="43" t="s">
        <v>114</v>
      </c>
      <c r="M49" s="43" t="s">
        <v>115</v>
      </c>
      <c r="N49" s="53" t="s">
        <v>775</v>
      </c>
      <c r="O49" s="43" t="s">
        <v>17</v>
      </c>
      <c r="P49" s="43" t="s">
        <v>419</v>
      </c>
      <c r="Q49" s="43" t="s">
        <v>44</v>
      </c>
      <c r="R49" s="43"/>
      <c r="S49" s="51" t="s">
        <v>779</v>
      </c>
    </row>
    <row r="50" spans="1:19" ht="18" customHeight="1" x14ac:dyDescent="0.25">
      <c r="A50" s="47"/>
      <c r="B50" s="49"/>
      <c r="C50" s="31" t="s">
        <v>6</v>
      </c>
      <c r="D50" s="27">
        <f t="shared" ref="D50:I50" si="10">SUM(D51:D54)</f>
        <v>10146275.2292</v>
      </c>
      <c r="E50" s="23">
        <f t="shared" si="10"/>
        <v>378075.22919999994</v>
      </c>
      <c r="F50" s="23">
        <f t="shared" si="10"/>
        <v>1727200</v>
      </c>
      <c r="G50" s="23">
        <f t="shared" si="10"/>
        <v>2846000</v>
      </c>
      <c r="H50" s="23">
        <f t="shared" si="10"/>
        <v>2515000</v>
      </c>
      <c r="I50" s="23">
        <f t="shared" si="10"/>
        <v>2680000</v>
      </c>
      <c r="J50" s="43"/>
      <c r="K50" s="43"/>
      <c r="L50" s="43"/>
      <c r="M50" s="43"/>
      <c r="N50" s="53"/>
      <c r="O50" s="43"/>
      <c r="P50" s="43"/>
      <c r="Q50" s="43"/>
      <c r="R50" s="43"/>
      <c r="S50" s="51"/>
    </row>
    <row r="51" spans="1:19" ht="18" customHeight="1" x14ac:dyDescent="0.25">
      <c r="A51" s="47"/>
      <c r="B51" s="49"/>
      <c r="C51" s="31" t="s">
        <v>0</v>
      </c>
      <c r="D51" s="27"/>
      <c r="E51" s="23"/>
      <c r="F51" s="23"/>
      <c r="G51" s="23"/>
      <c r="H51" s="23"/>
      <c r="I51" s="23"/>
      <c r="J51" s="43"/>
      <c r="K51" s="43"/>
      <c r="L51" s="43"/>
      <c r="M51" s="43"/>
      <c r="N51" s="53"/>
      <c r="O51" s="43"/>
      <c r="P51" s="43"/>
      <c r="Q51" s="43"/>
      <c r="R51" s="43"/>
      <c r="S51" s="51"/>
    </row>
    <row r="52" spans="1:19" ht="18" customHeight="1" x14ac:dyDescent="0.25">
      <c r="A52" s="47"/>
      <c r="B52" s="49"/>
      <c r="C52" s="31" t="s">
        <v>1</v>
      </c>
      <c r="D52" s="27">
        <f>SUM(E52:I52)</f>
        <v>10146275.2292</v>
      </c>
      <c r="E52" s="23">
        <f>967836.82321-120000-209110.06198-260651.53203</f>
        <v>378075.22919999994</v>
      </c>
      <c r="F52" s="23">
        <v>1727200</v>
      </c>
      <c r="G52" s="23">
        <v>2846000</v>
      </c>
      <c r="H52" s="23">
        <v>2515000</v>
      </c>
      <c r="I52" s="23">
        <v>2680000</v>
      </c>
      <c r="J52" s="43"/>
      <c r="K52" s="43"/>
      <c r="L52" s="43"/>
      <c r="M52" s="43"/>
      <c r="N52" s="53"/>
      <c r="O52" s="43"/>
      <c r="P52" s="43"/>
      <c r="Q52" s="43"/>
      <c r="R52" s="43"/>
      <c r="S52" s="51"/>
    </row>
    <row r="53" spans="1:19" ht="18" customHeight="1" x14ac:dyDescent="0.25">
      <c r="A53" s="47"/>
      <c r="B53" s="49"/>
      <c r="C53" s="31" t="s">
        <v>2</v>
      </c>
      <c r="D53" s="27"/>
      <c r="E53" s="23"/>
      <c r="F53" s="23"/>
      <c r="G53" s="23"/>
      <c r="H53" s="23"/>
      <c r="I53" s="23"/>
      <c r="J53" s="43"/>
      <c r="K53" s="43"/>
      <c r="L53" s="43"/>
      <c r="M53" s="43"/>
      <c r="N53" s="53"/>
      <c r="O53" s="43"/>
      <c r="P53" s="43"/>
      <c r="Q53" s="43"/>
      <c r="R53" s="43"/>
      <c r="S53" s="51"/>
    </row>
    <row r="54" spans="1:19" ht="18" customHeight="1" x14ac:dyDescent="0.25">
      <c r="A54" s="47"/>
      <c r="B54" s="49"/>
      <c r="C54" s="31" t="s">
        <v>3</v>
      </c>
      <c r="D54" s="27"/>
      <c r="E54" s="23"/>
      <c r="F54" s="23"/>
      <c r="G54" s="23"/>
      <c r="H54" s="23"/>
      <c r="I54" s="23"/>
      <c r="J54" s="43"/>
      <c r="K54" s="43"/>
      <c r="L54" s="43"/>
      <c r="M54" s="43"/>
      <c r="N54" s="53"/>
      <c r="O54" s="43"/>
      <c r="P54" s="43"/>
      <c r="Q54" s="43"/>
      <c r="R54" s="43"/>
      <c r="S54" s="51"/>
    </row>
    <row r="55" spans="1:19" ht="18.75" customHeight="1" x14ac:dyDescent="0.25">
      <c r="A55" s="46" t="s">
        <v>98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21" customHeight="1" x14ac:dyDescent="0.25">
      <c r="A56" s="47"/>
      <c r="B56" s="48" t="s">
        <v>592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ht="38.25" customHeight="1" x14ac:dyDescent="0.25">
      <c r="A57" s="47"/>
      <c r="B57" s="49" t="s">
        <v>201</v>
      </c>
      <c r="C57" s="50" t="s">
        <v>360</v>
      </c>
      <c r="D57" s="50"/>
      <c r="E57" s="50"/>
      <c r="F57" s="50"/>
      <c r="G57" s="50"/>
      <c r="H57" s="50"/>
      <c r="I57" s="50"/>
      <c r="J57" s="43" t="s">
        <v>80</v>
      </c>
      <c r="K57" s="43" t="s">
        <v>821</v>
      </c>
      <c r="L57" s="43" t="s">
        <v>893</v>
      </c>
      <c r="M57" s="43" t="s">
        <v>98</v>
      </c>
      <c r="N57" s="53" t="s">
        <v>596</v>
      </c>
      <c r="O57" s="43" t="s">
        <v>17</v>
      </c>
      <c r="P57" s="43" t="s">
        <v>803</v>
      </c>
      <c r="Q57" s="43" t="s">
        <v>9</v>
      </c>
      <c r="R57" s="43"/>
      <c r="S57" s="43"/>
    </row>
    <row r="58" spans="1:19" ht="18" customHeight="1" x14ac:dyDescent="0.25">
      <c r="A58" s="47"/>
      <c r="B58" s="49"/>
      <c r="C58" s="31" t="s">
        <v>6</v>
      </c>
      <c r="D58" s="27">
        <f t="shared" ref="D58:G58" si="11">SUM(D59:D62)</f>
        <v>601512.37662</v>
      </c>
      <c r="E58" s="23">
        <f t="shared" si="11"/>
        <v>6512.37662</v>
      </c>
      <c r="F58" s="23">
        <f t="shared" si="11"/>
        <v>285000</v>
      </c>
      <c r="G58" s="23">
        <f t="shared" si="11"/>
        <v>310000</v>
      </c>
      <c r="H58" s="23"/>
      <c r="I58" s="23"/>
      <c r="J58" s="43"/>
      <c r="K58" s="43"/>
      <c r="L58" s="43"/>
      <c r="M58" s="43"/>
      <c r="N58" s="53"/>
      <c r="O58" s="43"/>
      <c r="P58" s="43"/>
      <c r="Q58" s="43"/>
      <c r="R58" s="43"/>
      <c r="S58" s="43"/>
    </row>
    <row r="59" spans="1:19" ht="18" customHeight="1" x14ac:dyDescent="0.25">
      <c r="A59" s="47"/>
      <c r="B59" s="49"/>
      <c r="C59" s="31" t="s">
        <v>0</v>
      </c>
      <c r="D59" s="27"/>
      <c r="E59" s="23"/>
      <c r="F59" s="23"/>
      <c r="G59" s="23"/>
      <c r="H59" s="23"/>
      <c r="I59" s="23"/>
      <c r="J59" s="43"/>
      <c r="K59" s="43"/>
      <c r="L59" s="43"/>
      <c r="M59" s="43"/>
      <c r="N59" s="53"/>
      <c r="O59" s="43"/>
      <c r="P59" s="43"/>
      <c r="Q59" s="43"/>
      <c r="R59" s="43"/>
      <c r="S59" s="43"/>
    </row>
    <row r="60" spans="1:19" ht="18" customHeight="1" x14ac:dyDescent="0.25">
      <c r="A60" s="47"/>
      <c r="B60" s="49"/>
      <c r="C60" s="31" t="s">
        <v>1</v>
      </c>
      <c r="D60" s="27">
        <f>SUM(E60:I60)</f>
        <v>601512.37662</v>
      </c>
      <c r="E60" s="23">
        <f>5858.12+654.25662</f>
        <v>6512.37662</v>
      </c>
      <c r="F60" s="23">
        <v>285000</v>
      </c>
      <c r="G60" s="23">
        <v>310000</v>
      </c>
      <c r="H60" s="23"/>
      <c r="I60" s="23"/>
      <c r="J60" s="43"/>
      <c r="K60" s="43"/>
      <c r="L60" s="43"/>
      <c r="M60" s="43"/>
      <c r="N60" s="53"/>
      <c r="O60" s="43"/>
      <c r="P60" s="43"/>
      <c r="Q60" s="43"/>
      <c r="R60" s="43"/>
      <c r="S60" s="43"/>
    </row>
    <row r="61" spans="1:19" ht="18" customHeight="1" x14ac:dyDescent="0.25">
      <c r="A61" s="47"/>
      <c r="B61" s="49"/>
      <c r="C61" s="31" t="s">
        <v>2</v>
      </c>
      <c r="D61" s="27"/>
      <c r="E61" s="23"/>
      <c r="F61" s="23"/>
      <c r="G61" s="23"/>
      <c r="H61" s="23"/>
      <c r="I61" s="23"/>
      <c r="J61" s="43"/>
      <c r="K61" s="43"/>
      <c r="L61" s="43"/>
      <c r="M61" s="43"/>
      <c r="N61" s="53"/>
      <c r="O61" s="43"/>
      <c r="P61" s="43"/>
      <c r="Q61" s="43"/>
      <c r="R61" s="43"/>
      <c r="S61" s="43"/>
    </row>
    <row r="62" spans="1:19" ht="18" customHeight="1" x14ac:dyDescent="0.25">
      <c r="A62" s="47"/>
      <c r="B62" s="49"/>
      <c r="C62" s="31" t="s">
        <v>3</v>
      </c>
      <c r="D62" s="27"/>
      <c r="E62" s="23"/>
      <c r="F62" s="23"/>
      <c r="G62" s="23"/>
      <c r="H62" s="23"/>
      <c r="I62" s="23"/>
      <c r="J62" s="43"/>
      <c r="K62" s="43"/>
      <c r="L62" s="43"/>
      <c r="M62" s="43"/>
      <c r="N62" s="53"/>
      <c r="O62" s="43"/>
      <c r="P62" s="43"/>
      <c r="Q62" s="43"/>
      <c r="R62" s="43"/>
      <c r="S62" s="43"/>
    </row>
    <row r="63" spans="1:19" s="3" customFormat="1" ht="18.75" customHeight="1" x14ac:dyDescent="0.25">
      <c r="A63" s="46" t="s">
        <v>98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21" customHeight="1" x14ac:dyDescent="0.25">
      <c r="A64" s="47"/>
      <c r="B64" s="48" t="s">
        <v>592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ht="18.75" customHeight="1" x14ac:dyDescent="0.25">
      <c r="A65" s="47"/>
      <c r="B65" s="49" t="s">
        <v>202</v>
      </c>
      <c r="C65" s="50" t="s">
        <v>112</v>
      </c>
      <c r="D65" s="50"/>
      <c r="E65" s="50"/>
      <c r="F65" s="50"/>
      <c r="G65" s="50"/>
      <c r="H65" s="50"/>
      <c r="I65" s="50"/>
      <c r="J65" s="43" t="s">
        <v>424</v>
      </c>
      <c r="K65" s="43" t="s">
        <v>821</v>
      </c>
      <c r="L65" s="43" t="s">
        <v>422</v>
      </c>
      <c r="M65" s="43" t="s">
        <v>98</v>
      </c>
      <c r="N65" s="53" t="s">
        <v>597</v>
      </c>
      <c r="O65" s="43" t="s">
        <v>17</v>
      </c>
      <c r="P65" s="43" t="s">
        <v>803</v>
      </c>
      <c r="Q65" s="43" t="s">
        <v>9</v>
      </c>
      <c r="R65" s="43"/>
      <c r="S65" s="51"/>
    </row>
    <row r="66" spans="1:19" ht="18" customHeight="1" x14ac:dyDescent="0.25">
      <c r="A66" s="47"/>
      <c r="B66" s="49"/>
      <c r="C66" s="31" t="s">
        <v>6</v>
      </c>
      <c r="D66" s="27">
        <f t="shared" ref="D66:H66" si="12">SUM(D67:D70)</f>
        <v>423849.08999999997</v>
      </c>
      <c r="E66" s="23">
        <f t="shared" si="12"/>
        <v>21849.089999999997</v>
      </c>
      <c r="F66" s="23">
        <f t="shared" si="12"/>
        <v>144000</v>
      </c>
      <c r="G66" s="23">
        <f t="shared" si="12"/>
        <v>180000</v>
      </c>
      <c r="H66" s="23">
        <f t="shared" si="12"/>
        <v>78000</v>
      </c>
      <c r="I66" s="23"/>
      <c r="J66" s="43"/>
      <c r="K66" s="43"/>
      <c r="L66" s="43"/>
      <c r="M66" s="43"/>
      <c r="N66" s="53"/>
      <c r="O66" s="43"/>
      <c r="P66" s="43"/>
      <c r="Q66" s="43"/>
      <c r="R66" s="43"/>
      <c r="S66" s="51"/>
    </row>
    <row r="67" spans="1:19" ht="18" customHeight="1" x14ac:dyDescent="0.25">
      <c r="A67" s="47"/>
      <c r="B67" s="49"/>
      <c r="C67" s="31" t="s">
        <v>0</v>
      </c>
      <c r="D67" s="27"/>
      <c r="E67" s="23"/>
      <c r="F67" s="23"/>
      <c r="G67" s="23"/>
      <c r="H67" s="23"/>
      <c r="I67" s="23"/>
      <c r="J67" s="43"/>
      <c r="K67" s="43"/>
      <c r="L67" s="43"/>
      <c r="M67" s="43"/>
      <c r="N67" s="53"/>
      <c r="O67" s="43"/>
      <c r="P67" s="43"/>
      <c r="Q67" s="43"/>
      <c r="R67" s="43"/>
      <c r="S67" s="51"/>
    </row>
    <row r="68" spans="1:19" ht="18" customHeight="1" x14ac:dyDescent="0.25">
      <c r="A68" s="47"/>
      <c r="B68" s="49"/>
      <c r="C68" s="31" t="s">
        <v>1</v>
      </c>
      <c r="D68" s="27">
        <f>SUM(E68:I68)</f>
        <v>423849.08999999997</v>
      </c>
      <c r="E68" s="23">
        <f>38141.88-16292.79</f>
        <v>21849.089999999997</v>
      </c>
      <c r="F68" s="23">
        <v>144000</v>
      </c>
      <c r="G68" s="23">
        <v>180000</v>
      </c>
      <c r="H68" s="23">
        <v>78000</v>
      </c>
      <c r="I68" s="23"/>
      <c r="J68" s="43"/>
      <c r="K68" s="43"/>
      <c r="L68" s="43"/>
      <c r="M68" s="43"/>
      <c r="N68" s="53"/>
      <c r="O68" s="43"/>
      <c r="P68" s="43"/>
      <c r="Q68" s="43"/>
      <c r="R68" s="43"/>
      <c r="S68" s="51"/>
    </row>
    <row r="69" spans="1:19" ht="18" customHeight="1" x14ac:dyDescent="0.25">
      <c r="A69" s="47"/>
      <c r="B69" s="49"/>
      <c r="C69" s="31" t="s">
        <v>2</v>
      </c>
      <c r="D69" s="27"/>
      <c r="E69" s="23"/>
      <c r="F69" s="23"/>
      <c r="G69" s="23"/>
      <c r="H69" s="23"/>
      <c r="I69" s="23"/>
      <c r="J69" s="43"/>
      <c r="K69" s="43"/>
      <c r="L69" s="43"/>
      <c r="M69" s="43"/>
      <c r="N69" s="53"/>
      <c r="O69" s="43"/>
      <c r="P69" s="43"/>
      <c r="Q69" s="43"/>
      <c r="R69" s="43"/>
      <c r="S69" s="51"/>
    </row>
    <row r="70" spans="1:19" ht="18" customHeight="1" x14ac:dyDescent="0.25">
      <c r="A70" s="47"/>
      <c r="B70" s="49"/>
      <c r="C70" s="31" t="s">
        <v>3</v>
      </c>
      <c r="D70" s="27"/>
      <c r="E70" s="23"/>
      <c r="F70" s="23"/>
      <c r="G70" s="23"/>
      <c r="H70" s="23"/>
      <c r="I70" s="23"/>
      <c r="J70" s="43"/>
      <c r="K70" s="43"/>
      <c r="L70" s="43"/>
      <c r="M70" s="43"/>
      <c r="N70" s="53"/>
      <c r="O70" s="43"/>
      <c r="P70" s="43"/>
      <c r="Q70" s="43"/>
      <c r="R70" s="43"/>
      <c r="S70" s="51"/>
    </row>
    <row r="71" spans="1:19" ht="18.75" customHeight="1" x14ac:dyDescent="0.25">
      <c r="A71" s="46" t="s">
        <v>23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21" customHeight="1" x14ac:dyDescent="0.25">
      <c r="A72" s="47"/>
      <c r="B72" s="48" t="s">
        <v>592</v>
      </c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35.25" customHeight="1" x14ac:dyDescent="0.25">
      <c r="A73" s="47"/>
      <c r="B73" s="49" t="s">
        <v>203</v>
      </c>
      <c r="C73" s="50" t="s">
        <v>194</v>
      </c>
      <c r="D73" s="50"/>
      <c r="E73" s="50"/>
      <c r="F73" s="50"/>
      <c r="G73" s="50"/>
      <c r="H73" s="50"/>
      <c r="I73" s="50"/>
      <c r="J73" s="43" t="s">
        <v>14</v>
      </c>
      <c r="K73" s="43" t="s">
        <v>822</v>
      </c>
      <c r="L73" s="43" t="s">
        <v>41</v>
      </c>
      <c r="M73" s="43" t="s">
        <v>462</v>
      </c>
      <c r="N73" s="53" t="s">
        <v>426</v>
      </c>
      <c r="O73" s="43" t="s">
        <v>12</v>
      </c>
      <c r="P73" s="43" t="s">
        <v>18</v>
      </c>
      <c r="Q73" s="43" t="s">
        <v>44</v>
      </c>
      <c r="R73" s="43"/>
      <c r="S73" s="51"/>
    </row>
    <row r="74" spans="1:19" ht="18" customHeight="1" x14ac:dyDescent="0.25">
      <c r="A74" s="47"/>
      <c r="B74" s="49"/>
      <c r="C74" s="31" t="s">
        <v>6</v>
      </c>
      <c r="D74" s="27">
        <f t="shared" ref="D74:F74" si="13">SUM(D75:D78)</f>
        <v>123870.63</v>
      </c>
      <c r="E74" s="23"/>
      <c r="F74" s="23">
        <f t="shared" si="13"/>
        <v>123870.63</v>
      </c>
      <c r="G74" s="23"/>
      <c r="H74" s="23"/>
      <c r="I74" s="23"/>
      <c r="J74" s="43"/>
      <c r="K74" s="43"/>
      <c r="L74" s="43"/>
      <c r="M74" s="43"/>
      <c r="N74" s="53"/>
      <c r="O74" s="43"/>
      <c r="P74" s="43"/>
      <c r="Q74" s="43"/>
      <c r="R74" s="43"/>
      <c r="S74" s="51"/>
    </row>
    <row r="75" spans="1:19" ht="18" customHeight="1" x14ac:dyDescent="0.25">
      <c r="A75" s="47"/>
      <c r="B75" s="49"/>
      <c r="C75" s="31" t="s">
        <v>0</v>
      </c>
      <c r="D75" s="27"/>
      <c r="E75" s="23"/>
      <c r="F75" s="23"/>
      <c r="G75" s="23"/>
      <c r="H75" s="23"/>
      <c r="I75" s="23"/>
      <c r="J75" s="43"/>
      <c r="K75" s="43"/>
      <c r="L75" s="43"/>
      <c r="M75" s="43"/>
      <c r="N75" s="53"/>
      <c r="O75" s="43"/>
      <c r="P75" s="43"/>
      <c r="Q75" s="43"/>
      <c r="R75" s="43"/>
      <c r="S75" s="51"/>
    </row>
    <row r="76" spans="1:19" ht="18" customHeight="1" x14ac:dyDescent="0.25">
      <c r="A76" s="47"/>
      <c r="B76" s="49"/>
      <c r="C76" s="31" t="s">
        <v>1</v>
      </c>
      <c r="D76" s="27">
        <f>SUM(E76:I76)</f>
        <v>123870.63</v>
      </c>
      <c r="E76" s="23"/>
      <c r="F76" s="23">
        <v>123870.63</v>
      </c>
      <c r="G76" s="23"/>
      <c r="H76" s="23"/>
      <c r="I76" s="23"/>
      <c r="J76" s="43"/>
      <c r="K76" s="43"/>
      <c r="L76" s="43"/>
      <c r="M76" s="43"/>
      <c r="N76" s="53"/>
      <c r="O76" s="43"/>
      <c r="P76" s="43"/>
      <c r="Q76" s="43"/>
      <c r="R76" s="43"/>
      <c r="S76" s="51"/>
    </row>
    <row r="77" spans="1:19" ht="18" customHeight="1" x14ac:dyDescent="0.25">
      <c r="A77" s="47"/>
      <c r="B77" s="49"/>
      <c r="C77" s="31" t="s">
        <v>2</v>
      </c>
      <c r="D77" s="27"/>
      <c r="E77" s="23"/>
      <c r="F77" s="23"/>
      <c r="G77" s="23"/>
      <c r="H77" s="23"/>
      <c r="I77" s="23"/>
      <c r="J77" s="43"/>
      <c r="K77" s="43"/>
      <c r="L77" s="43"/>
      <c r="M77" s="43"/>
      <c r="N77" s="53"/>
      <c r="O77" s="43"/>
      <c r="P77" s="43"/>
      <c r="Q77" s="43"/>
      <c r="R77" s="43"/>
      <c r="S77" s="51"/>
    </row>
    <row r="78" spans="1:19" ht="18" customHeight="1" x14ac:dyDescent="0.25">
      <c r="A78" s="47"/>
      <c r="B78" s="49"/>
      <c r="C78" s="31" t="s">
        <v>3</v>
      </c>
      <c r="D78" s="27"/>
      <c r="E78" s="23"/>
      <c r="F78" s="23"/>
      <c r="G78" s="23"/>
      <c r="H78" s="23"/>
      <c r="I78" s="23"/>
      <c r="J78" s="43"/>
      <c r="K78" s="43"/>
      <c r="L78" s="43"/>
      <c r="M78" s="43"/>
      <c r="N78" s="53"/>
      <c r="O78" s="43"/>
      <c r="P78" s="43"/>
      <c r="Q78" s="43"/>
      <c r="R78" s="43"/>
      <c r="S78" s="51"/>
    </row>
    <row r="79" spans="1:19" ht="18.75" customHeight="1" x14ac:dyDescent="0.25">
      <c r="A79" s="46" t="s">
        <v>23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21" customHeight="1" x14ac:dyDescent="0.25">
      <c r="A80" s="47"/>
      <c r="B80" s="48" t="s">
        <v>593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ht="18.75" customHeight="1" x14ac:dyDescent="0.25">
      <c r="A81" s="47"/>
      <c r="B81" s="49" t="s">
        <v>204</v>
      </c>
      <c r="C81" s="50" t="s">
        <v>151</v>
      </c>
      <c r="D81" s="50"/>
      <c r="E81" s="50"/>
      <c r="F81" s="50"/>
      <c r="G81" s="50"/>
      <c r="H81" s="50"/>
      <c r="I81" s="50"/>
      <c r="J81" s="43" t="s">
        <v>15</v>
      </c>
      <c r="K81" s="43" t="s">
        <v>821</v>
      </c>
      <c r="L81" s="43" t="s">
        <v>417</v>
      </c>
      <c r="M81" s="43" t="s">
        <v>423</v>
      </c>
      <c r="N81" s="53" t="s">
        <v>427</v>
      </c>
      <c r="O81" s="43" t="s">
        <v>17</v>
      </c>
      <c r="P81" s="43" t="s">
        <v>13</v>
      </c>
      <c r="Q81" s="43" t="s">
        <v>44</v>
      </c>
      <c r="R81" s="43"/>
      <c r="S81" s="51"/>
    </row>
    <row r="82" spans="1:19" ht="18" customHeight="1" x14ac:dyDescent="0.25">
      <c r="A82" s="47"/>
      <c r="B82" s="49"/>
      <c r="C82" s="31" t="s">
        <v>6</v>
      </c>
      <c r="D82" s="27">
        <f t="shared" ref="D82:E82" si="14">SUM(D83:D86)</f>
        <v>14000</v>
      </c>
      <c r="E82" s="23">
        <f t="shared" si="14"/>
        <v>14000</v>
      </c>
      <c r="F82" s="23"/>
      <c r="G82" s="23"/>
      <c r="H82" s="23"/>
      <c r="I82" s="23"/>
      <c r="J82" s="43"/>
      <c r="K82" s="43"/>
      <c r="L82" s="43"/>
      <c r="M82" s="43"/>
      <c r="N82" s="53"/>
      <c r="O82" s="43"/>
      <c r="P82" s="43"/>
      <c r="Q82" s="43"/>
      <c r="R82" s="43"/>
      <c r="S82" s="51"/>
    </row>
    <row r="83" spans="1:19" ht="18" customHeight="1" x14ac:dyDescent="0.25">
      <c r="A83" s="47"/>
      <c r="B83" s="49"/>
      <c r="C83" s="31" t="s">
        <v>0</v>
      </c>
      <c r="D83" s="27"/>
      <c r="E83" s="23"/>
      <c r="F83" s="23"/>
      <c r="G83" s="23"/>
      <c r="H83" s="23"/>
      <c r="I83" s="23"/>
      <c r="J83" s="43"/>
      <c r="K83" s="43"/>
      <c r="L83" s="43"/>
      <c r="M83" s="43"/>
      <c r="N83" s="53"/>
      <c r="O83" s="43"/>
      <c r="P83" s="43"/>
      <c r="Q83" s="43"/>
      <c r="R83" s="43"/>
      <c r="S83" s="51"/>
    </row>
    <row r="84" spans="1:19" ht="18" customHeight="1" x14ac:dyDescent="0.25">
      <c r="A84" s="47"/>
      <c r="B84" s="49"/>
      <c r="C84" s="31" t="s">
        <v>1</v>
      </c>
      <c r="D84" s="27">
        <f>SUM(E84:I84)</f>
        <v>14000</v>
      </c>
      <c r="E84" s="23">
        <v>14000</v>
      </c>
      <c r="F84" s="23"/>
      <c r="G84" s="23"/>
      <c r="H84" s="23"/>
      <c r="I84" s="23"/>
      <c r="J84" s="43"/>
      <c r="K84" s="43"/>
      <c r="L84" s="43"/>
      <c r="M84" s="43"/>
      <c r="N84" s="53"/>
      <c r="O84" s="43"/>
      <c r="P84" s="43"/>
      <c r="Q84" s="43"/>
      <c r="R84" s="43"/>
      <c r="S84" s="51"/>
    </row>
    <row r="85" spans="1:19" ht="18" customHeight="1" x14ac:dyDescent="0.25">
      <c r="A85" s="47"/>
      <c r="B85" s="49"/>
      <c r="C85" s="31" t="s">
        <v>2</v>
      </c>
      <c r="D85" s="27"/>
      <c r="E85" s="23"/>
      <c r="F85" s="23"/>
      <c r="G85" s="23"/>
      <c r="H85" s="23"/>
      <c r="I85" s="23"/>
      <c r="J85" s="43"/>
      <c r="K85" s="43"/>
      <c r="L85" s="43"/>
      <c r="M85" s="43"/>
      <c r="N85" s="53"/>
      <c r="O85" s="43"/>
      <c r="P85" s="43"/>
      <c r="Q85" s="43"/>
      <c r="R85" s="43"/>
      <c r="S85" s="51"/>
    </row>
    <row r="86" spans="1:19" ht="18" customHeight="1" x14ac:dyDescent="0.25">
      <c r="A86" s="47"/>
      <c r="B86" s="49"/>
      <c r="C86" s="31" t="s">
        <v>3</v>
      </c>
      <c r="D86" s="27"/>
      <c r="E86" s="23"/>
      <c r="F86" s="23"/>
      <c r="G86" s="23"/>
      <c r="H86" s="23"/>
      <c r="I86" s="23"/>
      <c r="J86" s="43"/>
      <c r="K86" s="43"/>
      <c r="L86" s="43"/>
      <c r="M86" s="43"/>
      <c r="N86" s="53"/>
      <c r="O86" s="43"/>
      <c r="P86" s="43"/>
      <c r="Q86" s="43"/>
      <c r="R86" s="43"/>
      <c r="S86" s="51"/>
    </row>
    <row r="87" spans="1:19" ht="18.75" customHeight="1" x14ac:dyDescent="0.25">
      <c r="A87" s="46" t="s">
        <v>23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s="3" customFormat="1" ht="21" customHeight="1" x14ac:dyDescent="0.25">
      <c r="A88" s="47"/>
      <c r="B88" s="48" t="s">
        <v>592</v>
      </c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3" customFormat="1" ht="38.25" customHeight="1" x14ac:dyDescent="0.25">
      <c r="A89" s="47"/>
      <c r="B89" s="49" t="s">
        <v>205</v>
      </c>
      <c r="C89" s="50" t="s">
        <v>410</v>
      </c>
      <c r="D89" s="50"/>
      <c r="E89" s="50"/>
      <c r="F89" s="50"/>
      <c r="G89" s="50"/>
      <c r="H89" s="50"/>
      <c r="I89" s="50"/>
      <c r="J89" s="43" t="s">
        <v>15</v>
      </c>
      <c r="K89" s="43" t="s">
        <v>821</v>
      </c>
      <c r="L89" s="43" t="s">
        <v>420</v>
      </c>
      <c r="M89" s="43" t="s">
        <v>423</v>
      </c>
      <c r="N89" s="53" t="s">
        <v>804</v>
      </c>
      <c r="O89" s="43" t="s">
        <v>17</v>
      </c>
      <c r="P89" s="43" t="s">
        <v>13</v>
      </c>
      <c r="Q89" s="43" t="s">
        <v>44</v>
      </c>
      <c r="R89" s="43"/>
      <c r="S89" s="51"/>
    </row>
    <row r="90" spans="1:19" s="3" customFormat="1" ht="18" customHeight="1" x14ac:dyDescent="0.25">
      <c r="A90" s="47"/>
      <c r="B90" s="49"/>
      <c r="C90" s="31" t="s">
        <v>6</v>
      </c>
      <c r="D90" s="27">
        <f t="shared" ref="D90:E90" si="15">SUM(D91:D94)</f>
        <v>16200</v>
      </c>
      <c r="E90" s="23">
        <f t="shared" si="15"/>
        <v>16200</v>
      </c>
      <c r="F90" s="23"/>
      <c r="G90" s="23"/>
      <c r="H90" s="23"/>
      <c r="I90" s="23"/>
      <c r="J90" s="43"/>
      <c r="K90" s="43"/>
      <c r="L90" s="43"/>
      <c r="M90" s="43"/>
      <c r="N90" s="53"/>
      <c r="O90" s="43"/>
      <c r="P90" s="43"/>
      <c r="Q90" s="43"/>
      <c r="R90" s="43"/>
      <c r="S90" s="51"/>
    </row>
    <row r="91" spans="1:19" s="3" customFormat="1" ht="18" customHeight="1" x14ac:dyDescent="0.25">
      <c r="A91" s="47"/>
      <c r="B91" s="49"/>
      <c r="C91" s="31" t="s">
        <v>0</v>
      </c>
      <c r="D91" s="27"/>
      <c r="E91" s="23"/>
      <c r="F91" s="23"/>
      <c r="G91" s="23"/>
      <c r="H91" s="23"/>
      <c r="I91" s="23"/>
      <c r="J91" s="43"/>
      <c r="K91" s="43"/>
      <c r="L91" s="43"/>
      <c r="M91" s="43"/>
      <c r="N91" s="53"/>
      <c r="O91" s="43"/>
      <c r="P91" s="43"/>
      <c r="Q91" s="43"/>
      <c r="R91" s="43"/>
      <c r="S91" s="51"/>
    </row>
    <row r="92" spans="1:19" s="3" customFormat="1" ht="18" customHeight="1" x14ac:dyDescent="0.25">
      <c r="A92" s="47"/>
      <c r="B92" s="49"/>
      <c r="C92" s="31" t="s">
        <v>1</v>
      </c>
      <c r="D92" s="27">
        <f>SUM(E92:I92)</f>
        <v>16200</v>
      </c>
      <c r="E92" s="23">
        <v>16200</v>
      </c>
      <c r="F92" s="23"/>
      <c r="G92" s="23"/>
      <c r="H92" s="23"/>
      <c r="I92" s="23"/>
      <c r="J92" s="43"/>
      <c r="K92" s="43"/>
      <c r="L92" s="43"/>
      <c r="M92" s="43"/>
      <c r="N92" s="53"/>
      <c r="O92" s="43"/>
      <c r="P92" s="43"/>
      <c r="Q92" s="43"/>
      <c r="R92" s="43"/>
      <c r="S92" s="51"/>
    </row>
    <row r="93" spans="1:19" s="3" customFormat="1" ht="18" customHeight="1" x14ac:dyDescent="0.25">
      <c r="A93" s="47"/>
      <c r="B93" s="49"/>
      <c r="C93" s="31" t="s">
        <v>2</v>
      </c>
      <c r="D93" s="27"/>
      <c r="E93" s="23"/>
      <c r="F93" s="23"/>
      <c r="G93" s="23"/>
      <c r="H93" s="23"/>
      <c r="I93" s="23"/>
      <c r="J93" s="43"/>
      <c r="K93" s="43"/>
      <c r="L93" s="43"/>
      <c r="M93" s="43"/>
      <c r="N93" s="53"/>
      <c r="O93" s="43"/>
      <c r="P93" s="43"/>
      <c r="Q93" s="43"/>
      <c r="R93" s="43"/>
      <c r="S93" s="51"/>
    </row>
    <row r="94" spans="1:19" s="3" customFormat="1" ht="18" customHeight="1" x14ac:dyDescent="0.25">
      <c r="A94" s="47"/>
      <c r="B94" s="49"/>
      <c r="C94" s="31" t="s">
        <v>3</v>
      </c>
      <c r="D94" s="27"/>
      <c r="E94" s="23"/>
      <c r="F94" s="23"/>
      <c r="G94" s="23"/>
      <c r="H94" s="23"/>
      <c r="I94" s="23"/>
      <c r="J94" s="43"/>
      <c r="K94" s="43"/>
      <c r="L94" s="43"/>
      <c r="M94" s="43"/>
      <c r="N94" s="53"/>
      <c r="O94" s="43"/>
      <c r="P94" s="43"/>
      <c r="Q94" s="43"/>
      <c r="R94" s="43"/>
      <c r="S94" s="51"/>
    </row>
    <row r="95" spans="1:19" ht="21" customHeight="1" x14ac:dyDescent="0.25">
      <c r="A95" s="54" t="s">
        <v>206</v>
      </c>
      <c r="B95" s="65" t="s">
        <v>116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ht="18" customHeight="1" x14ac:dyDescent="0.25">
      <c r="A96" s="54"/>
      <c r="B96" s="56" t="s">
        <v>6</v>
      </c>
      <c r="C96" s="56"/>
      <c r="D96" s="16">
        <f t="shared" ref="D96" si="16">SUM(D97:D100)</f>
        <v>2294759.2873948999</v>
      </c>
      <c r="E96" s="16">
        <f>E104+E112+E120+E128+E136+E144+E152+E160+E168+E176+E184+E192+E200+E208</f>
        <v>298979.28739490005</v>
      </c>
      <c r="F96" s="16">
        <f t="shared" ref="F96:G96" si="17">F104+F112+F120+F128+F136+F144+F152+F160+F168+F176+F184+F192+F200+F208</f>
        <v>933680</v>
      </c>
      <c r="G96" s="16">
        <f t="shared" si="17"/>
        <v>1062100</v>
      </c>
      <c r="H96" s="16"/>
      <c r="I96" s="1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ht="18" customHeight="1" x14ac:dyDescent="0.25">
      <c r="A97" s="54"/>
      <c r="B97" s="56" t="s">
        <v>0</v>
      </c>
      <c r="C97" s="56"/>
      <c r="D97" s="16">
        <f>SUM(E97:I97)</f>
        <v>211462.82618999999</v>
      </c>
      <c r="E97" s="16">
        <f t="shared" ref="E97:G99" si="18">E105+E113+E121+E129+E137+E145+E153+E161+E169+E177+E185+E193+E201+E209</f>
        <v>211462.82618999999</v>
      </c>
      <c r="F97" s="16"/>
      <c r="G97" s="16"/>
      <c r="H97" s="16"/>
      <c r="I97" s="1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8" customHeight="1" x14ac:dyDescent="0.25">
      <c r="A98" s="54"/>
      <c r="B98" s="56" t="s">
        <v>1</v>
      </c>
      <c r="C98" s="56"/>
      <c r="D98" s="16">
        <f>SUM(E98:I98)</f>
        <v>2078327.9737800001</v>
      </c>
      <c r="E98" s="16">
        <f t="shared" si="18"/>
        <v>86147.97378</v>
      </c>
      <c r="F98" s="16">
        <f t="shared" si="18"/>
        <v>932180</v>
      </c>
      <c r="G98" s="16">
        <f t="shared" si="18"/>
        <v>1060000</v>
      </c>
      <c r="H98" s="16"/>
      <c r="I98" s="16"/>
      <c r="J98" s="26"/>
      <c r="K98" s="26"/>
      <c r="L98" s="26"/>
      <c r="M98" s="26"/>
      <c r="N98" s="26"/>
      <c r="O98" s="26"/>
      <c r="P98" s="26"/>
      <c r="Q98" s="26"/>
      <c r="R98" s="26"/>
      <c r="S98" s="26"/>
    </row>
    <row r="99" spans="1:19" ht="18" customHeight="1" x14ac:dyDescent="0.25">
      <c r="A99" s="54"/>
      <c r="B99" s="56" t="s">
        <v>2</v>
      </c>
      <c r="C99" s="56"/>
      <c r="D99" s="16">
        <f>SUM(E99:I99)</f>
        <v>4968.4874249000004</v>
      </c>
      <c r="E99" s="16">
        <f t="shared" si="18"/>
        <v>1368.4874249</v>
      </c>
      <c r="F99" s="16">
        <f t="shared" si="18"/>
        <v>1500</v>
      </c>
      <c r="G99" s="16">
        <f t="shared" si="18"/>
        <v>2100</v>
      </c>
      <c r="H99" s="16"/>
      <c r="I99" s="1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ht="18" customHeight="1" x14ac:dyDescent="0.25">
      <c r="A100" s="54"/>
      <c r="B100" s="56" t="s">
        <v>3</v>
      </c>
      <c r="C100" s="56"/>
      <c r="D100" s="28"/>
      <c r="E100" s="16"/>
      <c r="F100" s="16"/>
      <c r="G100" s="16"/>
      <c r="H100" s="16"/>
      <c r="I100" s="1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ht="18.75" customHeight="1" x14ac:dyDescent="0.25">
      <c r="A101" s="37" t="s">
        <v>23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19" ht="21" customHeight="1" x14ac:dyDescent="0.25">
      <c r="A102" s="38"/>
      <c r="B102" s="48" t="s">
        <v>590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ht="18.75" customHeight="1" x14ac:dyDescent="0.25">
      <c r="A103" s="38"/>
      <c r="B103" s="49" t="s">
        <v>208</v>
      </c>
      <c r="C103" s="50" t="s">
        <v>29</v>
      </c>
      <c r="D103" s="50"/>
      <c r="E103" s="50"/>
      <c r="F103" s="50"/>
      <c r="G103" s="50"/>
      <c r="H103" s="50"/>
      <c r="I103" s="50"/>
      <c r="J103" s="43" t="s">
        <v>16</v>
      </c>
      <c r="K103" s="43" t="s">
        <v>822</v>
      </c>
      <c r="L103" s="43" t="s">
        <v>35</v>
      </c>
      <c r="M103" s="43" t="s">
        <v>468</v>
      </c>
      <c r="N103" s="53" t="s">
        <v>466</v>
      </c>
      <c r="O103" s="43" t="s">
        <v>12</v>
      </c>
      <c r="P103" s="43" t="s">
        <v>30</v>
      </c>
      <c r="Q103" s="43" t="s">
        <v>9</v>
      </c>
      <c r="R103" s="43"/>
      <c r="S103" s="51" t="s">
        <v>602</v>
      </c>
    </row>
    <row r="104" spans="1:19" ht="18" customHeight="1" x14ac:dyDescent="0.25">
      <c r="A104" s="38"/>
      <c r="B104" s="49"/>
      <c r="C104" s="31" t="s">
        <v>6</v>
      </c>
      <c r="D104" s="27">
        <f t="shared" ref="D104:E104" si="19">SUM(D105:D108)</f>
        <v>98964.202529999995</v>
      </c>
      <c r="E104" s="23">
        <f t="shared" si="19"/>
        <v>98964.202529999995</v>
      </c>
      <c r="F104" s="23"/>
      <c r="G104" s="23"/>
      <c r="H104" s="23"/>
      <c r="I104" s="23"/>
      <c r="J104" s="43"/>
      <c r="K104" s="43"/>
      <c r="L104" s="43"/>
      <c r="M104" s="43"/>
      <c r="N104" s="53"/>
      <c r="O104" s="43"/>
      <c r="P104" s="43"/>
      <c r="Q104" s="43"/>
      <c r="R104" s="43"/>
      <c r="S104" s="51"/>
    </row>
    <row r="105" spans="1:19" ht="18" customHeight="1" x14ac:dyDescent="0.25">
      <c r="A105" s="38"/>
      <c r="B105" s="49"/>
      <c r="C105" s="31" t="s">
        <v>0</v>
      </c>
      <c r="D105" s="27">
        <f>SUM(E105:I105)</f>
        <v>92261.552530000001</v>
      </c>
      <c r="E105" s="25">
        <f>92090.21558-52870.05+53041.38695</f>
        <v>92261.552530000001</v>
      </c>
      <c r="F105" s="23"/>
      <c r="G105" s="23"/>
      <c r="H105" s="23"/>
      <c r="I105" s="23"/>
      <c r="J105" s="43"/>
      <c r="K105" s="43"/>
      <c r="L105" s="43"/>
      <c r="M105" s="43"/>
      <c r="N105" s="53"/>
      <c r="O105" s="43"/>
      <c r="P105" s="43"/>
      <c r="Q105" s="43"/>
      <c r="R105" s="43"/>
      <c r="S105" s="51"/>
    </row>
    <row r="106" spans="1:19" ht="18" customHeight="1" x14ac:dyDescent="0.25">
      <c r="A106" s="38"/>
      <c r="B106" s="49"/>
      <c r="C106" s="31" t="s">
        <v>1</v>
      </c>
      <c r="D106" s="27">
        <f t="shared" ref="D106:D107" si="20">SUM(E106:I106)</f>
        <v>5995.65</v>
      </c>
      <c r="E106" s="23">
        <v>5995.65</v>
      </c>
      <c r="F106" s="23"/>
      <c r="G106" s="23"/>
      <c r="H106" s="23"/>
      <c r="I106" s="23"/>
      <c r="J106" s="43"/>
      <c r="K106" s="43"/>
      <c r="L106" s="43"/>
      <c r="M106" s="43"/>
      <c r="N106" s="53"/>
      <c r="O106" s="43"/>
      <c r="P106" s="43"/>
      <c r="Q106" s="43"/>
      <c r="R106" s="43"/>
      <c r="S106" s="51"/>
    </row>
    <row r="107" spans="1:19" ht="18" customHeight="1" x14ac:dyDescent="0.25">
      <c r="A107" s="38"/>
      <c r="B107" s="49"/>
      <c r="C107" s="31" t="s">
        <v>2</v>
      </c>
      <c r="D107" s="27">
        <f t="shared" si="20"/>
        <v>707</v>
      </c>
      <c r="E107" s="23">
        <v>707</v>
      </c>
      <c r="F107" s="23"/>
      <c r="G107" s="23"/>
      <c r="H107" s="23"/>
      <c r="I107" s="23"/>
      <c r="J107" s="43"/>
      <c r="K107" s="43"/>
      <c r="L107" s="43"/>
      <c r="M107" s="43"/>
      <c r="N107" s="53"/>
      <c r="O107" s="43"/>
      <c r="P107" s="43"/>
      <c r="Q107" s="43"/>
      <c r="R107" s="43"/>
      <c r="S107" s="51"/>
    </row>
    <row r="108" spans="1:19" ht="18" customHeight="1" x14ac:dyDescent="0.25">
      <c r="A108" s="38"/>
      <c r="B108" s="49"/>
      <c r="C108" s="31" t="s">
        <v>3</v>
      </c>
      <c r="D108" s="27"/>
      <c r="E108" s="23"/>
      <c r="F108" s="23"/>
      <c r="G108" s="23"/>
      <c r="H108" s="23"/>
      <c r="I108" s="23"/>
      <c r="J108" s="43"/>
      <c r="K108" s="43"/>
      <c r="L108" s="43"/>
      <c r="M108" s="43"/>
      <c r="N108" s="53"/>
      <c r="O108" s="43"/>
      <c r="P108" s="43"/>
      <c r="Q108" s="43"/>
      <c r="R108" s="43"/>
      <c r="S108" s="51"/>
    </row>
    <row r="109" spans="1:19" ht="18.75" customHeight="1" x14ac:dyDescent="0.25">
      <c r="A109" s="37" t="s">
        <v>23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</row>
    <row r="110" spans="1:19" ht="21" customHeight="1" x14ac:dyDescent="0.25">
      <c r="A110" s="38"/>
      <c r="B110" s="48" t="s">
        <v>590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ht="18.75" customHeight="1" x14ac:dyDescent="0.25">
      <c r="A111" s="38"/>
      <c r="B111" s="49" t="s">
        <v>209</v>
      </c>
      <c r="C111" s="50" t="s">
        <v>45</v>
      </c>
      <c r="D111" s="50"/>
      <c r="E111" s="50"/>
      <c r="F111" s="50"/>
      <c r="G111" s="50"/>
      <c r="H111" s="50"/>
      <c r="I111" s="50"/>
      <c r="J111" s="43" t="s">
        <v>16</v>
      </c>
      <c r="K111" s="43" t="s">
        <v>822</v>
      </c>
      <c r="L111" s="43" t="s">
        <v>35</v>
      </c>
      <c r="M111" s="43" t="s">
        <v>469</v>
      </c>
      <c r="N111" s="53" t="s">
        <v>467</v>
      </c>
      <c r="O111" s="43" t="s">
        <v>12</v>
      </c>
      <c r="P111" s="43" t="s">
        <v>13</v>
      </c>
      <c r="Q111" s="43" t="s">
        <v>9</v>
      </c>
      <c r="R111" s="43"/>
      <c r="S111" s="51" t="s">
        <v>603</v>
      </c>
    </row>
    <row r="112" spans="1:19" ht="18" customHeight="1" x14ac:dyDescent="0.25">
      <c r="A112" s="38"/>
      <c r="B112" s="49"/>
      <c r="C112" s="31" t="s">
        <v>6</v>
      </c>
      <c r="D112" s="27">
        <f t="shared" ref="D112:E112" si="21">SUM(D113:D116)</f>
        <v>132644.10005000001</v>
      </c>
      <c r="E112" s="23">
        <f t="shared" si="21"/>
        <v>132644.10005000001</v>
      </c>
      <c r="F112" s="23"/>
      <c r="G112" s="23"/>
      <c r="H112" s="23"/>
      <c r="I112" s="23"/>
      <c r="J112" s="43"/>
      <c r="K112" s="43"/>
      <c r="L112" s="43"/>
      <c r="M112" s="43"/>
      <c r="N112" s="53"/>
      <c r="O112" s="43"/>
      <c r="P112" s="43"/>
      <c r="Q112" s="43"/>
      <c r="R112" s="43"/>
      <c r="S112" s="51"/>
    </row>
    <row r="113" spans="1:19" ht="18" customHeight="1" x14ac:dyDescent="0.25">
      <c r="A113" s="38"/>
      <c r="B113" s="49"/>
      <c r="C113" s="31" t="s">
        <v>0</v>
      </c>
      <c r="D113" s="27">
        <f>E113</f>
        <v>105606.61305</v>
      </c>
      <c r="E113" s="23">
        <f>105777.95-171.33695</f>
        <v>105606.61305</v>
      </c>
      <c r="F113" s="23"/>
      <c r="G113" s="23"/>
      <c r="H113" s="23"/>
      <c r="I113" s="23"/>
      <c r="J113" s="43"/>
      <c r="K113" s="43"/>
      <c r="L113" s="43"/>
      <c r="M113" s="43"/>
      <c r="N113" s="53"/>
      <c r="O113" s="43"/>
      <c r="P113" s="43"/>
      <c r="Q113" s="43"/>
      <c r="R113" s="43"/>
      <c r="S113" s="51"/>
    </row>
    <row r="114" spans="1:19" ht="18" customHeight="1" x14ac:dyDescent="0.25">
      <c r="A114" s="38"/>
      <c r="B114" s="49"/>
      <c r="C114" s="31" t="s">
        <v>1</v>
      </c>
      <c r="D114" s="27">
        <f t="shared" ref="D114:D115" si="22">SUM(E114:I114)</f>
        <v>26444.487000000001</v>
      </c>
      <c r="E114" s="23">
        <v>26444.487000000001</v>
      </c>
      <c r="F114" s="23"/>
      <c r="G114" s="23"/>
      <c r="H114" s="23"/>
      <c r="I114" s="23"/>
      <c r="J114" s="43"/>
      <c r="K114" s="43"/>
      <c r="L114" s="43"/>
      <c r="M114" s="43"/>
      <c r="N114" s="53"/>
      <c r="O114" s="43"/>
      <c r="P114" s="43"/>
      <c r="Q114" s="43"/>
      <c r="R114" s="43"/>
      <c r="S114" s="51"/>
    </row>
    <row r="115" spans="1:19" ht="18" customHeight="1" x14ac:dyDescent="0.25">
      <c r="A115" s="38"/>
      <c r="B115" s="49"/>
      <c r="C115" s="31" t="s">
        <v>2</v>
      </c>
      <c r="D115" s="27">
        <f t="shared" si="22"/>
        <v>593</v>
      </c>
      <c r="E115" s="23">
        <v>593</v>
      </c>
      <c r="F115" s="23"/>
      <c r="G115" s="23"/>
      <c r="H115" s="23"/>
      <c r="I115" s="23"/>
      <c r="J115" s="43"/>
      <c r="K115" s="43"/>
      <c r="L115" s="43"/>
      <c r="M115" s="43"/>
      <c r="N115" s="53"/>
      <c r="O115" s="43"/>
      <c r="P115" s="43"/>
      <c r="Q115" s="43"/>
      <c r="R115" s="43"/>
      <c r="S115" s="51"/>
    </row>
    <row r="116" spans="1:19" ht="18" customHeight="1" x14ac:dyDescent="0.25">
      <c r="A116" s="38"/>
      <c r="B116" s="49"/>
      <c r="C116" s="31" t="s">
        <v>3</v>
      </c>
      <c r="D116" s="27"/>
      <c r="E116" s="23"/>
      <c r="F116" s="23"/>
      <c r="G116" s="23"/>
      <c r="H116" s="23"/>
      <c r="I116" s="23"/>
      <c r="J116" s="43"/>
      <c r="K116" s="43"/>
      <c r="L116" s="43"/>
      <c r="M116" s="43"/>
      <c r="N116" s="53"/>
      <c r="O116" s="43"/>
      <c r="P116" s="43"/>
      <c r="Q116" s="43"/>
      <c r="R116" s="43"/>
      <c r="S116" s="51"/>
    </row>
    <row r="117" spans="1:19" ht="18.75" customHeight="1" x14ac:dyDescent="0.25">
      <c r="A117" s="37" t="s">
        <v>23</v>
      </c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</row>
    <row r="118" spans="1:19" ht="21" customHeight="1" x14ac:dyDescent="0.25">
      <c r="A118" s="38"/>
      <c r="B118" s="48" t="s">
        <v>590</v>
      </c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ht="40.5" customHeight="1" x14ac:dyDescent="0.25">
      <c r="A119" s="38"/>
      <c r="B119" s="49" t="s">
        <v>210</v>
      </c>
      <c r="C119" s="41" t="s">
        <v>1057</v>
      </c>
      <c r="D119" s="41"/>
      <c r="E119" s="41"/>
      <c r="F119" s="41"/>
      <c r="G119" s="41"/>
      <c r="H119" s="41"/>
      <c r="I119" s="41"/>
      <c r="J119" s="43" t="s">
        <v>20</v>
      </c>
      <c r="K119" s="43" t="s">
        <v>823</v>
      </c>
      <c r="L119" s="43" t="s">
        <v>31</v>
      </c>
      <c r="M119" s="42" t="s">
        <v>1060</v>
      </c>
      <c r="N119" s="53" t="s">
        <v>429</v>
      </c>
      <c r="O119" s="43" t="s">
        <v>17</v>
      </c>
      <c r="P119" s="43" t="s">
        <v>4</v>
      </c>
      <c r="Q119" s="43" t="s">
        <v>9</v>
      </c>
      <c r="R119" s="43"/>
      <c r="S119" s="51" t="s">
        <v>604</v>
      </c>
    </row>
    <row r="120" spans="1:19" ht="18" customHeight="1" x14ac:dyDescent="0.25">
      <c r="A120" s="38"/>
      <c r="B120" s="49"/>
      <c r="C120" s="31" t="s">
        <v>6</v>
      </c>
      <c r="D120" s="27">
        <f t="shared" ref="D120:E120" si="23">SUM(D121:D124)</f>
        <v>13689.660610000001</v>
      </c>
      <c r="E120" s="23">
        <f t="shared" si="23"/>
        <v>13689.660610000001</v>
      </c>
      <c r="F120" s="23"/>
      <c r="G120" s="23"/>
      <c r="H120" s="23"/>
      <c r="I120" s="23"/>
      <c r="J120" s="43"/>
      <c r="K120" s="43"/>
      <c r="L120" s="43"/>
      <c r="M120" s="42"/>
      <c r="N120" s="53"/>
      <c r="O120" s="43"/>
      <c r="P120" s="43"/>
      <c r="Q120" s="43"/>
      <c r="R120" s="43"/>
      <c r="S120" s="51"/>
    </row>
    <row r="121" spans="1:19" ht="18" customHeight="1" x14ac:dyDescent="0.25">
      <c r="A121" s="38"/>
      <c r="B121" s="49"/>
      <c r="C121" s="31" t="s">
        <v>0</v>
      </c>
      <c r="D121" s="27">
        <f>SUM(E121:I121)</f>
        <v>13594.660610000001</v>
      </c>
      <c r="E121" s="23">
        <v>13594.660610000001</v>
      </c>
      <c r="F121" s="23"/>
      <c r="G121" s="23"/>
      <c r="H121" s="23"/>
      <c r="I121" s="23"/>
      <c r="J121" s="43"/>
      <c r="K121" s="43"/>
      <c r="L121" s="43"/>
      <c r="M121" s="42"/>
      <c r="N121" s="53"/>
      <c r="O121" s="43"/>
      <c r="P121" s="43"/>
      <c r="Q121" s="43"/>
      <c r="R121" s="43"/>
      <c r="S121" s="51"/>
    </row>
    <row r="122" spans="1:19" ht="18" customHeight="1" x14ac:dyDescent="0.25">
      <c r="A122" s="38"/>
      <c r="B122" s="49"/>
      <c r="C122" s="31" t="s">
        <v>1</v>
      </c>
      <c r="D122" s="27">
        <f t="shared" ref="D122" si="24">SUM(E122:I122)</f>
        <v>95</v>
      </c>
      <c r="E122" s="23">
        <f>17431.70603-17336.70603</f>
        <v>95</v>
      </c>
      <c r="F122" s="23"/>
      <c r="G122" s="23"/>
      <c r="H122" s="23"/>
      <c r="I122" s="23"/>
      <c r="J122" s="43"/>
      <c r="K122" s="43"/>
      <c r="L122" s="43"/>
      <c r="M122" s="42"/>
      <c r="N122" s="53"/>
      <c r="O122" s="43"/>
      <c r="P122" s="43"/>
      <c r="Q122" s="43"/>
      <c r="R122" s="43"/>
      <c r="S122" s="51"/>
    </row>
    <row r="123" spans="1:19" ht="18" customHeight="1" x14ac:dyDescent="0.25">
      <c r="A123" s="38"/>
      <c r="B123" s="49"/>
      <c r="C123" s="31" t="s">
        <v>2</v>
      </c>
      <c r="D123" s="27"/>
      <c r="E123" s="23"/>
      <c r="F123" s="23"/>
      <c r="G123" s="23"/>
      <c r="H123" s="23"/>
      <c r="I123" s="23"/>
      <c r="J123" s="43"/>
      <c r="K123" s="43"/>
      <c r="L123" s="43"/>
      <c r="M123" s="42"/>
      <c r="N123" s="53"/>
      <c r="O123" s="43"/>
      <c r="P123" s="43"/>
      <c r="Q123" s="43"/>
      <c r="R123" s="43"/>
      <c r="S123" s="51"/>
    </row>
    <row r="124" spans="1:19" ht="18" customHeight="1" x14ac:dyDescent="0.25">
      <c r="A124" s="38"/>
      <c r="B124" s="49"/>
      <c r="C124" s="31" t="s">
        <v>3</v>
      </c>
      <c r="D124" s="27"/>
      <c r="E124" s="23"/>
      <c r="F124" s="23"/>
      <c r="G124" s="23"/>
      <c r="H124" s="23"/>
      <c r="I124" s="23"/>
      <c r="J124" s="43"/>
      <c r="K124" s="43"/>
      <c r="L124" s="43"/>
      <c r="M124" s="42"/>
      <c r="N124" s="53"/>
      <c r="O124" s="43"/>
      <c r="P124" s="43"/>
      <c r="Q124" s="43"/>
      <c r="R124" s="43"/>
      <c r="S124" s="51"/>
    </row>
    <row r="125" spans="1:19" ht="18.75" customHeight="1" x14ac:dyDescent="0.25">
      <c r="A125" s="37" t="s">
        <v>23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</row>
    <row r="126" spans="1:19" ht="21" customHeight="1" x14ac:dyDescent="0.25">
      <c r="A126" s="38"/>
      <c r="B126" s="48" t="s">
        <v>590</v>
      </c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ht="18.75" customHeight="1" x14ac:dyDescent="0.25">
      <c r="A127" s="38"/>
      <c r="B127" s="49" t="s">
        <v>211</v>
      </c>
      <c r="C127" s="50" t="s">
        <v>220</v>
      </c>
      <c r="D127" s="50"/>
      <c r="E127" s="50"/>
      <c r="F127" s="50"/>
      <c r="G127" s="50"/>
      <c r="H127" s="50"/>
      <c r="I127" s="50"/>
      <c r="J127" s="43" t="s">
        <v>11</v>
      </c>
      <c r="K127" s="43" t="s">
        <v>821</v>
      </c>
      <c r="L127" s="43" t="s">
        <v>140</v>
      </c>
      <c r="M127" s="43" t="s">
        <v>23</v>
      </c>
      <c r="N127" s="53" t="s">
        <v>608</v>
      </c>
      <c r="O127" s="43" t="s">
        <v>17</v>
      </c>
      <c r="P127" s="43" t="s">
        <v>21</v>
      </c>
      <c r="Q127" s="43" t="s">
        <v>44</v>
      </c>
      <c r="R127" s="43"/>
      <c r="S127" s="51"/>
    </row>
    <row r="128" spans="1:19" ht="18" customHeight="1" x14ac:dyDescent="0.25">
      <c r="A128" s="38"/>
      <c r="B128" s="49"/>
      <c r="C128" s="31" t="s">
        <v>6</v>
      </c>
      <c r="D128" s="27">
        <f t="shared" ref="D128:G128" si="25">SUM(D129:D132)</f>
        <v>300000</v>
      </c>
      <c r="E128" s="23"/>
      <c r="F128" s="23">
        <f t="shared" si="25"/>
        <v>200000</v>
      </c>
      <c r="G128" s="23">
        <f t="shared" si="25"/>
        <v>100000</v>
      </c>
      <c r="H128" s="23"/>
      <c r="I128" s="23"/>
      <c r="J128" s="43"/>
      <c r="K128" s="43"/>
      <c r="L128" s="43"/>
      <c r="M128" s="43"/>
      <c r="N128" s="53"/>
      <c r="O128" s="43"/>
      <c r="P128" s="43"/>
      <c r="Q128" s="43"/>
      <c r="R128" s="43"/>
      <c r="S128" s="51"/>
    </row>
    <row r="129" spans="1:19" ht="18" customHeight="1" x14ac:dyDescent="0.25">
      <c r="A129" s="38"/>
      <c r="B129" s="49"/>
      <c r="C129" s="31" t="s">
        <v>0</v>
      </c>
      <c r="D129" s="27"/>
      <c r="E129" s="23"/>
      <c r="F129" s="23"/>
      <c r="G129" s="23"/>
      <c r="H129" s="23"/>
      <c r="I129" s="23"/>
      <c r="J129" s="43"/>
      <c r="K129" s="43"/>
      <c r="L129" s="43"/>
      <c r="M129" s="43"/>
      <c r="N129" s="53"/>
      <c r="O129" s="43"/>
      <c r="P129" s="43"/>
      <c r="Q129" s="43"/>
      <c r="R129" s="43"/>
      <c r="S129" s="51"/>
    </row>
    <row r="130" spans="1:19" ht="18" customHeight="1" x14ac:dyDescent="0.25">
      <c r="A130" s="38"/>
      <c r="B130" s="49"/>
      <c r="C130" s="31" t="s">
        <v>1</v>
      </c>
      <c r="D130" s="27">
        <f t="shared" ref="D130" si="26">SUM(E130:I130)</f>
        <v>300000</v>
      </c>
      <c r="E130" s="23"/>
      <c r="F130" s="23">
        <v>200000</v>
      </c>
      <c r="G130" s="23">
        <v>100000</v>
      </c>
      <c r="H130" s="23"/>
      <c r="I130" s="23"/>
      <c r="J130" s="43"/>
      <c r="K130" s="43"/>
      <c r="L130" s="43"/>
      <c r="M130" s="43"/>
      <c r="N130" s="53"/>
      <c r="O130" s="43"/>
      <c r="P130" s="43"/>
      <c r="Q130" s="43"/>
      <c r="R130" s="43"/>
      <c r="S130" s="51"/>
    </row>
    <row r="131" spans="1:19" ht="18" customHeight="1" x14ac:dyDescent="0.25">
      <c r="A131" s="38"/>
      <c r="B131" s="49"/>
      <c r="C131" s="31" t="s">
        <v>2</v>
      </c>
      <c r="D131" s="27"/>
      <c r="E131" s="23"/>
      <c r="F131" s="23"/>
      <c r="G131" s="23"/>
      <c r="H131" s="23"/>
      <c r="I131" s="23"/>
      <c r="J131" s="43"/>
      <c r="K131" s="43"/>
      <c r="L131" s="43"/>
      <c r="M131" s="43"/>
      <c r="N131" s="53"/>
      <c r="O131" s="43"/>
      <c r="P131" s="43"/>
      <c r="Q131" s="43"/>
      <c r="R131" s="43"/>
      <c r="S131" s="51"/>
    </row>
    <row r="132" spans="1:19" ht="18" customHeight="1" x14ac:dyDescent="0.25">
      <c r="A132" s="38"/>
      <c r="B132" s="49"/>
      <c r="C132" s="31" t="s">
        <v>3</v>
      </c>
      <c r="D132" s="27"/>
      <c r="E132" s="23"/>
      <c r="F132" s="23"/>
      <c r="G132" s="23"/>
      <c r="H132" s="23"/>
      <c r="I132" s="23"/>
      <c r="J132" s="43"/>
      <c r="K132" s="43"/>
      <c r="L132" s="43"/>
      <c r="M132" s="43"/>
      <c r="N132" s="53"/>
      <c r="O132" s="43"/>
      <c r="P132" s="43"/>
      <c r="Q132" s="43"/>
      <c r="R132" s="43"/>
      <c r="S132" s="51"/>
    </row>
    <row r="133" spans="1:19" ht="18.75" customHeight="1" x14ac:dyDescent="0.25">
      <c r="A133" s="37" t="s">
        <v>107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</row>
    <row r="134" spans="1:19" ht="21" customHeight="1" x14ac:dyDescent="0.25">
      <c r="A134" s="38"/>
      <c r="B134" s="48" t="s">
        <v>591</v>
      </c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ht="39" customHeight="1" x14ac:dyDescent="0.25">
      <c r="A135" s="38"/>
      <c r="B135" s="49" t="s">
        <v>212</v>
      </c>
      <c r="C135" s="50" t="s">
        <v>117</v>
      </c>
      <c r="D135" s="50"/>
      <c r="E135" s="50"/>
      <c r="F135" s="50"/>
      <c r="G135" s="50"/>
      <c r="H135" s="50"/>
      <c r="I135" s="50"/>
      <c r="J135" s="43" t="s">
        <v>15</v>
      </c>
      <c r="K135" s="43" t="s">
        <v>823</v>
      </c>
      <c r="L135" s="43" t="s">
        <v>612</v>
      </c>
      <c r="M135" s="43" t="s">
        <v>431</v>
      </c>
      <c r="N135" s="53" t="s">
        <v>611</v>
      </c>
      <c r="O135" s="43" t="s">
        <v>17</v>
      </c>
      <c r="P135" s="43" t="s">
        <v>13</v>
      </c>
      <c r="Q135" s="43" t="s">
        <v>44</v>
      </c>
      <c r="R135" s="43"/>
      <c r="S135" s="51"/>
    </row>
    <row r="136" spans="1:19" ht="18" customHeight="1" x14ac:dyDescent="0.25">
      <c r="A136" s="38"/>
      <c r="B136" s="49"/>
      <c r="C136" s="31" t="s">
        <v>6</v>
      </c>
      <c r="D136" s="27">
        <f>SUM(D137:D140)</f>
        <v>27653.98</v>
      </c>
      <c r="E136" s="23">
        <f t="shared" ref="E136" si="27">SUM(E137:E140)</f>
        <v>27653.98</v>
      </c>
      <c r="F136" s="23"/>
      <c r="G136" s="23"/>
      <c r="H136" s="23"/>
      <c r="I136" s="23"/>
      <c r="J136" s="43"/>
      <c r="K136" s="43"/>
      <c r="L136" s="43"/>
      <c r="M136" s="43"/>
      <c r="N136" s="53"/>
      <c r="O136" s="43"/>
      <c r="P136" s="43"/>
      <c r="Q136" s="43"/>
      <c r="R136" s="43"/>
      <c r="S136" s="51"/>
    </row>
    <row r="137" spans="1:19" ht="18" customHeight="1" x14ac:dyDescent="0.25">
      <c r="A137" s="38"/>
      <c r="B137" s="49"/>
      <c r="C137" s="31" t="s">
        <v>0</v>
      </c>
      <c r="D137" s="27"/>
      <c r="E137" s="23"/>
      <c r="F137" s="23"/>
      <c r="G137" s="23"/>
      <c r="H137" s="23"/>
      <c r="I137" s="23"/>
      <c r="J137" s="43"/>
      <c r="K137" s="43"/>
      <c r="L137" s="43"/>
      <c r="M137" s="43"/>
      <c r="N137" s="53"/>
      <c r="O137" s="43"/>
      <c r="P137" s="43"/>
      <c r="Q137" s="43"/>
      <c r="R137" s="43"/>
      <c r="S137" s="51"/>
    </row>
    <row r="138" spans="1:19" ht="18" customHeight="1" x14ac:dyDescent="0.25">
      <c r="A138" s="38"/>
      <c r="B138" s="49"/>
      <c r="C138" s="31" t="s">
        <v>1</v>
      </c>
      <c r="D138" s="27">
        <f t="shared" ref="D138" si="28">SUM(E138:I138)</f>
        <v>27653.98</v>
      </c>
      <c r="E138" s="23">
        <f>28235.96-581.98</f>
        <v>27653.98</v>
      </c>
      <c r="F138" s="23"/>
      <c r="G138" s="23"/>
      <c r="H138" s="23"/>
      <c r="I138" s="23"/>
      <c r="J138" s="43"/>
      <c r="K138" s="43"/>
      <c r="L138" s="43"/>
      <c r="M138" s="43"/>
      <c r="N138" s="53"/>
      <c r="O138" s="43"/>
      <c r="P138" s="43"/>
      <c r="Q138" s="43"/>
      <c r="R138" s="43"/>
      <c r="S138" s="51"/>
    </row>
    <row r="139" spans="1:19" ht="18" customHeight="1" x14ac:dyDescent="0.25">
      <c r="A139" s="38"/>
      <c r="B139" s="49"/>
      <c r="C139" s="31" t="s">
        <v>2</v>
      </c>
      <c r="D139" s="27"/>
      <c r="E139" s="23"/>
      <c r="F139" s="23"/>
      <c r="G139" s="23"/>
      <c r="H139" s="23"/>
      <c r="I139" s="23"/>
      <c r="J139" s="43"/>
      <c r="K139" s="43"/>
      <c r="L139" s="43"/>
      <c r="M139" s="43"/>
      <c r="N139" s="53"/>
      <c r="O139" s="43"/>
      <c r="P139" s="43"/>
      <c r="Q139" s="43"/>
      <c r="R139" s="43"/>
      <c r="S139" s="51"/>
    </row>
    <row r="140" spans="1:19" ht="18" customHeight="1" x14ac:dyDescent="0.25">
      <c r="A140" s="38"/>
      <c r="B140" s="49"/>
      <c r="C140" s="31" t="s">
        <v>3</v>
      </c>
      <c r="D140" s="27"/>
      <c r="E140" s="23"/>
      <c r="F140" s="23"/>
      <c r="G140" s="23"/>
      <c r="H140" s="23"/>
      <c r="I140" s="23"/>
      <c r="J140" s="43"/>
      <c r="K140" s="43"/>
      <c r="L140" s="43"/>
      <c r="M140" s="43"/>
      <c r="N140" s="53"/>
      <c r="O140" s="43"/>
      <c r="P140" s="43"/>
      <c r="Q140" s="43"/>
      <c r="R140" s="43"/>
      <c r="S140" s="51"/>
    </row>
    <row r="141" spans="1:19" ht="18.75" customHeight="1" x14ac:dyDescent="0.25">
      <c r="A141" s="37" t="s">
        <v>23</v>
      </c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</row>
    <row r="142" spans="1:19" ht="21" customHeight="1" x14ac:dyDescent="0.25">
      <c r="A142" s="38"/>
      <c r="B142" s="48" t="s">
        <v>590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ht="18.75" customHeight="1" x14ac:dyDescent="0.25">
      <c r="A143" s="38"/>
      <c r="B143" s="49" t="s">
        <v>213</v>
      </c>
      <c r="C143" s="41" t="s">
        <v>964</v>
      </c>
      <c r="D143" s="41"/>
      <c r="E143" s="41"/>
      <c r="F143" s="41"/>
      <c r="G143" s="41"/>
      <c r="H143" s="41"/>
      <c r="I143" s="41"/>
      <c r="J143" s="43" t="s">
        <v>80</v>
      </c>
      <c r="K143" s="43" t="s">
        <v>821</v>
      </c>
      <c r="L143" s="43" t="s">
        <v>141</v>
      </c>
      <c r="M143" s="43" t="s">
        <v>423</v>
      </c>
      <c r="N143" s="53" t="s">
        <v>605</v>
      </c>
      <c r="O143" s="43" t="s">
        <v>17</v>
      </c>
      <c r="P143" s="43" t="s">
        <v>13</v>
      </c>
      <c r="Q143" s="43" t="s">
        <v>9</v>
      </c>
      <c r="R143" s="43"/>
      <c r="S143" s="51"/>
    </row>
    <row r="144" spans="1:19" ht="18" customHeight="1" x14ac:dyDescent="0.25">
      <c r="A144" s="38"/>
      <c r="B144" s="49"/>
      <c r="C144" s="31" t="s">
        <v>6</v>
      </c>
      <c r="D144" s="27">
        <f t="shared" ref="D144:G144" si="29">SUM(D145:D148)</f>
        <v>400000</v>
      </c>
      <c r="E144" s="23"/>
      <c r="F144" s="23">
        <f t="shared" si="29"/>
        <v>180000</v>
      </c>
      <c r="G144" s="23">
        <f t="shared" si="29"/>
        <v>220000</v>
      </c>
      <c r="H144" s="23"/>
      <c r="I144" s="23"/>
      <c r="J144" s="43"/>
      <c r="K144" s="43"/>
      <c r="L144" s="43"/>
      <c r="M144" s="43"/>
      <c r="N144" s="53"/>
      <c r="O144" s="43"/>
      <c r="P144" s="43"/>
      <c r="Q144" s="43"/>
      <c r="R144" s="43"/>
      <c r="S144" s="51"/>
    </row>
    <row r="145" spans="1:19" ht="18" customHeight="1" x14ac:dyDescent="0.25">
      <c r="A145" s="38"/>
      <c r="B145" s="49"/>
      <c r="C145" s="31" t="s">
        <v>0</v>
      </c>
      <c r="D145" s="27"/>
      <c r="E145" s="23"/>
      <c r="F145" s="23"/>
      <c r="G145" s="23"/>
      <c r="H145" s="23"/>
      <c r="I145" s="23"/>
      <c r="J145" s="43"/>
      <c r="K145" s="43"/>
      <c r="L145" s="43"/>
      <c r="M145" s="43"/>
      <c r="N145" s="53"/>
      <c r="O145" s="43"/>
      <c r="P145" s="43"/>
      <c r="Q145" s="43"/>
      <c r="R145" s="43"/>
      <c r="S145" s="51"/>
    </row>
    <row r="146" spans="1:19" ht="18" customHeight="1" x14ac:dyDescent="0.25">
      <c r="A146" s="38"/>
      <c r="B146" s="49"/>
      <c r="C146" s="31" t="s">
        <v>1</v>
      </c>
      <c r="D146" s="27">
        <f t="shared" ref="D146" si="30">SUM(E146:I146)</f>
        <v>400000</v>
      </c>
      <c r="E146" s="23"/>
      <c r="F146" s="23">
        <v>180000</v>
      </c>
      <c r="G146" s="23">
        <v>220000</v>
      </c>
      <c r="H146" s="23"/>
      <c r="I146" s="23"/>
      <c r="J146" s="43"/>
      <c r="K146" s="43"/>
      <c r="L146" s="43"/>
      <c r="M146" s="43"/>
      <c r="N146" s="53"/>
      <c r="O146" s="43"/>
      <c r="P146" s="43"/>
      <c r="Q146" s="43"/>
      <c r="R146" s="43"/>
      <c r="S146" s="51"/>
    </row>
    <row r="147" spans="1:19" ht="18" customHeight="1" x14ac:dyDescent="0.25">
      <c r="A147" s="38"/>
      <c r="B147" s="49"/>
      <c r="C147" s="31" t="s">
        <v>2</v>
      </c>
      <c r="D147" s="27"/>
      <c r="E147" s="23"/>
      <c r="F147" s="23"/>
      <c r="G147" s="23"/>
      <c r="H147" s="23"/>
      <c r="I147" s="23"/>
      <c r="J147" s="43"/>
      <c r="K147" s="43"/>
      <c r="L147" s="43"/>
      <c r="M147" s="43"/>
      <c r="N147" s="53"/>
      <c r="O147" s="43"/>
      <c r="P147" s="43"/>
      <c r="Q147" s="43"/>
      <c r="R147" s="43"/>
      <c r="S147" s="51"/>
    </row>
    <row r="148" spans="1:19" ht="18" customHeight="1" x14ac:dyDescent="0.25">
      <c r="A148" s="38"/>
      <c r="B148" s="49"/>
      <c r="C148" s="31" t="s">
        <v>3</v>
      </c>
      <c r="D148" s="27"/>
      <c r="E148" s="23"/>
      <c r="F148" s="23"/>
      <c r="G148" s="23"/>
      <c r="H148" s="23"/>
      <c r="I148" s="23"/>
      <c r="J148" s="43"/>
      <c r="K148" s="43"/>
      <c r="L148" s="43"/>
      <c r="M148" s="43"/>
      <c r="N148" s="53"/>
      <c r="O148" s="43"/>
      <c r="P148" s="43"/>
      <c r="Q148" s="43"/>
      <c r="R148" s="43"/>
      <c r="S148" s="51"/>
    </row>
    <row r="149" spans="1:19" ht="18.75" customHeight="1" x14ac:dyDescent="0.25">
      <c r="A149" s="37" t="s">
        <v>23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</row>
    <row r="150" spans="1:19" ht="21" customHeight="1" x14ac:dyDescent="0.25">
      <c r="A150" s="38"/>
      <c r="B150" s="48" t="s">
        <v>590</v>
      </c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ht="18.75" customHeight="1" x14ac:dyDescent="0.25">
      <c r="A151" s="38"/>
      <c r="B151" s="49" t="s">
        <v>214</v>
      </c>
      <c r="C151" s="50" t="s">
        <v>56</v>
      </c>
      <c r="D151" s="50"/>
      <c r="E151" s="50"/>
      <c r="F151" s="50"/>
      <c r="G151" s="50"/>
      <c r="H151" s="50"/>
      <c r="I151" s="50"/>
      <c r="J151" s="43" t="s">
        <v>80</v>
      </c>
      <c r="K151" s="43" t="s">
        <v>822</v>
      </c>
      <c r="L151" s="43" t="s">
        <v>344</v>
      </c>
      <c r="M151" s="43" t="s">
        <v>469</v>
      </c>
      <c r="N151" s="53" t="s">
        <v>433</v>
      </c>
      <c r="O151" s="43" t="s">
        <v>12</v>
      </c>
      <c r="P151" s="43" t="s">
        <v>13</v>
      </c>
      <c r="Q151" s="43" t="s">
        <v>9</v>
      </c>
      <c r="R151" s="43"/>
      <c r="S151" s="51"/>
    </row>
    <row r="152" spans="1:19" ht="18" customHeight="1" x14ac:dyDescent="0.25">
      <c r="A152" s="38"/>
      <c r="B152" s="49"/>
      <c r="C152" s="31" t="s">
        <v>6</v>
      </c>
      <c r="D152" s="27">
        <f t="shared" ref="D152:G152" si="31">SUM(D153:D156)</f>
        <v>402482.37183990004</v>
      </c>
      <c r="E152" s="23">
        <f t="shared" si="31"/>
        <v>482.37183990000028</v>
      </c>
      <c r="F152" s="23">
        <f t="shared" si="31"/>
        <v>180900</v>
      </c>
      <c r="G152" s="23">
        <f t="shared" si="31"/>
        <v>221100</v>
      </c>
      <c r="H152" s="23"/>
      <c r="I152" s="23"/>
      <c r="J152" s="43"/>
      <c r="K152" s="43"/>
      <c r="L152" s="43"/>
      <c r="M152" s="43"/>
      <c r="N152" s="53"/>
      <c r="O152" s="43"/>
      <c r="P152" s="43"/>
      <c r="Q152" s="43"/>
      <c r="R152" s="43"/>
      <c r="S152" s="51"/>
    </row>
    <row r="153" spans="1:19" ht="18" customHeight="1" x14ac:dyDescent="0.25">
      <c r="A153" s="38"/>
      <c r="B153" s="49"/>
      <c r="C153" s="31" t="s">
        <v>0</v>
      </c>
      <c r="D153" s="27"/>
      <c r="E153" s="23"/>
      <c r="F153" s="23"/>
      <c r="G153" s="23"/>
      <c r="H153" s="23"/>
      <c r="I153" s="23"/>
      <c r="J153" s="43"/>
      <c r="K153" s="43"/>
      <c r="L153" s="43"/>
      <c r="M153" s="43"/>
      <c r="N153" s="53"/>
      <c r="O153" s="43"/>
      <c r="P153" s="43"/>
      <c r="Q153" s="43"/>
      <c r="R153" s="43"/>
      <c r="S153" s="51"/>
    </row>
    <row r="154" spans="1:19" ht="18" customHeight="1" x14ac:dyDescent="0.25">
      <c r="A154" s="38"/>
      <c r="B154" s="49"/>
      <c r="C154" s="31" t="s">
        <v>1</v>
      </c>
      <c r="D154" s="27">
        <f t="shared" ref="D154:D155" si="32">SUM(E154:I154)</f>
        <v>400479.97198000003</v>
      </c>
      <c r="E154" s="23">
        <f>21000-11000-9520.02802</f>
        <v>479.97198000000026</v>
      </c>
      <c r="F154" s="23">
        <v>180000</v>
      </c>
      <c r="G154" s="23">
        <v>220000</v>
      </c>
      <c r="H154" s="23"/>
      <c r="I154" s="23"/>
      <c r="J154" s="43"/>
      <c r="K154" s="43"/>
      <c r="L154" s="43"/>
      <c r="M154" s="43"/>
      <c r="N154" s="53"/>
      <c r="O154" s="43"/>
      <c r="P154" s="43"/>
      <c r="Q154" s="43"/>
      <c r="R154" s="43"/>
      <c r="S154" s="51"/>
    </row>
    <row r="155" spans="1:19" ht="18" customHeight="1" x14ac:dyDescent="0.25">
      <c r="A155" s="38"/>
      <c r="B155" s="49"/>
      <c r="C155" s="31" t="s">
        <v>2</v>
      </c>
      <c r="D155" s="27">
        <f t="shared" si="32"/>
        <v>2002.3998599000001</v>
      </c>
      <c r="E155" s="23">
        <f>E154/100*0.5</f>
        <v>2.3998599000000014</v>
      </c>
      <c r="F155" s="23">
        <f>F154/100*0.5</f>
        <v>900</v>
      </c>
      <c r="G155" s="23">
        <f>G154/100*0.5</f>
        <v>1100</v>
      </c>
      <c r="H155" s="23"/>
      <c r="I155" s="23"/>
      <c r="J155" s="43"/>
      <c r="K155" s="43"/>
      <c r="L155" s="43"/>
      <c r="M155" s="43"/>
      <c r="N155" s="53"/>
      <c r="O155" s="43"/>
      <c r="P155" s="43"/>
      <c r="Q155" s="43"/>
      <c r="R155" s="43"/>
      <c r="S155" s="51"/>
    </row>
    <row r="156" spans="1:19" ht="18" customHeight="1" x14ac:dyDescent="0.25">
      <c r="A156" s="38"/>
      <c r="B156" s="49"/>
      <c r="C156" s="31" t="s">
        <v>3</v>
      </c>
      <c r="D156" s="27"/>
      <c r="E156" s="23"/>
      <c r="F156" s="23"/>
      <c r="G156" s="23"/>
      <c r="H156" s="23"/>
      <c r="I156" s="23"/>
      <c r="J156" s="43"/>
      <c r="K156" s="43"/>
      <c r="L156" s="43"/>
      <c r="M156" s="43"/>
      <c r="N156" s="53"/>
      <c r="O156" s="43"/>
      <c r="P156" s="43"/>
      <c r="Q156" s="43"/>
      <c r="R156" s="43"/>
      <c r="S156" s="51"/>
    </row>
    <row r="157" spans="1:19" ht="18.75" customHeight="1" x14ac:dyDescent="0.25">
      <c r="A157" s="37" t="s">
        <v>23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</row>
    <row r="158" spans="1:19" ht="21.75" customHeight="1" x14ac:dyDescent="0.25">
      <c r="A158" s="38"/>
      <c r="B158" s="48" t="s">
        <v>590</v>
      </c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ht="19.5" customHeight="1" x14ac:dyDescent="0.25">
      <c r="A159" s="38"/>
      <c r="B159" s="49" t="s">
        <v>215</v>
      </c>
      <c r="C159" s="50" t="s">
        <v>57</v>
      </c>
      <c r="D159" s="50"/>
      <c r="E159" s="50"/>
      <c r="F159" s="50"/>
      <c r="G159" s="50"/>
      <c r="H159" s="50"/>
      <c r="I159" s="50"/>
      <c r="J159" s="43" t="s">
        <v>80</v>
      </c>
      <c r="K159" s="43" t="s">
        <v>822</v>
      </c>
      <c r="L159" s="43" t="s">
        <v>345</v>
      </c>
      <c r="M159" s="43" t="s">
        <v>469</v>
      </c>
      <c r="N159" s="53" t="s">
        <v>606</v>
      </c>
      <c r="O159" s="43" t="s">
        <v>12</v>
      </c>
      <c r="P159" s="43" t="s">
        <v>13</v>
      </c>
      <c r="Q159" s="43" t="s">
        <v>9</v>
      </c>
      <c r="R159" s="43"/>
      <c r="S159" s="51"/>
    </row>
    <row r="160" spans="1:19" ht="18" customHeight="1" x14ac:dyDescent="0.25">
      <c r="A160" s="38"/>
      <c r="B160" s="49"/>
      <c r="C160" s="31" t="s">
        <v>6</v>
      </c>
      <c r="D160" s="27">
        <f t="shared" ref="D160:G161" si="33">SUM(D161:D164)</f>
        <v>669767.20113000006</v>
      </c>
      <c r="E160" s="23">
        <f t="shared" si="33"/>
        <v>13283.600565000001</v>
      </c>
      <c r="F160" s="23">
        <f t="shared" si="33"/>
        <v>120600</v>
      </c>
      <c r="G160" s="23">
        <f t="shared" si="33"/>
        <v>201000</v>
      </c>
      <c r="H160" s="23"/>
      <c r="I160" s="23"/>
      <c r="J160" s="43"/>
      <c r="K160" s="43"/>
      <c r="L160" s="43"/>
      <c r="M160" s="43"/>
      <c r="N160" s="53"/>
      <c r="O160" s="43"/>
      <c r="P160" s="43"/>
      <c r="Q160" s="43"/>
      <c r="R160" s="43"/>
      <c r="S160" s="51"/>
    </row>
    <row r="161" spans="1:19" ht="18" customHeight="1" x14ac:dyDescent="0.25">
      <c r="A161" s="38"/>
      <c r="B161" s="49"/>
      <c r="C161" s="31" t="s">
        <v>0</v>
      </c>
      <c r="D161" s="27">
        <f t="shared" si="33"/>
        <v>334883.60056500003</v>
      </c>
      <c r="E161" s="25"/>
      <c r="F161" s="23"/>
      <c r="G161" s="23"/>
      <c r="H161" s="23"/>
      <c r="I161" s="23"/>
      <c r="J161" s="43"/>
      <c r="K161" s="43"/>
      <c r="L161" s="43"/>
      <c r="M161" s="43"/>
      <c r="N161" s="53"/>
      <c r="O161" s="43"/>
      <c r="P161" s="43"/>
      <c r="Q161" s="43"/>
      <c r="R161" s="43"/>
      <c r="S161" s="51"/>
    </row>
    <row r="162" spans="1:19" ht="18" customHeight="1" x14ac:dyDescent="0.25">
      <c r="A162" s="38"/>
      <c r="B162" s="49"/>
      <c r="C162" s="31" t="s">
        <v>1</v>
      </c>
      <c r="D162" s="27">
        <f t="shared" ref="D162:D163" si="34">SUM(E162:I162)</f>
        <v>333217.51300000004</v>
      </c>
      <c r="E162" s="23">
        <v>13217.513000000001</v>
      </c>
      <c r="F162" s="23">
        <v>120000</v>
      </c>
      <c r="G162" s="23">
        <v>200000</v>
      </c>
      <c r="H162" s="23"/>
      <c r="I162" s="23"/>
      <c r="J162" s="43"/>
      <c r="K162" s="43"/>
      <c r="L162" s="43"/>
      <c r="M162" s="43"/>
      <c r="N162" s="53"/>
      <c r="O162" s="43"/>
      <c r="P162" s="43"/>
      <c r="Q162" s="43"/>
      <c r="R162" s="43"/>
      <c r="S162" s="51"/>
    </row>
    <row r="163" spans="1:19" ht="18" customHeight="1" x14ac:dyDescent="0.25">
      <c r="A163" s="38"/>
      <c r="B163" s="49"/>
      <c r="C163" s="31" t="s">
        <v>2</v>
      </c>
      <c r="D163" s="27">
        <f t="shared" si="34"/>
        <v>1666.087565</v>
      </c>
      <c r="E163" s="23">
        <f>E162/100*0.5</f>
        <v>66.087564999999998</v>
      </c>
      <c r="F163" s="23">
        <f>F162/100*0.5</f>
        <v>600</v>
      </c>
      <c r="G163" s="23">
        <f>G162/100*0.5</f>
        <v>1000</v>
      </c>
      <c r="H163" s="23"/>
      <c r="I163" s="23"/>
      <c r="J163" s="43"/>
      <c r="K163" s="43"/>
      <c r="L163" s="43"/>
      <c r="M163" s="43"/>
      <c r="N163" s="53"/>
      <c r="O163" s="43"/>
      <c r="P163" s="43"/>
      <c r="Q163" s="43"/>
      <c r="R163" s="43"/>
      <c r="S163" s="51"/>
    </row>
    <row r="164" spans="1:19" ht="18" customHeight="1" x14ac:dyDescent="0.25">
      <c r="A164" s="38"/>
      <c r="B164" s="49"/>
      <c r="C164" s="31" t="s">
        <v>3</v>
      </c>
      <c r="D164" s="27"/>
      <c r="E164" s="23"/>
      <c r="F164" s="23"/>
      <c r="G164" s="23"/>
      <c r="H164" s="23"/>
      <c r="I164" s="23"/>
      <c r="J164" s="43"/>
      <c r="K164" s="43"/>
      <c r="L164" s="43"/>
      <c r="M164" s="43"/>
      <c r="N164" s="53"/>
      <c r="O164" s="43"/>
      <c r="P164" s="43"/>
      <c r="Q164" s="43"/>
      <c r="R164" s="43"/>
      <c r="S164" s="51"/>
    </row>
    <row r="165" spans="1:19" ht="18.75" customHeight="1" x14ac:dyDescent="0.25">
      <c r="A165" s="37" t="s">
        <v>23</v>
      </c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</row>
    <row r="166" spans="1:19" ht="21" customHeight="1" x14ac:dyDescent="0.25">
      <c r="A166" s="38"/>
      <c r="B166" s="48" t="s">
        <v>590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ht="18.75" customHeight="1" x14ac:dyDescent="0.25">
      <c r="A167" s="38"/>
      <c r="B167" s="49" t="s">
        <v>216</v>
      </c>
      <c r="C167" s="50" t="s">
        <v>39</v>
      </c>
      <c r="D167" s="50"/>
      <c r="E167" s="50"/>
      <c r="F167" s="50"/>
      <c r="G167" s="50"/>
      <c r="H167" s="50"/>
      <c r="I167" s="50"/>
      <c r="J167" s="43" t="s">
        <v>80</v>
      </c>
      <c r="K167" s="43" t="s">
        <v>821</v>
      </c>
      <c r="L167" s="43" t="s">
        <v>46</v>
      </c>
      <c r="M167" s="43" t="s">
        <v>423</v>
      </c>
      <c r="N167" s="53" t="s">
        <v>432</v>
      </c>
      <c r="O167" s="43" t="s">
        <v>17</v>
      </c>
      <c r="P167" s="43" t="s">
        <v>40</v>
      </c>
      <c r="Q167" s="43" t="s">
        <v>9</v>
      </c>
      <c r="R167" s="43"/>
      <c r="S167" s="51"/>
    </row>
    <row r="168" spans="1:19" ht="18" customHeight="1" x14ac:dyDescent="0.25">
      <c r="A168" s="38"/>
      <c r="B168" s="49"/>
      <c r="C168" s="31" t="s">
        <v>6</v>
      </c>
      <c r="D168" s="27">
        <f t="shared" ref="D168:G168" si="35">SUM(D169:D172)</f>
        <v>284180</v>
      </c>
      <c r="E168" s="23"/>
      <c r="F168" s="23">
        <f t="shared" si="35"/>
        <v>84180</v>
      </c>
      <c r="G168" s="23">
        <f t="shared" si="35"/>
        <v>200000</v>
      </c>
      <c r="H168" s="23"/>
      <c r="I168" s="23"/>
      <c r="J168" s="43"/>
      <c r="K168" s="43"/>
      <c r="L168" s="43"/>
      <c r="M168" s="43"/>
      <c r="N168" s="53"/>
      <c r="O168" s="43"/>
      <c r="P168" s="43"/>
      <c r="Q168" s="43"/>
      <c r="R168" s="43"/>
      <c r="S168" s="51"/>
    </row>
    <row r="169" spans="1:19" ht="18" customHeight="1" x14ac:dyDescent="0.25">
      <c r="A169" s="38"/>
      <c r="B169" s="49"/>
      <c r="C169" s="31" t="s">
        <v>0</v>
      </c>
      <c r="D169" s="27"/>
      <c r="E169" s="23"/>
      <c r="F169" s="23"/>
      <c r="G169" s="23"/>
      <c r="H169" s="23"/>
      <c r="I169" s="23"/>
      <c r="J169" s="43"/>
      <c r="K169" s="43"/>
      <c r="L169" s="43"/>
      <c r="M169" s="43"/>
      <c r="N169" s="53"/>
      <c r="O169" s="43"/>
      <c r="P169" s="43"/>
      <c r="Q169" s="43"/>
      <c r="R169" s="43"/>
      <c r="S169" s="51"/>
    </row>
    <row r="170" spans="1:19" ht="18" customHeight="1" x14ac:dyDescent="0.25">
      <c r="A170" s="38"/>
      <c r="B170" s="49"/>
      <c r="C170" s="31" t="s">
        <v>1</v>
      </c>
      <c r="D170" s="27">
        <f t="shared" ref="D170" si="36">SUM(E170:I170)</f>
        <v>284180</v>
      </c>
      <c r="E170" s="23"/>
      <c r="F170" s="23">
        <v>84180</v>
      </c>
      <c r="G170" s="23">
        <v>200000</v>
      </c>
      <c r="H170" s="23"/>
      <c r="I170" s="23"/>
      <c r="J170" s="43"/>
      <c r="K170" s="43"/>
      <c r="L170" s="43"/>
      <c r="M170" s="43"/>
      <c r="N170" s="53"/>
      <c r="O170" s="43"/>
      <c r="P170" s="43"/>
      <c r="Q170" s="43"/>
      <c r="R170" s="43"/>
      <c r="S170" s="51"/>
    </row>
    <row r="171" spans="1:19" ht="18" customHeight="1" x14ac:dyDescent="0.25">
      <c r="A171" s="38"/>
      <c r="B171" s="49"/>
      <c r="C171" s="31" t="s">
        <v>2</v>
      </c>
      <c r="D171" s="27"/>
      <c r="E171" s="23"/>
      <c r="F171" s="23"/>
      <c r="G171" s="23"/>
      <c r="H171" s="23"/>
      <c r="I171" s="23"/>
      <c r="J171" s="43"/>
      <c r="K171" s="43"/>
      <c r="L171" s="43"/>
      <c r="M171" s="43"/>
      <c r="N171" s="53"/>
      <c r="O171" s="43"/>
      <c r="P171" s="43"/>
      <c r="Q171" s="43"/>
      <c r="R171" s="43"/>
      <c r="S171" s="51"/>
    </row>
    <row r="172" spans="1:19" ht="18" customHeight="1" x14ac:dyDescent="0.25">
      <c r="A172" s="38"/>
      <c r="B172" s="49"/>
      <c r="C172" s="31" t="s">
        <v>3</v>
      </c>
      <c r="D172" s="27"/>
      <c r="E172" s="23"/>
      <c r="F172" s="23"/>
      <c r="G172" s="23"/>
      <c r="H172" s="23"/>
      <c r="I172" s="23"/>
      <c r="J172" s="43"/>
      <c r="K172" s="43"/>
      <c r="L172" s="43"/>
      <c r="M172" s="43"/>
      <c r="N172" s="53"/>
      <c r="O172" s="43"/>
      <c r="P172" s="43"/>
      <c r="Q172" s="43"/>
      <c r="R172" s="43"/>
      <c r="S172" s="51"/>
    </row>
    <row r="173" spans="1:19" ht="18.75" customHeight="1" x14ac:dyDescent="0.25">
      <c r="A173" s="37" t="s">
        <v>23</v>
      </c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</row>
    <row r="174" spans="1:19" ht="21" customHeight="1" x14ac:dyDescent="0.25">
      <c r="A174" s="38"/>
      <c r="B174" s="48" t="s">
        <v>590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ht="19.5" customHeight="1" x14ac:dyDescent="0.25">
      <c r="A175" s="38"/>
      <c r="B175" s="49" t="s">
        <v>217</v>
      </c>
      <c r="C175" s="50" t="s">
        <v>874</v>
      </c>
      <c r="D175" s="50"/>
      <c r="E175" s="50"/>
      <c r="F175" s="50"/>
      <c r="G175" s="50"/>
      <c r="H175" s="50"/>
      <c r="I175" s="50"/>
      <c r="J175" s="43" t="s">
        <v>11</v>
      </c>
      <c r="K175" s="43" t="s">
        <v>821</v>
      </c>
      <c r="L175" s="43" t="s">
        <v>846</v>
      </c>
      <c r="M175" s="43" t="s">
        <v>23</v>
      </c>
      <c r="N175" s="53" t="s">
        <v>849</v>
      </c>
      <c r="O175" s="43" t="s">
        <v>17</v>
      </c>
      <c r="P175" s="43" t="s">
        <v>36</v>
      </c>
      <c r="Q175" s="43" t="s">
        <v>44</v>
      </c>
      <c r="R175" s="43"/>
      <c r="S175" s="51"/>
    </row>
    <row r="176" spans="1:19" ht="18" customHeight="1" x14ac:dyDescent="0.25">
      <c r="A176" s="38"/>
      <c r="B176" s="49"/>
      <c r="C176" s="31" t="s">
        <v>6</v>
      </c>
      <c r="D176" s="27">
        <f t="shared" ref="D176:G176" si="37">SUM(D177:D180)</f>
        <v>138038.02632999999</v>
      </c>
      <c r="E176" s="23">
        <f t="shared" si="37"/>
        <v>38.026330000000598</v>
      </c>
      <c r="F176" s="23">
        <f t="shared" si="37"/>
        <v>68000</v>
      </c>
      <c r="G176" s="23">
        <f t="shared" si="37"/>
        <v>70000</v>
      </c>
      <c r="H176" s="23"/>
      <c r="I176" s="23"/>
      <c r="J176" s="43"/>
      <c r="K176" s="43"/>
      <c r="L176" s="43"/>
      <c r="M176" s="43"/>
      <c r="N176" s="53"/>
      <c r="O176" s="43"/>
      <c r="P176" s="43"/>
      <c r="Q176" s="43"/>
      <c r="R176" s="43"/>
      <c r="S176" s="51"/>
    </row>
    <row r="177" spans="1:19" ht="18" customHeight="1" x14ac:dyDescent="0.25">
      <c r="A177" s="38"/>
      <c r="B177" s="49"/>
      <c r="C177" s="31" t="s">
        <v>0</v>
      </c>
      <c r="D177" s="27"/>
      <c r="E177" s="23"/>
      <c r="F177" s="23"/>
      <c r="G177" s="23"/>
      <c r="H177" s="23"/>
      <c r="I177" s="23"/>
      <c r="J177" s="43"/>
      <c r="K177" s="43"/>
      <c r="L177" s="43"/>
      <c r="M177" s="43"/>
      <c r="N177" s="53"/>
      <c r="O177" s="43"/>
      <c r="P177" s="43"/>
      <c r="Q177" s="43"/>
      <c r="R177" s="43"/>
      <c r="S177" s="51"/>
    </row>
    <row r="178" spans="1:19" ht="18" customHeight="1" x14ac:dyDescent="0.25">
      <c r="A178" s="38"/>
      <c r="B178" s="49"/>
      <c r="C178" s="31" t="s">
        <v>1</v>
      </c>
      <c r="D178" s="27">
        <f t="shared" ref="D178" si="38">SUM(E178:I178)</f>
        <v>138038.02632999999</v>
      </c>
      <c r="E178" s="23">
        <f>13000-12961.97367</f>
        <v>38.026330000000598</v>
      </c>
      <c r="F178" s="23">
        <v>68000</v>
      </c>
      <c r="G178" s="23">
        <v>70000</v>
      </c>
      <c r="H178" s="23"/>
      <c r="I178" s="23"/>
      <c r="J178" s="43"/>
      <c r="K178" s="43"/>
      <c r="L178" s="43"/>
      <c r="M178" s="43"/>
      <c r="N178" s="53"/>
      <c r="O178" s="43"/>
      <c r="P178" s="43"/>
      <c r="Q178" s="43"/>
      <c r="R178" s="43"/>
      <c r="S178" s="51"/>
    </row>
    <row r="179" spans="1:19" ht="18" customHeight="1" x14ac:dyDescent="0.25">
      <c r="A179" s="38"/>
      <c r="B179" s="49"/>
      <c r="C179" s="31" t="s">
        <v>2</v>
      </c>
      <c r="D179" s="27"/>
      <c r="E179" s="23"/>
      <c r="F179" s="23"/>
      <c r="G179" s="23"/>
      <c r="H179" s="23"/>
      <c r="I179" s="23"/>
      <c r="J179" s="43"/>
      <c r="K179" s="43"/>
      <c r="L179" s="43"/>
      <c r="M179" s="43"/>
      <c r="N179" s="53"/>
      <c r="O179" s="43"/>
      <c r="P179" s="43"/>
      <c r="Q179" s="43"/>
      <c r="R179" s="43"/>
      <c r="S179" s="51"/>
    </row>
    <row r="180" spans="1:19" ht="18" customHeight="1" x14ac:dyDescent="0.25">
      <c r="A180" s="38"/>
      <c r="B180" s="49"/>
      <c r="C180" s="31" t="s">
        <v>3</v>
      </c>
      <c r="D180" s="27"/>
      <c r="E180" s="23"/>
      <c r="F180" s="23"/>
      <c r="G180" s="23"/>
      <c r="H180" s="23"/>
      <c r="I180" s="23"/>
      <c r="J180" s="43"/>
      <c r="K180" s="43"/>
      <c r="L180" s="43"/>
      <c r="M180" s="43"/>
      <c r="N180" s="53"/>
      <c r="O180" s="43"/>
      <c r="P180" s="43"/>
      <c r="Q180" s="43"/>
      <c r="R180" s="43"/>
      <c r="S180" s="51"/>
    </row>
    <row r="181" spans="1:19" ht="18.75" customHeight="1" x14ac:dyDescent="0.25">
      <c r="A181" s="37" t="s">
        <v>23</v>
      </c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</row>
    <row r="182" spans="1:19" ht="21" customHeight="1" x14ac:dyDescent="0.25">
      <c r="A182" s="38"/>
      <c r="B182" s="48" t="s">
        <v>590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ht="18.75" customHeight="1" x14ac:dyDescent="0.25">
      <c r="A183" s="38"/>
      <c r="B183" s="49" t="s">
        <v>218</v>
      </c>
      <c r="C183" s="50" t="s">
        <v>607</v>
      </c>
      <c r="D183" s="50"/>
      <c r="E183" s="50"/>
      <c r="F183" s="50"/>
      <c r="G183" s="50"/>
      <c r="H183" s="50"/>
      <c r="I183" s="50"/>
      <c r="J183" s="43" t="s">
        <v>11</v>
      </c>
      <c r="K183" s="43" t="s">
        <v>821</v>
      </c>
      <c r="L183" s="43" t="s">
        <v>48</v>
      </c>
      <c r="M183" s="43" t="s">
        <v>23</v>
      </c>
      <c r="N183" s="53" t="s">
        <v>434</v>
      </c>
      <c r="O183" s="43" t="s">
        <v>17</v>
      </c>
      <c r="P183" s="43" t="s">
        <v>4</v>
      </c>
      <c r="Q183" s="43" t="s">
        <v>44</v>
      </c>
      <c r="R183" s="43"/>
      <c r="S183" s="51"/>
    </row>
    <row r="184" spans="1:19" ht="18" customHeight="1" x14ac:dyDescent="0.25">
      <c r="A184" s="38"/>
      <c r="B184" s="49"/>
      <c r="C184" s="31" t="s">
        <v>6</v>
      </c>
      <c r="D184" s="27">
        <f t="shared" ref="D184:G184" si="39">SUM(D185:D188)</f>
        <v>156700</v>
      </c>
      <c r="E184" s="23">
        <f t="shared" si="39"/>
        <v>6700</v>
      </c>
      <c r="F184" s="23">
        <f t="shared" si="39"/>
        <v>100000</v>
      </c>
      <c r="G184" s="23">
        <f t="shared" si="39"/>
        <v>50000</v>
      </c>
      <c r="H184" s="23"/>
      <c r="I184" s="23"/>
      <c r="J184" s="43"/>
      <c r="K184" s="43"/>
      <c r="L184" s="43"/>
      <c r="M184" s="43"/>
      <c r="N184" s="53"/>
      <c r="O184" s="43"/>
      <c r="P184" s="43"/>
      <c r="Q184" s="43"/>
      <c r="R184" s="43"/>
      <c r="S184" s="51"/>
    </row>
    <row r="185" spans="1:19" ht="18" customHeight="1" x14ac:dyDescent="0.25">
      <c r="A185" s="38"/>
      <c r="B185" s="49"/>
      <c r="C185" s="31" t="s">
        <v>0</v>
      </c>
      <c r="D185" s="27"/>
      <c r="E185" s="23"/>
      <c r="F185" s="23"/>
      <c r="G185" s="23"/>
      <c r="H185" s="23"/>
      <c r="I185" s="23"/>
      <c r="J185" s="43"/>
      <c r="K185" s="43"/>
      <c r="L185" s="43"/>
      <c r="M185" s="43"/>
      <c r="N185" s="53"/>
      <c r="O185" s="43"/>
      <c r="P185" s="43"/>
      <c r="Q185" s="43"/>
      <c r="R185" s="43"/>
      <c r="S185" s="51"/>
    </row>
    <row r="186" spans="1:19" ht="18" customHeight="1" x14ac:dyDescent="0.25">
      <c r="A186" s="38"/>
      <c r="B186" s="49"/>
      <c r="C186" s="31" t="s">
        <v>1</v>
      </c>
      <c r="D186" s="27">
        <f t="shared" ref="D186" si="40">SUM(E186:I186)</f>
        <v>156700</v>
      </c>
      <c r="E186" s="23">
        <v>6700</v>
      </c>
      <c r="F186" s="23">
        <v>100000</v>
      </c>
      <c r="G186" s="23">
        <v>50000</v>
      </c>
      <c r="H186" s="23"/>
      <c r="I186" s="23"/>
      <c r="J186" s="43"/>
      <c r="K186" s="43"/>
      <c r="L186" s="43"/>
      <c r="M186" s="43"/>
      <c r="N186" s="53"/>
      <c r="O186" s="43"/>
      <c r="P186" s="43"/>
      <c r="Q186" s="43"/>
      <c r="R186" s="43"/>
      <c r="S186" s="51"/>
    </row>
    <row r="187" spans="1:19" ht="18" customHeight="1" x14ac:dyDescent="0.25">
      <c r="A187" s="38"/>
      <c r="B187" s="49"/>
      <c r="C187" s="31" t="s">
        <v>2</v>
      </c>
      <c r="D187" s="27"/>
      <c r="E187" s="23"/>
      <c r="F187" s="23"/>
      <c r="G187" s="23"/>
      <c r="H187" s="23"/>
      <c r="I187" s="23"/>
      <c r="J187" s="43"/>
      <c r="K187" s="43"/>
      <c r="L187" s="43"/>
      <c r="M187" s="43"/>
      <c r="N187" s="53"/>
      <c r="O187" s="43"/>
      <c r="P187" s="43"/>
      <c r="Q187" s="43"/>
      <c r="R187" s="43"/>
      <c r="S187" s="51"/>
    </row>
    <row r="188" spans="1:19" ht="18" customHeight="1" x14ac:dyDescent="0.25">
      <c r="A188" s="38"/>
      <c r="B188" s="49"/>
      <c r="C188" s="31" t="s">
        <v>3</v>
      </c>
      <c r="D188" s="27"/>
      <c r="E188" s="23"/>
      <c r="F188" s="23"/>
      <c r="G188" s="23"/>
      <c r="H188" s="23"/>
      <c r="I188" s="23"/>
      <c r="J188" s="43"/>
      <c r="K188" s="43"/>
      <c r="L188" s="43"/>
      <c r="M188" s="43"/>
      <c r="N188" s="53"/>
      <c r="O188" s="43"/>
      <c r="P188" s="43"/>
      <c r="Q188" s="43"/>
      <c r="R188" s="43"/>
      <c r="S188" s="51"/>
    </row>
    <row r="189" spans="1:19" ht="18.75" customHeight="1" x14ac:dyDescent="0.25">
      <c r="A189" s="37" t="s">
        <v>23</v>
      </c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</row>
    <row r="190" spans="1:19" ht="21" customHeight="1" x14ac:dyDescent="0.25">
      <c r="A190" s="38"/>
      <c r="B190" s="48" t="s">
        <v>590</v>
      </c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ht="18.75" customHeight="1" x14ac:dyDescent="0.25">
      <c r="A191" s="38"/>
      <c r="B191" s="49" t="s">
        <v>219</v>
      </c>
      <c r="C191" s="50" t="s">
        <v>610</v>
      </c>
      <c r="D191" s="50"/>
      <c r="E191" s="50"/>
      <c r="F191" s="50"/>
      <c r="G191" s="50"/>
      <c r="H191" s="50"/>
      <c r="I191" s="50"/>
      <c r="J191" s="43" t="s">
        <v>15</v>
      </c>
      <c r="K191" s="43" t="s">
        <v>822</v>
      </c>
      <c r="L191" s="43" t="s">
        <v>141</v>
      </c>
      <c r="M191" s="43" t="s">
        <v>481</v>
      </c>
      <c r="N191" s="53"/>
      <c r="O191" s="43" t="s">
        <v>12</v>
      </c>
      <c r="P191" s="43" t="s">
        <v>18</v>
      </c>
      <c r="Q191" s="43" t="s">
        <v>9</v>
      </c>
      <c r="R191" s="43"/>
      <c r="S191" s="51"/>
    </row>
    <row r="192" spans="1:19" ht="18" customHeight="1" x14ac:dyDescent="0.25">
      <c r="A192" s="38"/>
      <c r="B192" s="49"/>
      <c r="C192" s="31" t="s">
        <v>6</v>
      </c>
      <c r="D192" s="27">
        <f>D194</f>
        <v>4523.3454700000002</v>
      </c>
      <c r="E192" s="27">
        <f>E194</f>
        <v>4523.3454700000002</v>
      </c>
      <c r="F192" s="23"/>
      <c r="G192" s="23"/>
      <c r="H192" s="23"/>
      <c r="I192" s="23"/>
      <c r="J192" s="43"/>
      <c r="K192" s="43"/>
      <c r="L192" s="43"/>
      <c r="M192" s="43"/>
      <c r="N192" s="53"/>
      <c r="O192" s="43"/>
      <c r="P192" s="43"/>
      <c r="Q192" s="43"/>
      <c r="R192" s="43"/>
      <c r="S192" s="51"/>
    </row>
    <row r="193" spans="1:19" ht="18" customHeight="1" x14ac:dyDescent="0.25">
      <c r="A193" s="38"/>
      <c r="B193" s="49"/>
      <c r="C193" s="31" t="s">
        <v>0</v>
      </c>
      <c r="D193" s="27"/>
      <c r="E193" s="23"/>
      <c r="F193" s="23"/>
      <c r="G193" s="23"/>
      <c r="H193" s="23"/>
      <c r="I193" s="23"/>
      <c r="J193" s="43"/>
      <c r="K193" s="43"/>
      <c r="L193" s="43"/>
      <c r="M193" s="43"/>
      <c r="N193" s="53"/>
      <c r="O193" s="43"/>
      <c r="P193" s="43"/>
      <c r="Q193" s="43"/>
      <c r="R193" s="43"/>
      <c r="S193" s="51"/>
    </row>
    <row r="194" spans="1:19" ht="18" customHeight="1" x14ac:dyDescent="0.25">
      <c r="A194" s="38"/>
      <c r="B194" s="49"/>
      <c r="C194" s="31" t="s">
        <v>1</v>
      </c>
      <c r="D194" s="27">
        <f>E194</f>
        <v>4523.3454700000002</v>
      </c>
      <c r="E194" s="23">
        <v>4523.3454700000002</v>
      </c>
      <c r="F194" s="23"/>
      <c r="G194" s="23"/>
      <c r="H194" s="23"/>
      <c r="I194" s="23"/>
      <c r="J194" s="43"/>
      <c r="K194" s="43"/>
      <c r="L194" s="43"/>
      <c r="M194" s="43"/>
      <c r="N194" s="53"/>
      <c r="O194" s="43"/>
      <c r="P194" s="43"/>
      <c r="Q194" s="43"/>
      <c r="R194" s="43"/>
      <c r="S194" s="51"/>
    </row>
    <row r="195" spans="1:19" ht="18" customHeight="1" x14ac:dyDescent="0.25">
      <c r="A195" s="38"/>
      <c r="B195" s="49"/>
      <c r="C195" s="31" t="s">
        <v>2</v>
      </c>
      <c r="D195" s="27"/>
      <c r="E195" s="23"/>
      <c r="F195" s="23"/>
      <c r="G195" s="23"/>
      <c r="H195" s="23"/>
      <c r="I195" s="23"/>
      <c r="J195" s="43"/>
      <c r="K195" s="43"/>
      <c r="L195" s="43"/>
      <c r="M195" s="43"/>
      <c r="N195" s="53"/>
      <c r="O195" s="43"/>
      <c r="P195" s="43"/>
      <c r="Q195" s="43"/>
      <c r="R195" s="43"/>
      <c r="S195" s="51"/>
    </row>
    <row r="196" spans="1:19" ht="18" customHeight="1" x14ac:dyDescent="0.25">
      <c r="A196" s="38"/>
      <c r="B196" s="49"/>
      <c r="C196" s="31" t="s">
        <v>3</v>
      </c>
      <c r="D196" s="27"/>
      <c r="E196" s="23"/>
      <c r="F196" s="23"/>
      <c r="G196" s="23"/>
      <c r="H196" s="23"/>
      <c r="I196" s="23"/>
      <c r="J196" s="43"/>
      <c r="K196" s="43"/>
      <c r="L196" s="43"/>
      <c r="M196" s="43"/>
      <c r="N196" s="53"/>
      <c r="O196" s="43"/>
      <c r="P196" s="43"/>
      <c r="Q196" s="43"/>
      <c r="R196" s="43"/>
      <c r="S196" s="51"/>
    </row>
    <row r="197" spans="1:19" ht="18.75" customHeight="1" x14ac:dyDescent="0.25">
      <c r="A197" s="37" t="s">
        <v>23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</row>
    <row r="198" spans="1:19" ht="21" customHeight="1" x14ac:dyDescent="0.25">
      <c r="A198" s="38"/>
      <c r="B198" s="48" t="s">
        <v>590</v>
      </c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ht="18.75" customHeight="1" x14ac:dyDescent="0.25">
      <c r="A199" s="38"/>
      <c r="B199" s="49" t="s">
        <v>609</v>
      </c>
      <c r="C199" s="50" t="s">
        <v>834</v>
      </c>
      <c r="D199" s="50"/>
      <c r="E199" s="50"/>
      <c r="F199" s="50"/>
      <c r="G199" s="50"/>
      <c r="H199" s="50"/>
      <c r="I199" s="50"/>
      <c r="J199" s="43" t="s">
        <v>15</v>
      </c>
      <c r="K199" s="43" t="s">
        <v>821</v>
      </c>
      <c r="L199" s="43"/>
      <c r="M199" s="43" t="s">
        <v>23</v>
      </c>
      <c r="N199" s="53" t="s">
        <v>833</v>
      </c>
      <c r="O199" s="43" t="s">
        <v>17</v>
      </c>
      <c r="P199" s="43" t="s">
        <v>18</v>
      </c>
      <c r="Q199" s="43" t="s">
        <v>44</v>
      </c>
      <c r="R199" s="43"/>
      <c r="S199" s="51"/>
    </row>
    <row r="200" spans="1:19" ht="18" customHeight="1" x14ac:dyDescent="0.25">
      <c r="A200" s="38"/>
      <c r="B200" s="49"/>
      <c r="C200" s="31" t="s">
        <v>6</v>
      </c>
      <c r="D200" s="27">
        <f>D202</f>
        <v>500</v>
      </c>
      <c r="E200" s="27">
        <f>E202</f>
        <v>500</v>
      </c>
      <c r="F200" s="23"/>
      <c r="G200" s="23"/>
      <c r="H200" s="23"/>
      <c r="I200" s="23"/>
      <c r="J200" s="43"/>
      <c r="K200" s="43"/>
      <c r="L200" s="43"/>
      <c r="M200" s="43"/>
      <c r="N200" s="53"/>
      <c r="O200" s="43"/>
      <c r="P200" s="43"/>
      <c r="Q200" s="43"/>
      <c r="R200" s="43"/>
      <c r="S200" s="51"/>
    </row>
    <row r="201" spans="1:19" ht="18" customHeight="1" x14ac:dyDescent="0.25">
      <c r="A201" s="38"/>
      <c r="B201" s="49"/>
      <c r="C201" s="31" t="s">
        <v>0</v>
      </c>
      <c r="D201" s="27"/>
      <c r="E201" s="23"/>
      <c r="F201" s="23"/>
      <c r="G201" s="23"/>
      <c r="H201" s="23"/>
      <c r="I201" s="23"/>
      <c r="J201" s="43"/>
      <c r="K201" s="43"/>
      <c r="L201" s="43"/>
      <c r="M201" s="43"/>
      <c r="N201" s="53"/>
      <c r="O201" s="43"/>
      <c r="P201" s="43"/>
      <c r="Q201" s="43"/>
      <c r="R201" s="43"/>
      <c r="S201" s="51"/>
    </row>
    <row r="202" spans="1:19" ht="18" customHeight="1" x14ac:dyDescent="0.25">
      <c r="A202" s="38"/>
      <c r="B202" s="49"/>
      <c r="C202" s="31" t="s">
        <v>1</v>
      </c>
      <c r="D202" s="27">
        <f>E202</f>
        <v>500</v>
      </c>
      <c r="E202" s="23">
        <f>2500-2000</f>
        <v>500</v>
      </c>
      <c r="F202" s="23"/>
      <c r="G202" s="23"/>
      <c r="H202" s="23"/>
      <c r="I202" s="23"/>
      <c r="J202" s="43"/>
      <c r="K202" s="43"/>
      <c r="L202" s="43"/>
      <c r="M202" s="43"/>
      <c r="N202" s="53"/>
      <c r="O202" s="43"/>
      <c r="P202" s="43"/>
      <c r="Q202" s="43"/>
      <c r="R202" s="43"/>
      <c r="S202" s="51"/>
    </row>
    <row r="203" spans="1:19" ht="18" customHeight="1" x14ac:dyDescent="0.25">
      <c r="A203" s="38"/>
      <c r="B203" s="49"/>
      <c r="C203" s="31" t="s">
        <v>2</v>
      </c>
      <c r="D203" s="27"/>
      <c r="E203" s="23"/>
      <c r="F203" s="23"/>
      <c r="G203" s="23"/>
      <c r="H203" s="23"/>
      <c r="I203" s="23"/>
      <c r="J203" s="43"/>
      <c r="K203" s="43"/>
      <c r="L203" s="43"/>
      <c r="M203" s="43"/>
      <c r="N203" s="53"/>
      <c r="O203" s="43"/>
      <c r="P203" s="43"/>
      <c r="Q203" s="43"/>
      <c r="R203" s="43"/>
      <c r="S203" s="51"/>
    </row>
    <row r="204" spans="1:19" ht="18" customHeight="1" x14ac:dyDescent="0.25">
      <c r="A204" s="38"/>
      <c r="B204" s="49"/>
      <c r="C204" s="31" t="s">
        <v>3</v>
      </c>
      <c r="D204" s="27"/>
      <c r="E204" s="23"/>
      <c r="F204" s="23"/>
      <c r="G204" s="23"/>
      <c r="H204" s="23"/>
      <c r="I204" s="23"/>
      <c r="J204" s="43"/>
      <c r="K204" s="43"/>
      <c r="L204" s="43"/>
      <c r="M204" s="43"/>
      <c r="N204" s="53"/>
      <c r="O204" s="43"/>
      <c r="P204" s="43"/>
      <c r="Q204" s="43"/>
      <c r="R204" s="43"/>
      <c r="S204" s="51"/>
    </row>
    <row r="205" spans="1:19" ht="18.75" customHeight="1" x14ac:dyDescent="0.25">
      <c r="A205" s="37" t="s">
        <v>23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</row>
    <row r="206" spans="1:19" ht="21" customHeight="1" x14ac:dyDescent="0.25">
      <c r="A206" s="38"/>
      <c r="B206" s="48" t="s">
        <v>590</v>
      </c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ht="18.75" customHeight="1" x14ac:dyDescent="0.25">
      <c r="A207" s="38"/>
      <c r="B207" s="49" t="s">
        <v>1056</v>
      </c>
      <c r="C207" s="50" t="s">
        <v>835</v>
      </c>
      <c r="D207" s="50"/>
      <c r="E207" s="50"/>
      <c r="F207" s="50"/>
      <c r="G207" s="50"/>
      <c r="H207" s="50"/>
      <c r="I207" s="50"/>
      <c r="J207" s="43" t="s">
        <v>15</v>
      </c>
      <c r="K207" s="43" t="s">
        <v>821</v>
      </c>
      <c r="L207" s="43"/>
      <c r="M207" s="43" t="s">
        <v>23</v>
      </c>
      <c r="N207" s="53" t="s">
        <v>833</v>
      </c>
      <c r="O207" s="43" t="s">
        <v>17</v>
      </c>
      <c r="P207" s="43" t="s">
        <v>19</v>
      </c>
      <c r="Q207" s="43" t="s">
        <v>44</v>
      </c>
      <c r="R207" s="43"/>
      <c r="S207" s="51"/>
    </row>
    <row r="208" spans="1:19" ht="18" customHeight="1" x14ac:dyDescent="0.25">
      <c r="A208" s="38"/>
      <c r="B208" s="49"/>
      <c r="C208" s="31" t="s">
        <v>6</v>
      </c>
      <c r="D208" s="27">
        <f>D210</f>
        <v>500</v>
      </c>
      <c r="E208" s="27">
        <f>E210</f>
        <v>500</v>
      </c>
      <c r="F208" s="23"/>
      <c r="G208" s="23"/>
      <c r="H208" s="23"/>
      <c r="I208" s="23"/>
      <c r="J208" s="43"/>
      <c r="K208" s="43"/>
      <c r="L208" s="43"/>
      <c r="M208" s="43"/>
      <c r="N208" s="53"/>
      <c r="O208" s="43"/>
      <c r="P208" s="43"/>
      <c r="Q208" s="43"/>
      <c r="R208" s="43"/>
      <c r="S208" s="51"/>
    </row>
    <row r="209" spans="1:19" ht="18" customHeight="1" x14ac:dyDescent="0.25">
      <c r="A209" s="38"/>
      <c r="B209" s="49"/>
      <c r="C209" s="31" t="s">
        <v>0</v>
      </c>
      <c r="D209" s="27"/>
      <c r="E209" s="23"/>
      <c r="F209" s="23"/>
      <c r="G209" s="23"/>
      <c r="H209" s="23"/>
      <c r="I209" s="23"/>
      <c r="J209" s="43"/>
      <c r="K209" s="43"/>
      <c r="L209" s="43"/>
      <c r="M209" s="43"/>
      <c r="N209" s="53"/>
      <c r="O209" s="43"/>
      <c r="P209" s="43"/>
      <c r="Q209" s="43"/>
      <c r="R209" s="43"/>
      <c r="S209" s="51"/>
    </row>
    <row r="210" spans="1:19" ht="18" customHeight="1" x14ac:dyDescent="0.25">
      <c r="A210" s="38"/>
      <c r="B210" s="49"/>
      <c r="C210" s="31" t="s">
        <v>1</v>
      </c>
      <c r="D210" s="27">
        <f>E210</f>
        <v>500</v>
      </c>
      <c r="E210" s="23">
        <f>2500-2000</f>
        <v>500</v>
      </c>
      <c r="F210" s="23"/>
      <c r="G210" s="23"/>
      <c r="H210" s="23"/>
      <c r="I210" s="23"/>
      <c r="J210" s="43"/>
      <c r="K210" s="43"/>
      <c r="L210" s="43"/>
      <c r="M210" s="43"/>
      <c r="N210" s="53"/>
      <c r="O210" s="43"/>
      <c r="P210" s="43"/>
      <c r="Q210" s="43"/>
      <c r="R210" s="43"/>
      <c r="S210" s="51"/>
    </row>
    <row r="211" spans="1:19" ht="18" customHeight="1" x14ac:dyDescent="0.25">
      <c r="A211" s="38"/>
      <c r="B211" s="49"/>
      <c r="C211" s="31" t="s">
        <v>2</v>
      </c>
      <c r="D211" s="27"/>
      <c r="E211" s="23"/>
      <c r="F211" s="23"/>
      <c r="G211" s="23"/>
      <c r="H211" s="23"/>
      <c r="I211" s="23"/>
      <c r="J211" s="43"/>
      <c r="K211" s="43"/>
      <c r="L211" s="43"/>
      <c r="M211" s="43"/>
      <c r="N211" s="53"/>
      <c r="O211" s="43"/>
      <c r="P211" s="43"/>
      <c r="Q211" s="43"/>
      <c r="R211" s="43"/>
      <c r="S211" s="51"/>
    </row>
    <row r="212" spans="1:19" ht="18" customHeight="1" x14ac:dyDescent="0.25">
      <c r="A212" s="38"/>
      <c r="B212" s="49"/>
      <c r="C212" s="31" t="s">
        <v>3</v>
      </c>
      <c r="D212" s="27"/>
      <c r="E212" s="23"/>
      <c r="F212" s="23"/>
      <c r="G212" s="23"/>
      <c r="H212" s="23"/>
      <c r="I212" s="23"/>
      <c r="J212" s="43"/>
      <c r="K212" s="43"/>
      <c r="L212" s="43"/>
      <c r="M212" s="43"/>
      <c r="N212" s="53"/>
      <c r="O212" s="43"/>
      <c r="P212" s="43"/>
      <c r="Q212" s="43"/>
      <c r="R212" s="43"/>
      <c r="S212" s="51"/>
    </row>
    <row r="213" spans="1:19" ht="21" customHeight="1" x14ac:dyDescent="0.25">
      <c r="A213" s="54" t="s">
        <v>207</v>
      </c>
      <c r="B213" s="65" t="s">
        <v>183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</row>
    <row r="214" spans="1:19" ht="18" customHeight="1" x14ac:dyDescent="0.25">
      <c r="A214" s="54"/>
      <c r="B214" s="56" t="s">
        <v>6</v>
      </c>
      <c r="C214" s="56"/>
      <c r="D214" s="16">
        <f t="shared" ref="D214" si="41">SUM(D215:D218)</f>
        <v>80139.159579999978</v>
      </c>
      <c r="E214" s="16">
        <f>E222+E238+E246+E254+E262+E270+E230+E278</f>
        <v>71147.059580000001</v>
      </c>
      <c r="F214" s="16">
        <f t="shared" ref="F214:G216" si="42">F222+F238+F246+F254+F262+F270+F230</f>
        <v>4499.7</v>
      </c>
      <c r="G214" s="16">
        <f t="shared" si="42"/>
        <v>4492.3999999999996</v>
      </c>
      <c r="H214" s="16"/>
      <c r="I214" s="16"/>
      <c r="J214" s="26"/>
      <c r="K214" s="26"/>
      <c r="L214" s="26"/>
      <c r="M214" s="26"/>
      <c r="N214" s="26"/>
      <c r="O214" s="26"/>
      <c r="P214" s="26"/>
      <c r="Q214" s="26"/>
      <c r="R214" s="26"/>
      <c r="S214" s="26"/>
    </row>
    <row r="215" spans="1:19" ht="18" customHeight="1" x14ac:dyDescent="0.25">
      <c r="A215" s="54"/>
      <c r="B215" s="56" t="s">
        <v>0</v>
      </c>
      <c r="C215" s="56"/>
      <c r="D215" s="16">
        <f>SUM(E215:I215)</f>
        <v>10466.4</v>
      </c>
      <c r="E215" s="16">
        <f t="shared" ref="E215:E216" si="43">E223+E239+E247+E255+E263+E271+E231+E279</f>
        <v>3495.7</v>
      </c>
      <c r="F215" s="16">
        <f t="shared" si="42"/>
        <v>3489</v>
      </c>
      <c r="G215" s="16">
        <f t="shared" si="42"/>
        <v>3481.7</v>
      </c>
      <c r="H215" s="16"/>
      <c r="I215" s="16"/>
      <c r="J215" s="26"/>
      <c r="K215" s="26"/>
      <c r="L215" s="26"/>
      <c r="M215" s="26"/>
      <c r="N215" s="26"/>
      <c r="O215" s="26"/>
      <c r="P215" s="26"/>
      <c r="Q215" s="26"/>
      <c r="R215" s="26"/>
      <c r="S215" s="26"/>
    </row>
    <row r="216" spans="1:19" ht="18" customHeight="1" x14ac:dyDescent="0.25">
      <c r="A216" s="54"/>
      <c r="B216" s="56" t="s">
        <v>1</v>
      </c>
      <c r="C216" s="56"/>
      <c r="D216" s="16">
        <f>SUM(E216:I216)</f>
        <v>69672.759579999984</v>
      </c>
      <c r="E216" s="16">
        <f t="shared" si="43"/>
        <v>67651.359579999989</v>
      </c>
      <c r="F216" s="16">
        <f t="shared" si="42"/>
        <v>1010.7</v>
      </c>
      <c r="G216" s="16">
        <f t="shared" si="42"/>
        <v>1010.7</v>
      </c>
      <c r="H216" s="16"/>
      <c r="I216" s="16"/>
      <c r="J216" s="26"/>
      <c r="K216" s="26"/>
      <c r="L216" s="26"/>
      <c r="M216" s="26"/>
      <c r="N216" s="26"/>
      <c r="O216" s="26"/>
      <c r="P216" s="26"/>
      <c r="Q216" s="26"/>
      <c r="R216" s="26"/>
      <c r="S216" s="26"/>
    </row>
    <row r="217" spans="1:19" ht="18" customHeight="1" x14ac:dyDescent="0.25">
      <c r="A217" s="54"/>
      <c r="B217" s="56" t="s">
        <v>2</v>
      </c>
      <c r="C217" s="56"/>
      <c r="D217" s="16"/>
      <c r="E217" s="16"/>
      <c r="F217" s="16"/>
      <c r="G217" s="16"/>
      <c r="H217" s="16"/>
      <c r="I217" s="16"/>
      <c r="J217" s="26"/>
      <c r="K217" s="26"/>
      <c r="L217" s="26"/>
      <c r="M217" s="26"/>
      <c r="N217" s="26"/>
      <c r="O217" s="26"/>
      <c r="P217" s="26"/>
      <c r="Q217" s="26"/>
      <c r="R217" s="26"/>
      <c r="S217" s="26"/>
    </row>
    <row r="218" spans="1:19" ht="18" customHeight="1" x14ac:dyDescent="0.25">
      <c r="A218" s="54"/>
      <c r="B218" s="56" t="s">
        <v>3</v>
      </c>
      <c r="C218" s="56"/>
      <c r="D218" s="16"/>
      <c r="E218" s="16"/>
      <c r="F218" s="16"/>
      <c r="G218" s="16"/>
      <c r="H218" s="16"/>
      <c r="I218" s="16"/>
      <c r="J218" s="26"/>
      <c r="K218" s="26"/>
      <c r="L218" s="26"/>
      <c r="M218" s="26"/>
      <c r="N218" s="26"/>
      <c r="O218" s="26"/>
      <c r="P218" s="26"/>
      <c r="Q218" s="26"/>
      <c r="R218" s="26"/>
      <c r="S218" s="26"/>
    </row>
    <row r="219" spans="1:19" ht="18.75" customHeight="1" x14ac:dyDescent="0.25">
      <c r="A219" s="37" t="s">
        <v>182</v>
      </c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</row>
    <row r="220" spans="1:19" ht="21" customHeight="1" x14ac:dyDescent="0.25">
      <c r="A220" s="38"/>
      <c r="B220" s="48" t="s">
        <v>589</v>
      </c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ht="33.75" customHeight="1" x14ac:dyDescent="0.25">
      <c r="A221" s="38"/>
      <c r="B221" s="49" t="s">
        <v>221</v>
      </c>
      <c r="C221" s="50" t="s">
        <v>878</v>
      </c>
      <c r="D221" s="50"/>
      <c r="E221" s="50"/>
      <c r="F221" s="50"/>
      <c r="G221" s="50"/>
      <c r="H221" s="50"/>
      <c r="I221" s="50"/>
      <c r="J221" s="43" t="s">
        <v>11</v>
      </c>
      <c r="K221" s="43" t="s">
        <v>819</v>
      </c>
      <c r="L221" s="43"/>
      <c r="M221" s="43" t="s">
        <v>182</v>
      </c>
      <c r="N221" s="43" t="s">
        <v>470</v>
      </c>
      <c r="O221" s="43" t="s">
        <v>17</v>
      </c>
      <c r="P221" s="43" t="s">
        <v>803</v>
      </c>
      <c r="Q221" s="43" t="s">
        <v>9</v>
      </c>
      <c r="R221" s="43"/>
      <c r="S221" s="51"/>
    </row>
    <row r="222" spans="1:19" ht="18.75" customHeight="1" x14ac:dyDescent="0.25">
      <c r="A222" s="38"/>
      <c r="B222" s="49"/>
      <c r="C222" s="31" t="s">
        <v>6</v>
      </c>
      <c r="D222" s="27">
        <f>SUM(D223:D226)</f>
        <v>3821.3999999999996</v>
      </c>
      <c r="E222" s="23">
        <f t="shared" ref="E222:G222" si="44">SUM(E223:E226)</f>
        <v>1800</v>
      </c>
      <c r="F222" s="23">
        <f t="shared" si="44"/>
        <v>1010.7</v>
      </c>
      <c r="G222" s="23">
        <f t="shared" si="44"/>
        <v>1010.7</v>
      </c>
      <c r="H222" s="23"/>
      <c r="I222" s="23"/>
      <c r="J222" s="43"/>
      <c r="K222" s="43"/>
      <c r="L222" s="43"/>
      <c r="M222" s="43"/>
      <c r="N222" s="43"/>
      <c r="O222" s="43"/>
      <c r="P222" s="43"/>
      <c r="Q222" s="43"/>
      <c r="R222" s="43"/>
      <c r="S222" s="51"/>
    </row>
    <row r="223" spans="1:19" ht="18.75" customHeight="1" x14ac:dyDescent="0.25">
      <c r="A223" s="38"/>
      <c r="B223" s="49"/>
      <c r="C223" s="31" t="s">
        <v>0</v>
      </c>
      <c r="D223" s="27"/>
      <c r="E223" s="23"/>
      <c r="F223" s="23"/>
      <c r="G223" s="23"/>
      <c r="H223" s="23"/>
      <c r="I223" s="23"/>
      <c r="J223" s="43"/>
      <c r="K223" s="43"/>
      <c r="L223" s="43"/>
      <c r="M223" s="43"/>
      <c r="N223" s="43"/>
      <c r="O223" s="43"/>
      <c r="P223" s="43"/>
      <c r="Q223" s="43"/>
      <c r="R223" s="43"/>
      <c r="S223" s="51"/>
    </row>
    <row r="224" spans="1:19" ht="18.75" customHeight="1" x14ac:dyDescent="0.25">
      <c r="A224" s="38"/>
      <c r="B224" s="49"/>
      <c r="C224" s="31" t="s">
        <v>1</v>
      </c>
      <c r="D224" s="27">
        <f t="shared" ref="D224" si="45">SUM(E224:I224)</f>
        <v>3821.3999999999996</v>
      </c>
      <c r="E224" s="23">
        <f>1010.7+789.3</f>
        <v>1800</v>
      </c>
      <c r="F224" s="23">
        <v>1010.7</v>
      </c>
      <c r="G224" s="23">
        <v>1010.7</v>
      </c>
      <c r="H224" s="23"/>
      <c r="I224" s="23"/>
      <c r="J224" s="43"/>
      <c r="K224" s="43"/>
      <c r="L224" s="43"/>
      <c r="M224" s="43"/>
      <c r="N224" s="43"/>
      <c r="O224" s="43"/>
      <c r="P224" s="43"/>
      <c r="Q224" s="43"/>
      <c r="R224" s="43"/>
      <c r="S224" s="51"/>
    </row>
    <row r="225" spans="1:19" ht="18.75" customHeight="1" x14ac:dyDescent="0.25">
      <c r="A225" s="38"/>
      <c r="B225" s="49"/>
      <c r="C225" s="31" t="s">
        <v>2</v>
      </c>
      <c r="D225" s="27"/>
      <c r="E225" s="23"/>
      <c r="F225" s="23"/>
      <c r="G225" s="23"/>
      <c r="H225" s="23"/>
      <c r="I225" s="23"/>
      <c r="J225" s="43"/>
      <c r="K225" s="43"/>
      <c r="L225" s="43"/>
      <c r="M225" s="43"/>
      <c r="N225" s="43"/>
      <c r="O225" s="43"/>
      <c r="P225" s="43"/>
      <c r="Q225" s="43"/>
      <c r="R225" s="43"/>
      <c r="S225" s="51"/>
    </row>
    <row r="226" spans="1:19" ht="18.75" customHeight="1" x14ac:dyDescent="0.25">
      <c r="A226" s="38"/>
      <c r="B226" s="49"/>
      <c r="C226" s="31" t="s">
        <v>3</v>
      </c>
      <c r="D226" s="27"/>
      <c r="E226" s="23"/>
      <c r="F226" s="23"/>
      <c r="G226" s="23"/>
      <c r="H226" s="23"/>
      <c r="I226" s="23"/>
      <c r="J226" s="43"/>
      <c r="K226" s="43"/>
      <c r="L226" s="43"/>
      <c r="M226" s="43"/>
      <c r="N226" s="43"/>
      <c r="O226" s="43"/>
      <c r="P226" s="43"/>
      <c r="Q226" s="43"/>
      <c r="R226" s="43"/>
      <c r="S226" s="51"/>
    </row>
    <row r="227" spans="1:19" ht="18.75" customHeight="1" x14ac:dyDescent="0.25">
      <c r="A227" s="37" t="s">
        <v>182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</row>
    <row r="228" spans="1:19" ht="21" customHeight="1" x14ac:dyDescent="0.25">
      <c r="A228" s="38"/>
      <c r="B228" s="48" t="s">
        <v>589</v>
      </c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ht="42.75" customHeight="1" x14ac:dyDescent="0.25">
      <c r="A229" s="38"/>
      <c r="B229" s="49" t="s">
        <v>222</v>
      </c>
      <c r="C229" s="50" t="s">
        <v>879</v>
      </c>
      <c r="D229" s="50"/>
      <c r="E229" s="50"/>
      <c r="F229" s="50"/>
      <c r="G229" s="50"/>
      <c r="H229" s="50"/>
      <c r="I229" s="50"/>
      <c r="J229" s="43" t="s">
        <v>11</v>
      </c>
      <c r="K229" s="43" t="s">
        <v>819</v>
      </c>
      <c r="L229" s="43"/>
      <c r="M229" s="43" t="s">
        <v>182</v>
      </c>
      <c r="N229" s="43" t="s">
        <v>470</v>
      </c>
      <c r="O229" s="43" t="s">
        <v>17</v>
      </c>
      <c r="P229" s="43" t="s">
        <v>803</v>
      </c>
      <c r="Q229" s="43" t="s">
        <v>9</v>
      </c>
      <c r="R229" s="43"/>
      <c r="S229" s="51"/>
    </row>
    <row r="230" spans="1:19" ht="18.75" customHeight="1" x14ac:dyDescent="0.25">
      <c r="A230" s="38"/>
      <c r="B230" s="49"/>
      <c r="C230" s="31" t="s">
        <v>6</v>
      </c>
      <c r="D230" s="27">
        <f>SUM(D231:D234)</f>
        <v>10466.4</v>
      </c>
      <c r="E230" s="23">
        <f t="shared" ref="E230:G230" si="46">SUM(E231:E234)</f>
        <v>3495.7</v>
      </c>
      <c r="F230" s="23">
        <f t="shared" si="46"/>
        <v>3489</v>
      </c>
      <c r="G230" s="23">
        <f t="shared" si="46"/>
        <v>3481.7</v>
      </c>
      <c r="H230" s="23"/>
      <c r="I230" s="23"/>
      <c r="J230" s="43"/>
      <c r="K230" s="43"/>
      <c r="L230" s="43"/>
      <c r="M230" s="43"/>
      <c r="N230" s="43"/>
      <c r="O230" s="43"/>
      <c r="P230" s="43"/>
      <c r="Q230" s="43"/>
      <c r="R230" s="43"/>
      <c r="S230" s="51"/>
    </row>
    <row r="231" spans="1:19" ht="18.75" customHeight="1" x14ac:dyDescent="0.25">
      <c r="A231" s="38"/>
      <c r="B231" s="49"/>
      <c r="C231" s="31" t="s">
        <v>0</v>
      </c>
      <c r="D231" s="27">
        <f>SUM(E231:I231)</f>
        <v>10466.4</v>
      </c>
      <c r="E231" s="23">
        <v>3495.7</v>
      </c>
      <c r="F231" s="23">
        <v>3489</v>
      </c>
      <c r="G231" s="23">
        <v>3481.7</v>
      </c>
      <c r="H231" s="23"/>
      <c r="I231" s="23"/>
      <c r="J231" s="43"/>
      <c r="K231" s="43"/>
      <c r="L231" s="43"/>
      <c r="M231" s="43"/>
      <c r="N231" s="43"/>
      <c r="O231" s="43"/>
      <c r="P231" s="43"/>
      <c r="Q231" s="43"/>
      <c r="R231" s="43"/>
      <c r="S231" s="51"/>
    </row>
    <row r="232" spans="1:19" ht="18.75" customHeight="1" x14ac:dyDescent="0.25">
      <c r="A232" s="38"/>
      <c r="B232" s="49"/>
      <c r="C232" s="31" t="s">
        <v>1</v>
      </c>
      <c r="D232" s="27"/>
      <c r="E232" s="23"/>
      <c r="F232" s="23"/>
      <c r="G232" s="23"/>
      <c r="H232" s="23"/>
      <c r="I232" s="23"/>
      <c r="J232" s="43"/>
      <c r="K232" s="43"/>
      <c r="L232" s="43"/>
      <c r="M232" s="43"/>
      <c r="N232" s="43"/>
      <c r="O232" s="43"/>
      <c r="P232" s="43"/>
      <c r="Q232" s="43"/>
      <c r="R232" s="43"/>
      <c r="S232" s="51"/>
    </row>
    <row r="233" spans="1:19" ht="18.75" customHeight="1" x14ac:dyDescent="0.25">
      <c r="A233" s="38"/>
      <c r="B233" s="49"/>
      <c r="C233" s="31" t="s">
        <v>2</v>
      </c>
      <c r="D233" s="27"/>
      <c r="E233" s="23"/>
      <c r="F233" s="23"/>
      <c r="G233" s="23"/>
      <c r="H233" s="23"/>
      <c r="I233" s="23"/>
      <c r="J233" s="43"/>
      <c r="K233" s="43"/>
      <c r="L233" s="43"/>
      <c r="M233" s="43"/>
      <c r="N233" s="43"/>
      <c r="O233" s="43"/>
      <c r="P233" s="43"/>
      <c r="Q233" s="43"/>
      <c r="R233" s="43"/>
      <c r="S233" s="51"/>
    </row>
    <row r="234" spans="1:19" ht="18.75" customHeight="1" x14ac:dyDescent="0.25">
      <c r="A234" s="38"/>
      <c r="B234" s="49"/>
      <c r="C234" s="31" t="s">
        <v>3</v>
      </c>
      <c r="D234" s="27"/>
      <c r="E234" s="23"/>
      <c r="F234" s="23"/>
      <c r="G234" s="23"/>
      <c r="H234" s="23"/>
      <c r="I234" s="23"/>
      <c r="J234" s="43"/>
      <c r="K234" s="43"/>
      <c r="L234" s="43"/>
      <c r="M234" s="43"/>
      <c r="N234" s="43"/>
      <c r="O234" s="43"/>
      <c r="P234" s="43"/>
      <c r="Q234" s="43"/>
      <c r="R234" s="43"/>
      <c r="S234" s="51"/>
    </row>
    <row r="235" spans="1:19" ht="18.75" customHeight="1" x14ac:dyDescent="0.25">
      <c r="A235" s="37" t="s">
        <v>184</v>
      </c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</row>
    <row r="236" spans="1:19" ht="21" customHeight="1" x14ac:dyDescent="0.25">
      <c r="A236" s="38"/>
      <c r="B236" s="48" t="s">
        <v>589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ht="42.75" customHeight="1" x14ac:dyDescent="0.25">
      <c r="A237" s="38"/>
      <c r="B237" s="49" t="s">
        <v>223</v>
      </c>
      <c r="C237" s="50" t="s">
        <v>185</v>
      </c>
      <c r="D237" s="50"/>
      <c r="E237" s="50"/>
      <c r="F237" s="50"/>
      <c r="G237" s="50"/>
      <c r="H237" s="50"/>
      <c r="I237" s="50"/>
      <c r="J237" s="43" t="s">
        <v>15</v>
      </c>
      <c r="K237" s="43" t="s">
        <v>819</v>
      </c>
      <c r="L237" s="43"/>
      <c r="M237" s="43" t="s">
        <v>184</v>
      </c>
      <c r="N237" s="53" t="s">
        <v>435</v>
      </c>
      <c r="O237" s="43" t="s">
        <v>17</v>
      </c>
      <c r="P237" s="43" t="s">
        <v>803</v>
      </c>
      <c r="Q237" s="43" t="s">
        <v>44</v>
      </c>
      <c r="R237" s="43"/>
      <c r="S237" s="51"/>
    </row>
    <row r="238" spans="1:19" ht="18" customHeight="1" x14ac:dyDescent="0.25">
      <c r="A238" s="38"/>
      <c r="B238" s="49"/>
      <c r="C238" s="31" t="s">
        <v>6</v>
      </c>
      <c r="D238" s="27">
        <f>SUM(D239:D242)</f>
        <v>42033.311999999998</v>
      </c>
      <c r="E238" s="23">
        <f t="shared" ref="E238" si="47">SUM(E239:E242)</f>
        <v>42033.311999999998</v>
      </c>
      <c r="F238" s="23"/>
      <c r="G238" s="23"/>
      <c r="H238" s="23"/>
      <c r="I238" s="23"/>
      <c r="J238" s="43"/>
      <c r="K238" s="43"/>
      <c r="L238" s="43"/>
      <c r="M238" s="43"/>
      <c r="N238" s="53"/>
      <c r="O238" s="43"/>
      <c r="P238" s="43"/>
      <c r="Q238" s="43"/>
      <c r="R238" s="43"/>
      <c r="S238" s="51"/>
    </row>
    <row r="239" spans="1:19" ht="18" customHeight="1" x14ac:dyDescent="0.25">
      <c r="A239" s="38"/>
      <c r="B239" s="49"/>
      <c r="C239" s="31" t="s">
        <v>0</v>
      </c>
      <c r="D239" s="27"/>
      <c r="E239" s="23"/>
      <c r="F239" s="23"/>
      <c r="G239" s="23"/>
      <c r="H239" s="23"/>
      <c r="I239" s="23"/>
      <c r="J239" s="43"/>
      <c r="K239" s="43"/>
      <c r="L239" s="43"/>
      <c r="M239" s="43"/>
      <c r="N239" s="53"/>
      <c r="O239" s="43"/>
      <c r="P239" s="43"/>
      <c r="Q239" s="43"/>
      <c r="R239" s="43"/>
      <c r="S239" s="51"/>
    </row>
    <row r="240" spans="1:19" ht="18" customHeight="1" x14ac:dyDescent="0.25">
      <c r="A240" s="38"/>
      <c r="B240" s="49"/>
      <c r="C240" s="31" t="s">
        <v>1</v>
      </c>
      <c r="D240" s="27">
        <f t="shared" ref="D240" si="48">SUM(E240:I240)</f>
        <v>42033.311999999998</v>
      </c>
      <c r="E240" s="23">
        <f>49057.72-7024.408</f>
        <v>42033.311999999998</v>
      </c>
      <c r="F240" s="23"/>
      <c r="G240" s="23"/>
      <c r="H240" s="23"/>
      <c r="I240" s="23"/>
      <c r="J240" s="43"/>
      <c r="K240" s="43"/>
      <c r="L240" s="43"/>
      <c r="M240" s="43"/>
      <c r="N240" s="53"/>
      <c r="O240" s="43"/>
      <c r="P240" s="43"/>
      <c r="Q240" s="43"/>
      <c r="R240" s="43"/>
      <c r="S240" s="51"/>
    </row>
    <row r="241" spans="1:19" ht="18" customHeight="1" x14ac:dyDescent="0.25">
      <c r="A241" s="38"/>
      <c r="B241" s="49"/>
      <c r="C241" s="31" t="s">
        <v>2</v>
      </c>
      <c r="D241" s="27"/>
      <c r="E241" s="23"/>
      <c r="F241" s="23"/>
      <c r="G241" s="23"/>
      <c r="H241" s="23"/>
      <c r="I241" s="23"/>
      <c r="J241" s="43"/>
      <c r="K241" s="43"/>
      <c r="L241" s="43"/>
      <c r="M241" s="43"/>
      <c r="N241" s="53"/>
      <c r="O241" s="43"/>
      <c r="P241" s="43"/>
      <c r="Q241" s="43"/>
      <c r="R241" s="43"/>
      <c r="S241" s="51"/>
    </row>
    <row r="242" spans="1:19" ht="18" customHeight="1" x14ac:dyDescent="0.25">
      <c r="A242" s="38"/>
      <c r="B242" s="49"/>
      <c r="C242" s="31" t="s">
        <v>3</v>
      </c>
      <c r="D242" s="27"/>
      <c r="E242" s="23"/>
      <c r="F242" s="23"/>
      <c r="G242" s="23"/>
      <c r="H242" s="23"/>
      <c r="I242" s="23"/>
      <c r="J242" s="43"/>
      <c r="K242" s="43"/>
      <c r="L242" s="43"/>
      <c r="M242" s="43"/>
      <c r="N242" s="53"/>
      <c r="O242" s="43"/>
      <c r="P242" s="43"/>
      <c r="Q242" s="43"/>
      <c r="R242" s="43"/>
      <c r="S242" s="51"/>
    </row>
    <row r="243" spans="1:19" ht="16.5" customHeight="1" x14ac:dyDescent="0.25">
      <c r="A243" s="37" t="s">
        <v>23</v>
      </c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</row>
    <row r="244" spans="1:19" ht="21" customHeight="1" x14ac:dyDescent="0.25">
      <c r="A244" s="38"/>
      <c r="B244" s="48" t="s">
        <v>588</v>
      </c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ht="18.75" customHeight="1" x14ac:dyDescent="0.25">
      <c r="A245" s="38"/>
      <c r="B245" s="49" t="s">
        <v>224</v>
      </c>
      <c r="C245" s="50" t="s">
        <v>152</v>
      </c>
      <c r="D245" s="50"/>
      <c r="E245" s="50"/>
      <c r="F245" s="50"/>
      <c r="G245" s="50"/>
      <c r="H245" s="50"/>
      <c r="I245" s="50"/>
      <c r="J245" s="43" t="s">
        <v>16</v>
      </c>
      <c r="K245" s="43" t="s">
        <v>821</v>
      </c>
      <c r="L245" s="43" t="s">
        <v>346</v>
      </c>
      <c r="M245" s="43" t="s">
        <v>423</v>
      </c>
      <c r="N245" s="53" t="s">
        <v>836</v>
      </c>
      <c r="O245" s="43" t="s">
        <v>17</v>
      </c>
      <c r="P245" s="43" t="s">
        <v>18</v>
      </c>
      <c r="Q245" s="43" t="s">
        <v>9</v>
      </c>
      <c r="R245" s="43"/>
      <c r="S245" s="51"/>
    </row>
    <row r="246" spans="1:19" ht="18" customHeight="1" x14ac:dyDescent="0.25">
      <c r="A246" s="38"/>
      <c r="B246" s="49"/>
      <c r="C246" s="31" t="s">
        <v>6</v>
      </c>
      <c r="D246" s="27">
        <f>SUM(D247:D250)</f>
        <v>499.22757999999976</v>
      </c>
      <c r="E246" s="23">
        <f t="shared" ref="E246" si="49">SUM(E247:E250)</f>
        <v>499.22757999999976</v>
      </c>
      <c r="F246" s="23"/>
      <c r="G246" s="23"/>
      <c r="H246" s="23"/>
      <c r="I246" s="23"/>
      <c r="J246" s="43"/>
      <c r="K246" s="43"/>
      <c r="L246" s="43"/>
      <c r="M246" s="43"/>
      <c r="N246" s="53"/>
      <c r="O246" s="43"/>
      <c r="P246" s="43"/>
      <c r="Q246" s="43"/>
      <c r="R246" s="43"/>
      <c r="S246" s="51"/>
    </row>
    <row r="247" spans="1:19" ht="18" customHeight="1" x14ac:dyDescent="0.25">
      <c r="A247" s="38"/>
      <c r="B247" s="49"/>
      <c r="C247" s="31" t="s">
        <v>0</v>
      </c>
      <c r="D247" s="27"/>
      <c r="E247" s="23"/>
      <c r="F247" s="23"/>
      <c r="G247" s="23"/>
      <c r="H247" s="23"/>
      <c r="I247" s="23"/>
      <c r="J247" s="43"/>
      <c r="K247" s="43"/>
      <c r="L247" s="43"/>
      <c r="M247" s="43"/>
      <c r="N247" s="53"/>
      <c r="O247" s="43"/>
      <c r="P247" s="43"/>
      <c r="Q247" s="43"/>
      <c r="R247" s="43"/>
      <c r="S247" s="51"/>
    </row>
    <row r="248" spans="1:19" ht="18" customHeight="1" x14ac:dyDescent="0.25">
      <c r="A248" s="38"/>
      <c r="B248" s="49"/>
      <c r="C248" s="31" t="s">
        <v>1</v>
      </c>
      <c r="D248" s="27">
        <f t="shared" ref="D248" si="50">SUM(E248:I248)</f>
        <v>499.22757999999976</v>
      </c>
      <c r="E248" s="23">
        <f>18620-5000-8000-5120.77242</f>
        <v>499.22757999999976</v>
      </c>
      <c r="F248" s="23"/>
      <c r="G248" s="23"/>
      <c r="H248" s="23"/>
      <c r="I248" s="23"/>
      <c r="J248" s="43"/>
      <c r="K248" s="43"/>
      <c r="L248" s="43"/>
      <c r="M248" s="43"/>
      <c r="N248" s="53"/>
      <c r="O248" s="43"/>
      <c r="P248" s="43"/>
      <c r="Q248" s="43"/>
      <c r="R248" s="43"/>
      <c r="S248" s="51"/>
    </row>
    <row r="249" spans="1:19" ht="18" customHeight="1" x14ac:dyDescent="0.25">
      <c r="A249" s="38"/>
      <c r="B249" s="49"/>
      <c r="C249" s="31" t="s">
        <v>2</v>
      </c>
      <c r="D249" s="27"/>
      <c r="E249" s="23"/>
      <c r="F249" s="23"/>
      <c r="G249" s="23"/>
      <c r="H249" s="23"/>
      <c r="I249" s="23"/>
      <c r="J249" s="43"/>
      <c r="K249" s="43"/>
      <c r="L249" s="43"/>
      <c r="M249" s="43"/>
      <c r="N249" s="53"/>
      <c r="O249" s="43"/>
      <c r="P249" s="43"/>
      <c r="Q249" s="43"/>
      <c r="R249" s="43"/>
      <c r="S249" s="51"/>
    </row>
    <row r="250" spans="1:19" ht="18" customHeight="1" x14ac:dyDescent="0.25">
      <c r="A250" s="38"/>
      <c r="B250" s="49"/>
      <c r="C250" s="31" t="s">
        <v>3</v>
      </c>
      <c r="D250" s="27"/>
      <c r="E250" s="23"/>
      <c r="F250" s="23"/>
      <c r="G250" s="23"/>
      <c r="H250" s="23"/>
      <c r="I250" s="23"/>
      <c r="J250" s="43"/>
      <c r="K250" s="43"/>
      <c r="L250" s="43"/>
      <c r="M250" s="43"/>
      <c r="N250" s="53"/>
      <c r="O250" s="43"/>
      <c r="P250" s="43"/>
      <c r="Q250" s="43"/>
      <c r="R250" s="43"/>
      <c r="S250" s="51"/>
    </row>
    <row r="251" spans="1:19" ht="18.75" customHeight="1" x14ac:dyDescent="0.25">
      <c r="A251" s="37" t="s">
        <v>23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</row>
    <row r="252" spans="1:19" ht="19.5" customHeight="1" x14ac:dyDescent="0.25">
      <c r="A252" s="38"/>
      <c r="B252" s="48" t="s">
        <v>588</v>
      </c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ht="18.75" customHeight="1" x14ac:dyDescent="0.25">
      <c r="A253" s="38"/>
      <c r="B253" s="49" t="s">
        <v>411</v>
      </c>
      <c r="C253" s="50" t="s">
        <v>153</v>
      </c>
      <c r="D253" s="50"/>
      <c r="E253" s="50"/>
      <c r="F253" s="50"/>
      <c r="G253" s="50"/>
      <c r="H253" s="50"/>
      <c r="I253" s="50"/>
      <c r="J253" s="43" t="s">
        <v>16</v>
      </c>
      <c r="K253" s="43" t="s">
        <v>821</v>
      </c>
      <c r="L253" s="43" t="s">
        <v>525</v>
      </c>
      <c r="M253" s="43" t="s">
        <v>423</v>
      </c>
      <c r="N253" s="53" t="s">
        <v>850</v>
      </c>
      <c r="O253" s="43" t="s">
        <v>17</v>
      </c>
      <c r="P253" s="43" t="s">
        <v>18</v>
      </c>
      <c r="Q253" s="43" t="s">
        <v>9</v>
      </c>
      <c r="R253" s="43"/>
      <c r="S253" s="51"/>
    </row>
    <row r="254" spans="1:19" ht="18" customHeight="1" x14ac:dyDescent="0.25">
      <c r="A254" s="38"/>
      <c r="B254" s="49"/>
      <c r="C254" s="31" t="s">
        <v>6</v>
      </c>
      <c r="D254" s="27">
        <f>SUM(D255:D258)</f>
        <v>1020.8199999999998</v>
      </c>
      <c r="E254" s="23">
        <f t="shared" ref="E254" si="51">SUM(E255:E258)</f>
        <v>1020.8199999999998</v>
      </c>
      <c r="F254" s="23"/>
      <c r="G254" s="23"/>
      <c r="H254" s="23"/>
      <c r="I254" s="23"/>
      <c r="J254" s="43"/>
      <c r="K254" s="43"/>
      <c r="L254" s="43"/>
      <c r="M254" s="43"/>
      <c r="N254" s="53"/>
      <c r="O254" s="43"/>
      <c r="P254" s="43"/>
      <c r="Q254" s="43"/>
      <c r="R254" s="43"/>
      <c r="S254" s="51"/>
    </row>
    <row r="255" spans="1:19" ht="18" customHeight="1" x14ac:dyDescent="0.25">
      <c r="A255" s="38"/>
      <c r="B255" s="49"/>
      <c r="C255" s="31" t="s">
        <v>0</v>
      </c>
      <c r="D255" s="27"/>
      <c r="E255" s="23"/>
      <c r="F255" s="23"/>
      <c r="G255" s="23"/>
      <c r="H255" s="23"/>
      <c r="I255" s="23"/>
      <c r="J255" s="43"/>
      <c r="K255" s="43"/>
      <c r="L255" s="43"/>
      <c r="M255" s="43"/>
      <c r="N255" s="53"/>
      <c r="O255" s="43"/>
      <c r="P255" s="43"/>
      <c r="Q255" s="43"/>
      <c r="R255" s="43"/>
      <c r="S255" s="51"/>
    </row>
    <row r="256" spans="1:19" ht="18" customHeight="1" x14ac:dyDescent="0.25">
      <c r="A256" s="38"/>
      <c r="B256" s="49"/>
      <c r="C256" s="31" t="s">
        <v>1</v>
      </c>
      <c r="D256" s="27">
        <f t="shared" ref="D256" si="52">SUM(E256:I256)</f>
        <v>1020.8199999999998</v>
      </c>
      <c r="E256" s="23">
        <f>13367.32-12233.08-113.42</f>
        <v>1020.8199999999998</v>
      </c>
      <c r="F256" s="23"/>
      <c r="G256" s="23"/>
      <c r="H256" s="23"/>
      <c r="I256" s="23"/>
      <c r="J256" s="43"/>
      <c r="K256" s="43"/>
      <c r="L256" s="43"/>
      <c r="M256" s="43"/>
      <c r="N256" s="53"/>
      <c r="O256" s="43"/>
      <c r="P256" s="43"/>
      <c r="Q256" s="43"/>
      <c r="R256" s="43"/>
      <c r="S256" s="51"/>
    </row>
    <row r="257" spans="1:19" ht="18" customHeight="1" x14ac:dyDescent="0.25">
      <c r="A257" s="38"/>
      <c r="B257" s="49"/>
      <c r="C257" s="31" t="s">
        <v>2</v>
      </c>
      <c r="D257" s="27"/>
      <c r="E257" s="23"/>
      <c r="F257" s="23"/>
      <c r="G257" s="23"/>
      <c r="H257" s="23"/>
      <c r="I257" s="23"/>
      <c r="J257" s="43"/>
      <c r="K257" s="43"/>
      <c r="L257" s="43"/>
      <c r="M257" s="43"/>
      <c r="N257" s="53"/>
      <c r="O257" s="43"/>
      <c r="P257" s="43"/>
      <c r="Q257" s="43"/>
      <c r="R257" s="43"/>
      <c r="S257" s="51"/>
    </row>
    <row r="258" spans="1:19" ht="18" customHeight="1" x14ac:dyDescent="0.25">
      <c r="A258" s="38"/>
      <c r="B258" s="49"/>
      <c r="C258" s="31" t="s">
        <v>3</v>
      </c>
      <c r="D258" s="27"/>
      <c r="E258" s="23"/>
      <c r="F258" s="23"/>
      <c r="G258" s="23"/>
      <c r="H258" s="23"/>
      <c r="I258" s="23"/>
      <c r="J258" s="43"/>
      <c r="K258" s="43"/>
      <c r="L258" s="43"/>
      <c r="M258" s="43"/>
      <c r="N258" s="53"/>
      <c r="O258" s="43"/>
      <c r="P258" s="43"/>
      <c r="Q258" s="43"/>
      <c r="R258" s="43"/>
      <c r="S258" s="51"/>
    </row>
    <row r="259" spans="1:19" ht="18.75" customHeight="1" x14ac:dyDescent="0.25">
      <c r="A259" s="37" t="s">
        <v>412</v>
      </c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</row>
    <row r="260" spans="1:19" ht="21" customHeight="1" x14ac:dyDescent="0.25">
      <c r="A260" s="38"/>
      <c r="B260" s="48" t="s">
        <v>587</v>
      </c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ht="18.75" customHeight="1" x14ac:dyDescent="0.25">
      <c r="A261" s="38"/>
      <c r="B261" s="49" t="s">
        <v>614</v>
      </c>
      <c r="C261" s="50" t="s">
        <v>413</v>
      </c>
      <c r="D261" s="50"/>
      <c r="E261" s="50"/>
      <c r="F261" s="50"/>
      <c r="G261" s="50"/>
      <c r="H261" s="50"/>
      <c r="I261" s="50"/>
      <c r="J261" s="43" t="s">
        <v>15</v>
      </c>
      <c r="K261" s="43" t="s">
        <v>824</v>
      </c>
      <c r="L261" s="43" t="s">
        <v>525</v>
      </c>
      <c r="M261" s="43" t="s">
        <v>617</v>
      </c>
      <c r="N261" s="53" t="s">
        <v>436</v>
      </c>
      <c r="O261" s="43" t="s">
        <v>17</v>
      </c>
      <c r="P261" s="43" t="s">
        <v>13</v>
      </c>
      <c r="Q261" s="43" t="s">
        <v>44</v>
      </c>
      <c r="R261" s="43"/>
      <c r="S261" s="51"/>
    </row>
    <row r="262" spans="1:19" ht="18" customHeight="1" x14ac:dyDescent="0.25">
      <c r="A262" s="38"/>
      <c r="B262" s="49"/>
      <c r="C262" s="31" t="s">
        <v>6</v>
      </c>
      <c r="D262" s="27">
        <f>SUM(D263:D266)</f>
        <v>5200</v>
      </c>
      <c r="E262" s="23">
        <f t="shared" ref="E262" si="53">SUM(E263:E266)</f>
        <v>5200</v>
      </c>
      <c r="F262" s="23"/>
      <c r="G262" s="23"/>
      <c r="H262" s="23"/>
      <c r="I262" s="23"/>
      <c r="J262" s="43"/>
      <c r="K262" s="43"/>
      <c r="L262" s="43"/>
      <c r="M262" s="43"/>
      <c r="N262" s="53"/>
      <c r="O262" s="43"/>
      <c r="P262" s="43"/>
      <c r="Q262" s="43"/>
      <c r="R262" s="43"/>
      <c r="S262" s="51"/>
    </row>
    <row r="263" spans="1:19" ht="18" customHeight="1" x14ac:dyDescent="0.25">
      <c r="A263" s="38"/>
      <c r="B263" s="49"/>
      <c r="C263" s="31" t="s">
        <v>0</v>
      </c>
      <c r="D263" s="27"/>
      <c r="E263" s="23"/>
      <c r="F263" s="23"/>
      <c r="G263" s="23"/>
      <c r="H263" s="23"/>
      <c r="I263" s="23"/>
      <c r="J263" s="43"/>
      <c r="K263" s="43"/>
      <c r="L263" s="43"/>
      <c r="M263" s="43"/>
      <c r="N263" s="53"/>
      <c r="O263" s="43"/>
      <c r="P263" s="43"/>
      <c r="Q263" s="43"/>
      <c r="R263" s="43"/>
      <c r="S263" s="51"/>
    </row>
    <row r="264" spans="1:19" ht="18" customHeight="1" x14ac:dyDescent="0.25">
      <c r="A264" s="38"/>
      <c r="B264" s="49"/>
      <c r="C264" s="31" t="s">
        <v>1</v>
      </c>
      <c r="D264" s="27">
        <f t="shared" ref="D264" si="54">SUM(E264:I264)</f>
        <v>5200</v>
      </c>
      <c r="E264" s="23">
        <v>5200</v>
      </c>
      <c r="F264" s="23"/>
      <c r="G264" s="23"/>
      <c r="H264" s="23"/>
      <c r="I264" s="23"/>
      <c r="J264" s="43"/>
      <c r="K264" s="43"/>
      <c r="L264" s="43"/>
      <c r="M264" s="43"/>
      <c r="N264" s="53"/>
      <c r="O264" s="43"/>
      <c r="P264" s="43"/>
      <c r="Q264" s="43"/>
      <c r="R264" s="43"/>
      <c r="S264" s="51"/>
    </row>
    <row r="265" spans="1:19" ht="18" customHeight="1" x14ac:dyDescent="0.25">
      <c r="A265" s="38"/>
      <c r="B265" s="49"/>
      <c r="C265" s="31" t="s">
        <v>2</v>
      </c>
      <c r="D265" s="27"/>
      <c r="E265" s="23"/>
      <c r="F265" s="23"/>
      <c r="G265" s="23"/>
      <c r="H265" s="23"/>
      <c r="I265" s="23"/>
      <c r="J265" s="43"/>
      <c r="K265" s="43"/>
      <c r="L265" s="43"/>
      <c r="M265" s="43"/>
      <c r="N265" s="53"/>
      <c r="O265" s="43"/>
      <c r="P265" s="43"/>
      <c r="Q265" s="43"/>
      <c r="R265" s="43"/>
      <c r="S265" s="51"/>
    </row>
    <row r="266" spans="1:19" ht="18" customHeight="1" x14ac:dyDescent="0.25">
      <c r="A266" s="38"/>
      <c r="B266" s="49"/>
      <c r="C266" s="31" t="s">
        <v>3</v>
      </c>
      <c r="D266" s="27"/>
      <c r="E266" s="23"/>
      <c r="F266" s="23"/>
      <c r="G266" s="23"/>
      <c r="H266" s="23"/>
      <c r="I266" s="23"/>
      <c r="J266" s="43"/>
      <c r="K266" s="43"/>
      <c r="L266" s="43"/>
      <c r="M266" s="43"/>
      <c r="N266" s="53"/>
      <c r="O266" s="43"/>
      <c r="P266" s="43"/>
      <c r="Q266" s="43"/>
      <c r="R266" s="43"/>
      <c r="S266" s="51"/>
    </row>
    <row r="267" spans="1:19" ht="18.75" customHeight="1" x14ac:dyDescent="0.25">
      <c r="A267" s="37" t="s">
        <v>412</v>
      </c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</row>
    <row r="268" spans="1:19" ht="21" customHeight="1" x14ac:dyDescent="0.25">
      <c r="A268" s="38"/>
      <c r="B268" s="48" t="s">
        <v>588</v>
      </c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ht="31.5" customHeight="1" x14ac:dyDescent="0.25">
      <c r="A269" s="38"/>
      <c r="B269" s="49" t="s">
        <v>882</v>
      </c>
      <c r="C269" s="50" t="s">
        <v>615</v>
      </c>
      <c r="D269" s="50"/>
      <c r="E269" s="50"/>
      <c r="F269" s="50"/>
      <c r="G269" s="50"/>
      <c r="H269" s="50"/>
      <c r="I269" s="50"/>
      <c r="J269" s="43" t="s">
        <v>15</v>
      </c>
      <c r="K269" s="43" t="s">
        <v>825</v>
      </c>
      <c r="L269" s="43" t="s">
        <v>525</v>
      </c>
      <c r="M269" s="43" t="s">
        <v>616</v>
      </c>
      <c r="N269" s="53" t="s">
        <v>618</v>
      </c>
      <c r="O269" s="43" t="s">
        <v>17</v>
      </c>
      <c r="P269" s="43" t="s">
        <v>13</v>
      </c>
      <c r="Q269" s="43" t="s">
        <v>44</v>
      </c>
      <c r="R269" s="43"/>
      <c r="S269" s="51"/>
    </row>
    <row r="270" spans="1:19" ht="18" customHeight="1" x14ac:dyDescent="0.25">
      <c r="A270" s="38"/>
      <c r="B270" s="49"/>
      <c r="C270" s="31" t="s">
        <v>6</v>
      </c>
      <c r="D270" s="27">
        <f>SUM(D271:D274)</f>
        <v>98</v>
      </c>
      <c r="E270" s="23">
        <f>SUM(E271:E274)</f>
        <v>98</v>
      </c>
      <c r="F270" s="23"/>
      <c r="G270" s="23"/>
      <c r="H270" s="23"/>
      <c r="I270" s="23"/>
      <c r="J270" s="43"/>
      <c r="K270" s="43"/>
      <c r="L270" s="43"/>
      <c r="M270" s="43"/>
      <c r="N270" s="53"/>
      <c r="O270" s="43"/>
      <c r="P270" s="43"/>
      <c r="Q270" s="43"/>
      <c r="R270" s="43"/>
      <c r="S270" s="51"/>
    </row>
    <row r="271" spans="1:19" ht="18" customHeight="1" x14ac:dyDescent="0.25">
      <c r="A271" s="38"/>
      <c r="B271" s="49"/>
      <c r="C271" s="31" t="s">
        <v>0</v>
      </c>
      <c r="D271" s="27"/>
      <c r="E271" s="23"/>
      <c r="F271" s="23"/>
      <c r="G271" s="23"/>
      <c r="H271" s="23"/>
      <c r="I271" s="23"/>
      <c r="J271" s="43"/>
      <c r="K271" s="43"/>
      <c r="L271" s="43"/>
      <c r="M271" s="43"/>
      <c r="N271" s="53"/>
      <c r="O271" s="43"/>
      <c r="P271" s="43"/>
      <c r="Q271" s="43"/>
      <c r="R271" s="43"/>
      <c r="S271" s="51"/>
    </row>
    <row r="272" spans="1:19" ht="18" customHeight="1" x14ac:dyDescent="0.25">
      <c r="A272" s="38"/>
      <c r="B272" s="49"/>
      <c r="C272" s="31" t="s">
        <v>1</v>
      </c>
      <c r="D272" s="27">
        <f t="shared" ref="D272" si="55">SUM(E272:I272)</f>
        <v>98</v>
      </c>
      <c r="E272" s="25">
        <v>98</v>
      </c>
      <c r="F272" s="23"/>
      <c r="G272" s="23"/>
      <c r="H272" s="23"/>
      <c r="I272" s="23"/>
      <c r="J272" s="43"/>
      <c r="K272" s="43"/>
      <c r="L272" s="43"/>
      <c r="M272" s="43"/>
      <c r="N272" s="53"/>
      <c r="O272" s="43"/>
      <c r="P272" s="43"/>
      <c r="Q272" s="43"/>
      <c r="R272" s="43"/>
      <c r="S272" s="51"/>
    </row>
    <row r="273" spans="1:19" ht="18" customHeight="1" x14ac:dyDescent="0.25">
      <c r="A273" s="38"/>
      <c r="B273" s="49"/>
      <c r="C273" s="31" t="s">
        <v>2</v>
      </c>
      <c r="D273" s="27"/>
      <c r="E273" s="23"/>
      <c r="F273" s="23"/>
      <c r="G273" s="23"/>
      <c r="H273" s="23"/>
      <c r="I273" s="23"/>
      <c r="J273" s="43"/>
      <c r="K273" s="43"/>
      <c r="L273" s="43"/>
      <c r="M273" s="43"/>
      <c r="N273" s="53"/>
      <c r="O273" s="43"/>
      <c r="P273" s="43"/>
      <c r="Q273" s="43"/>
      <c r="R273" s="43"/>
      <c r="S273" s="51"/>
    </row>
    <row r="274" spans="1:19" ht="18" customHeight="1" x14ac:dyDescent="0.25">
      <c r="A274" s="38"/>
      <c r="B274" s="49"/>
      <c r="C274" s="31" t="s">
        <v>3</v>
      </c>
      <c r="D274" s="27"/>
      <c r="E274" s="23"/>
      <c r="F274" s="23"/>
      <c r="G274" s="23"/>
      <c r="H274" s="23"/>
      <c r="I274" s="23"/>
      <c r="J274" s="43"/>
      <c r="K274" s="43"/>
      <c r="L274" s="43"/>
      <c r="M274" s="43"/>
      <c r="N274" s="53"/>
      <c r="O274" s="43"/>
      <c r="P274" s="43"/>
      <c r="Q274" s="43"/>
      <c r="R274" s="43"/>
      <c r="S274" s="51"/>
    </row>
    <row r="275" spans="1:19" ht="18.75" customHeight="1" x14ac:dyDescent="0.25">
      <c r="A275" s="37" t="s">
        <v>412</v>
      </c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</row>
    <row r="276" spans="1:19" ht="21" customHeight="1" x14ac:dyDescent="0.25">
      <c r="A276" s="38"/>
      <c r="B276" s="39" t="s">
        <v>588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</row>
    <row r="277" spans="1:19" ht="31.5" customHeight="1" x14ac:dyDescent="0.25">
      <c r="A277" s="38"/>
      <c r="B277" s="40" t="s">
        <v>920</v>
      </c>
      <c r="C277" s="50" t="s">
        <v>918</v>
      </c>
      <c r="D277" s="50"/>
      <c r="E277" s="50"/>
      <c r="F277" s="50"/>
      <c r="G277" s="50"/>
      <c r="H277" s="50"/>
      <c r="I277" s="50"/>
      <c r="J277" s="43" t="s">
        <v>15</v>
      </c>
      <c r="K277" s="43" t="s">
        <v>824</v>
      </c>
      <c r="L277" s="42" t="s">
        <v>930</v>
      </c>
      <c r="M277" s="43" t="s">
        <v>617</v>
      </c>
      <c r="N277" s="53" t="s">
        <v>919</v>
      </c>
      <c r="O277" s="43" t="s">
        <v>17</v>
      </c>
      <c r="P277" s="43" t="s">
        <v>13</v>
      </c>
      <c r="Q277" s="43" t="s">
        <v>44</v>
      </c>
      <c r="R277" s="43"/>
      <c r="S277" s="51"/>
    </row>
    <row r="278" spans="1:19" ht="18" customHeight="1" x14ac:dyDescent="0.25">
      <c r="A278" s="38"/>
      <c r="B278" s="40"/>
      <c r="C278" s="31" t="s">
        <v>6</v>
      </c>
      <c r="D278" s="27">
        <f>SUM(D279:D282)</f>
        <v>17000</v>
      </c>
      <c r="E278" s="23">
        <f>SUM(E279:E282)</f>
        <v>17000</v>
      </c>
      <c r="F278" s="23"/>
      <c r="G278" s="23"/>
      <c r="H278" s="23"/>
      <c r="I278" s="23"/>
      <c r="J278" s="43"/>
      <c r="K278" s="43"/>
      <c r="L278" s="42"/>
      <c r="M278" s="43"/>
      <c r="N278" s="53"/>
      <c r="O278" s="43"/>
      <c r="P278" s="43"/>
      <c r="Q278" s="43"/>
      <c r="R278" s="43"/>
      <c r="S278" s="51"/>
    </row>
    <row r="279" spans="1:19" ht="18" customHeight="1" x14ac:dyDescent="0.25">
      <c r="A279" s="38"/>
      <c r="B279" s="40"/>
      <c r="C279" s="31" t="s">
        <v>0</v>
      </c>
      <c r="D279" s="27"/>
      <c r="E279" s="23"/>
      <c r="F279" s="23"/>
      <c r="G279" s="23"/>
      <c r="H279" s="23"/>
      <c r="I279" s="23"/>
      <c r="J279" s="43"/>
      <c r="K279" s="43"/>
      <c r="L279" s="42"/>
      <c r="M279" s="43"/>
      <c r="N279" s="53"/>
      <c r="O279" s="43"/>
      <c r="P279" s="43"/>
      <c r="Q279" s="43"/>
      <c r="R279" s="43"/>
      <c r="S279" s="51"/>
    </row>
    <row r="280" spans="1:19" ht="18" customHeight="1" x14ac:dyDescent="0.25">
      <c r="A280" s="38"/>
      <c r="B280" s="40"/>
      <c r="C280" s="31" t="s">
        <v>1</v>
      </c>
      <c r="D280" s="27">
        <f t="shared" ref="D280" si="56">SUM(E280:I280)</f>
        <v>17000</v>
      </c>
      <c r="E280" s="23">
        <v>17000</v>
      </c>
      <c r="F280" s="23"/>
      <c r="G280" s="23"/>
      <c r="H280" s="23"/>
      <c r="I280" s="23"/>
      <c r="J280" s="43"/>
      <c r="K280" s="43"/>
      <c r="L280" s="42"/>
      <c r="M280" s="43"/>
      <c r="N280" s="53"/>
      <c r="O280" s="43"/>
      <c r="P280" s="43"/>
      <c r="Q280" s="43"/>
      <c r="R280" s="43"/>
      <c r="S280" s="51"/>
    </row>
    <row r="281" spans="1:19" ht="18" customHeight="1" x14ac:dyDescent="0.25">
      <c r="A281" s="38"/>
      <c r="B281" s="40"/>
      <c r="C281" s="31" t="s">
        <v>2</v>
      </c>
      <c r="D281" s="27"/>
      <c r="E281" s="23"/>
      <c r="F281" s="23"/>
      <c r="G281" s="23"/>
      <c r="H281" s="23"/>
      <c r="I281" s="23"/>
      <c r="J281" s="43"/>
      <c r="K281" s="43"/>
      <c r="L281" s="42"/>
      <c r="M281" s="43"/>
      <c r="N281" s="53"/>
      <c r="O281" s="43"/>
      <c r="P281" s="43"/>
      <c r="Q281" s="43"/>
      <c r="R281" s="43"/>
      <c r="S281" s="51"/>
    </row>
    <row r="282" spans="1:19" ht="18" customHeight="1" x14ac:dyDescent="0.25">
      <c r="A282" s="38"/>
      <c r="B282" s="40"/>
      <c r="C282" s="31" t="s">
        <v>3</v>
      </c>
      <c r="D282" s="27"/>
      <c r="E282" s="23"/>
      <c r="F282" s="23"/>
      <c r="G282" s="23"/>
      <c r="H282" s="23"/>
      <c r="I282" s="23"/>
      <c r="J282" s="43"/>
      <c r="K282" s="43"/>
      <c r="L282" s="42"/>
      <c r="M282" s="43"/>
      <c r="N282" s="53"/>
      <c r="O282" s="43"/>
      <c r="P282" s="43"/>
      <c r="Q282" s="43"/>
      <c r="R282" s="43"/>
      <c r="S282" s="51"/>
    </row>
    <row r="283" spans="1:19" ht="21" customHeight="1" x14ac:dyDescent="0.25">
      <c r="A283" s="54" t="s">
        <v>225</v>
      </c>
      <c r="B283" s="65" t="s">
        <v>108</v>
      </c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</row>
    <row r="284" spans="1:19" ht="18" customHeight="1" x14ac:dyDescent="0.25">
      <c r="A284" s="54"/>
      <c r="B284" s="56" t="s">
        <v>6</v>
      </c>
      <c r="C284" s="56"/>
      <c r="D284" s="16">
        <f t="shared" ref="D284" si="57">SUM(D285:D288)</f>
        <v>5829304.5712200003</v>
      </c>
      <c r="E284" s="16">
        <f>E292+E300+E308+E316+E324+E332+E340+E348+E356+E364+E372+E380+E388+E396+E404+E412+E420+E428+E436+E444+E452+E460+E468+E476+E484+E492+E500+E508+E516+E524+E532+E540+E548+E556+E564+E572+E580+E588+E596+E604+E612+E620+E628+E636+E644+E652</f>
        <v>3711271.7912200009</v>
      </c>
      <c r="F284" s="16">
        <f t="shared" ref="F284:G284" si="58">F292+F300+F308+F316+F324+F332+F340+F348+F356+F364+F372+F380+F388+F396+F404+F412+F420+F428+F436+F444+F452+F460+F468+F476+F484+F492+F500+F508+F516+F524+F532+F540+F548+F556+F564+F572+F580+F588+F596+F604+F612+F620+F628+F636+F644+F652</f>
        <v>1565985.78</v>
      </c>
      <c r="G284" s="16">
        <f t="shared" si="58"/>
        <v>552047</v>
      </c>
      <c r="H284" s="16"/>
      <c r="I284" s="16"/>
      <c r="J284" s="26"/>
      <c r="K284" s="26"/>
      <c r="L284" s="26"/>
      <c r="M284" s="26"/>
      <c r="N284" s="26"/>
      <c r="O284" s="26"/>
      <c r="P284" s="26"/>
      <c r="Q284" s="26"/>
      <c r="R284" s="26"/>
      <c r="S284" s="26"/>
    </row>
    <row r="285" spans="1:19" ht="18" customHeight="1" x14ac:dyDescent="0.25">
      <c r="A285" s="54"/>
      <c r="B285" s="56" t="s">
        <v>0</v>
      </c>
      <c r="C285" s="56"/>
      <c r="D285" s="16">
        <f>SUM(E285:I285)</f>
        <v>2636170.3962300001</v>
      </c>
      <c r="E285" s="16">
        <f t="shared" ref="E285:G288" si="59">E293+E301+E309+E317+E325+E333+E341+E349+E357+E365+E373+E381+E389+E397+E405+E413+E421+E429+E437+E445+E453+E461+E469+E477+E485+E493+E501+E509+E517+E525+E533+E541+E549+E557+E565+E573+E581+E589+E597+E605+E613+E621+E629+E637+E645+E653</f>
        <v>1480594.59623</v>
      </c>
      <c r="F285" s="16">
        <f t="shared" si="59"/>
        <v>1140335</v>
      </c>
      <c r="G285" s="16">
        <f t="shared" si="59"/>
        <v>15240.8</v>
      </c>
      <c r="H285" s="16"/>
      <c r="I285" s="16"/>
      <c r="J285" s="26"/>
      <c r="K285" s="26"/>
      <c r="L285" s="26"/>
      <c r="M285" s="26"/>
      <c r="N285" s="26"/>
      <c r="O285" s="26"/>
      <c r="P285" s="26"/>
      <c r="Q285" s="26"/>
      <c r="R285" s="26"/>
      <c r="S285" s="26"/>
    </row>
    <row r="286" spans="1:19" ht="18" customHeight="1" x14ac:dyDescent="0.25">
      <c r="A286" s="54"/>
      <c r="B286" s="56" t="s">
        <v>1</v>
      </c>
      <c r="C286" s="56"/>
      <c r="D286" s="16">
        <f>SUM(E286:I286)</f>
        <v>2910062.0428999998</v>
      </c>
      <c r="E286" s="16">
        <f t="shared" si="59"/>
        <v>1948177.0329000002</v>
      </c>
      <c r="F286" s="16">
        <f t="shared" si="59"/>
        <v>425078.81</v>
      </c>
      <c r="G286" s="16">
        <f t="shared" si="59"/>
        <v>536806.19999999995</v>
      </c>
      <c r="H286" s="16"/>
      <c r="I286" s="16"/>
      <c r="J286" s="26"/>
      <c r="K286" s="26"/>
      <c r="L286" s="26"/>
      <c r="M286" s="26"/>
      <c r="N286" s="26"/>
      <c r="O286" s="26"/>
      <c r="P286" s="26"/>
      <c r="Q286" s="26"/>
      <c r="R286" s="26"/>
      <c r="S286" s="26"/>
    </row>
    <row r="287" spans="1:19" ht="18" customHeight="1" x14ac:dyDescent="0.25">
      <c r="A287" s="54"/>
      <c r="B287" s="56" t="s">
        <v>2</v>
      </c>
      <c r="C287" s="56"/>
      <c r="D287" s="16">
        <f>SUM(E287:I287)</f>
        <v>24067.20217</v>
      </c>
      <c r="E287" s="16">
        <f t="shared" si="59"/>
        <v>23495.232169999999</v>
      </c>
      <c r="F287" s="16">
        <f t="shared" si="59"/>
        <v>571.97</v>
      </c>
      <c r="G287" s="16"/>
      <c r="H287" s="16"/>
      <c r="I287" s="16"/>
      <c r="J287" s="26"/>
      <c r="K287" s="26"/>
      <c r="L287" s="26"/>
      <c r="M287" s="26"/>
      <c r="N287" s="26"/>
      <c r="O287" s="26"/>
      <c r="P287" s="26"/>
      <c r="Q287" s="26"/>
      <c r="R287" s="26"/>
      <c r="S287" s="26"/>
    </row>
    <row r="288" spans="1:19" ht="18" customHeight="1" x14ac:dyDescent="0.25">
      <c r="A288" s="54"/>
      <c r="B288" s="56" t="s">
        <v>3</v>
      </c>
      <c r="C288" s="56"/>
      <c r="D288" s="16">
        <f>SUM(E288:I288)</f>
        <v>259004.92992</v>
      </c>
      <c r="E288" s="16">
        <f t="shared" si="59"/>
        <v>259004.92992</v>
      </c>
      <c r="F288" s="16"/>
      <c r="G288" s="16"/>
      <c r="H288" s="16"/>
      <c r="I288" s="16"/>
      <c r="J288" s="26"/>
      <c r="K288" s="26"/>
      <c r="L288" s="26"/>
      <c r="M288" s="26"/>
      <c r="N288" s="26"/>
      <c r="O288" s="26"/>
      <c r="P288" s="26"/>
      <c r="Q288" s="26"/>
      <c r="R288" s="26"/>
      <c r="S288" s="26"/>
    </row>
    <row r="289" spans="1:19" ht="18.75" customHeight="1" x14ac:dyDescent="0.25">
      <c r="A289" s="37" t="s">
        <v>23</v>
      </c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</row>
    <row r="290" spans="1:19" ht="21" customHeight="1" x14ac:dyDescent="0.25">
      <c r="A290" s="38"/>
      <c r="B290" s="48" t="s">
        <v>579</v>
      </c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ht="18.75" customHeight="1" x14ac:dyDescent="0.25">
      <c r="A291" s="38"/>
      <c r="B291" s="49" t="s">
        <v>226</v>
      </c>
      <c r="C291" s="50" t="s">
        <v>143</v>
      </c>
      <c r="D291" s="50"/>
      <c r="E291" s="50"/>
      <c r="F291" s="50"/>
      <c r="G291" s="50"/>
      <c r="H291" s="50"/>
      <c r="I291" s="50"/>
      <c r="J291" s="43" t="s">
        <v>16</v>
      </c>
      <c r="K291" s="43" t="s">
        <v>821</v>
      </c>
      <c r="L291" s="43" t="s">
        <v>32</v>
      </c>
      <c r="M291" s="43" t="s">
        <v>423</v>
      </c>
      <c r="N291" s="53" t="s">
        <v>438</v>
      </c>
      <c r="O291" s="43" t="s">
        <v>17</v>
      </c>
      <c r="P291" s="43" t="s">
        <v>13</v>
      </c>
      <c r="Q291" s="43" t="s">
        <v>9</v>
      </c>
      <c r="R291" s="43"/>
      <c r="S291" s="51" t="s">
        <v>755</v>
      </c>
    </row>
    <row r="292" spans="1:19" ht="18" customHeight="1" x14ac:dyDescent="0.25">
      <c r="A292" s="38"/>
      <c r="B292" s="49"/>
      <c r="C292" s="31" t="s">
        <v>6</v>
      </c>
      <c r="D292" s="27">
        <f t="shared" ref="D292:E292" si="60">SUM(D293:D296)</f>
        <v>178000</v>
      </c>
      <c r="E292" s="23">
        <f t="shared" si="60"/>
        <v>178000</v>
      </c>
      <c r="F292" s="23"/>
      <c r="G292" s="23"/>
      <c r="H292" s="23"/>
      <c r="I292" s="23"/>
      <c r="J292" s="43"/>
      <c r="K292" s="43"/>
      <c r="L292" s="43"/>
      <c r="M292" s="43"/>
      <c r="N292" s="53"/>
      <c r="O292" s="43"/>
      <c r="P292" s="43"/>
      <c r="Q292" s="43"/>
      <c r="R292" s="43"/>
      <c r="S292" s="51"/>
    </row>
    <row r="293" spans="1:19" ht="18" customHeight="1" x14ac:dyDescent="0.25">
      <c r="A293" s="38"/>
      <c r="B293" s="49"/>
      <c r="C293" s="31" t="s">
        <v>0</v>
      </c>
      <c r="D293" s="27"/>
      <c r="E293" s="23"/>
      <c r="F293" s="23"/>
      <c r="G293" s="23"/>
      <c r="H293" s="23"/>
      <c r="I293" s="23"/>
      <c r="J293" s="43"/>
      <c r="K293" s="43"/>
      <c r="L293" s="43"/>
      <c r="M293" s="43"/>
      <c r="N293" s="53"/>
      <c r="O293" s="43"/>
      <c r="P293" s="43"/>
      <c r="Q293" s="43"/>
      <c r="R293" s="43"/>
      <c r="S293" s="51"/>
    </row>
    <row r="294" spans="1:19" ht="18" customHeight="1" x14ac:dyDescent="0.25">
      <c r="A294" s="38"/>
      <c r="B294" s="49"/>
      <c r="C294" s="31" t="s">
        <v>1</v>
      </c>
      <c r="D294" s="27">
        <f t="shared" ref="D294" si="61">SUM(E294:I294)</f>
        <v>178000</v>
      </c>
      <c r="E294" s="23">
        <v>178000</v>
      </c>
      <c r="F294" s="23"/>
      <c r="G294" s="23"/>
      <c r="H294" s="23"/>
      <c r="I294" s="23"/>
      <c r="J294" s="43"/>
      <c r="K294" s="43"/>
      <c r="L294" s="43"/>
      <c r="M294" s="43"/>
      <c r="N294" s="53"/>
      <c r="O294" s="43"/>
      <c r="P294" s="43"/>
      <c r="Q294" s="43"/>
      <c r="R294" s="43"/>
      <c r="S294" s="51"/>
    </row>
    <row r="295" spans="1:19" ht="18" customHeight="1" x14ac:dyDescent="0.25">
      <c r="A295" s="38"/>
      <c r="B295" s="49"/>
      <c r="C295" s="31" t="s">
        <v>2</v>
      </c>
      <c r="D295" s="27"/>
      <c r="E295" s="23"/>
      <c r="F295" s="23"/>
      <c r="G295" s="23"/>
      <c r="H295" s="23"/>
      <c r="I295" s="23"/>
      <c r="J295" s="43"/>
      <c r="K295" s="43"/>
      <c r="L295" s="43"/>
      <c r="M295" s="43"/>
      <c r="N295" s="53"/>
      <c r="O295" s="43"/>
      <c r="P295" s="43"/>
      <c r="Q295" s="43"/>
      <c r="R295" s="43"/>
      <c r="S295" s="51"/>
    </row>
    <row r="296" spans="1:19" ht="18" customHeight="1" x14ac:dyDescent="0.25">
      <c r="A296" s="38"/>
      <c r="B296" s="49"/>
      <c r="C296" s="31" t="s">
        <v>3</v>
      </c>
      <c r="D296" s="27"/>
      <c r="E296" s="23"/>
      <c r="F296" s="23"/>
      <c r="G296" s="23"/>
      <c r="H296" s="23"/>
      <c r="I296" s="23"/>
      <c r="J296" s="43"/>
      <c r="K296" s="43"/>
      <c r="L296" s="43"/>
      <c r="M296" s="43"/>
      <c r="N296" s="53"/>
      <c r="O296" s="43"/>
      <c r="P296" s="43"/>
      <c r="Q296" s="43"/>
      <c r="R296" s="43"/>
      <c r="S296" s="51"/>
    </row>
    <row r="297" spans="1:19" ht="18.75" customHeight="1" x14ac:dyDescent="0.25">
      <c r="A297" s="37" t="s">
        <v>23</v>
      </c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</row>
    <row r="298" spans="1:19" ht="21" customHeight="1" x14ac:dyDescent="0.25">
      <c r="A298" s="38"/>
      <c r="B298" s="48" t="s">
        <v>579</v>
      </c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ht="39.75" customHeight="1" x14ac:dyDescent="0.25">
      <c r="A299" s="38"/>
      <c r="B299" s="49" t="s">
        <v>227</v>
      </c>
      <c r="C299" s="50" t="s">
        <v>145</v>
      </c>
      <c r="D299" s="50"/>
      <c r="E299" s="50"/>
      <c r="F299" s="50"/>
      <c r="G299" s="50"/>
      <c r="H299" s="50"/>
      <c r="I299" s="50"/>
      <c r="J299" s="43" t="s">
        <v>16</v>
      </c>
      <c r="K299" s="43" t="s">
        <v>821</v>
      </c>
      <c r="L299" s="43"/>
      <c r="M299" s="43" t="s">
        <v>423</v>
      </c>
      <c r="N299" s="53" t="s">
        <v>437</v>
      </c>
      <c r="O299" s="43" t="s">
        <v>17</v>
      </c>
      <c r="P299" s="43" t="s">
        <v>13</v>
      </c>
      <c r="Q299" s="43" t="s">
        <v>9</v>
      </c>
      <c r="R299" s="43"/>
      <c r="S299" s="51"/>
    </row>
    <row r="300" spans="1:19" ht="18" customHeight="1" x14ac:dyDescent="0.25">
      <c r="A300" s="38"/>
      <c r="B300" s="49"/>
      <c r="C300" s="31" t="s">
        <v>6</v>
      </c>
      <c r="D300" s="27">
        <f t="shared" ref="D300:E300" si="62">SUM(D301:D304)</f>
        <v>39257</v>
      </c>
      <c r="E300" s="23">
        <f t="shared" si="62"/>
        <v>39257</v>
      </c>
      <c r="F300" s="23"/>
      <c r="G300" s="23"/>
      <c r="H300" s="23"/>
      <c r="I300" s="23"/>
      <c r="J300" s="43"/>
      <c r="K300" s="43"/>
      <c r="L300" s="43"/>
      <c r="M300" s="43"/>
      <c r="N300" s="53"/>
      <c r="O300" s="43"/>
      <c r="P300" s="43"/>
      <c r="Q300" s="43"/>
      <c r="R300" s="43"/>
      <c r="S300" s="51"/>
    </row>
    <row r="301" spans="1:19" ht="18" customHeight="1" x14ac:dyDescent="0.25">
      <c r="A301" s="38"/>
      <c r="B301" s="49"/>
      <c r="C301" s="31" t="s">
        <v>0</v>
      </c>
      <c r="D301" s="27"/>
      <c r="E301" s="23"/>
      <c r="F301" s="23"/>
      <c r="G301" s="23"/>
      <c r="H301" s="23"/>
      <c r="I301" s="23"/>
      <c r="J301" s="43"/>
      <c r="K301" s="43"/>
      <c r="L301" s="43"/>
      <c r="M301" s="43"/>
      <c r="N301" s="53"/>
      <c r="O301" s="43"/>
      <c r="P301" s="43"/>
      <c r="Q301" s="43"/>
      <c r="R301" s="43"/>
      <c r="S301" s="51"/>
    </row>
    <row r="302" spans="1:19" ht="18" customHeight="1" x14ac:dyDescent="0.25">
      <c r="A302" s="38"/>
      <c r="B302" s="49"/>
      <c r="C302" s="31" t="s">
        <v>1</v>
      </c>
      <c r="D302" s="27">
        <f t="shared" ref="D302" si="63">SUM(E302:I302)</f>
        <v>39257</v>
      </c>
      <c r="E302" s="23">
        <v>39257</v>
      </c>
      <c r="F302" s="23"/>
      <c r="G302" s="23"/>
      <c r="H302" s="23"/>
      <c r="I302" s="23"/>
      <c r="J302" s="43"/>
      <c r="K302" s="43"/>
      <c r="L302" s="43"/>
      <c r="M302" s="43"/>
      <c r="N302" s="53"/>
      <c r="O302" s="43"/>
      <c r="P302" s="43"/>
      <c r="Q302" s="43"/>
      <c r="R302" s="43"/>
      <c r="S302" s="51"/>
    </row>
    <row r="303" spans="1:19" ht="18" customHeight="1" x14ac:dyDescent="0.25">
      <c r="A303" s="38"/>
      <c r="B303" s="49"/>
      <c r="C303" s="31" t="s">
        <v>2</v>
      </c>
      <c r="D303" s="27"/>
      <c r="E303" s="23"/>
      <c r="F303" s="23"/>
      <c r="G303" s="23"/>
      <c r="H303" s="23"/>
      <c r="I303" s="23"/>
      <c r="J303" s="43"/>
      <c r="K303" s="43"/>
      <c r="L303" s="43"/>
      <c r="M303" s="43"/>
      <c r="N303" s="53"/>
      <c r="O303" s="43"/>
      <c r="P303" s="43"/>
      <c r="Q303" s="43"/>
      <c r="R303" s="43"/>
      <c r="S303" s="51"/>
    </row>
    <row r="304" spans="1:19" ht="18" customHeight="1" x14ac:dyDescent="0.25">
      <c r="A304" s="38"/>
      <c r="B304" s="49"/>
      <c r="C304" s="31" t="s">
        <v>3</v>
      </c>
      <c r="D304" s="27"/>
      <c r="E304" s="23"/>
      <c r="F304" s="23"/>
      <c r="G304" s="23"/>
      <c r="H304" s="23"/>
      <c r="I304" s="23"/>
      <c r="J304" s="43"/>
      <c r="K304" s="43"/>
      <c r="L304" s="43"/>
      <c r="M304" s="43"/>
      <c r="N304" s="53"/>
      <c r="O304" s="43"/>
      <c r="P304" s="43"/>
      <c r="Q304" s="43"/>
      <c r="R304" s="43"/>
      <c r="S304" s="51"/>
    </row>
    <row r="305" spans="1:19" ht="18.75" customHeight="1" x14ac:dyDescent="0.25">
      <c r="A305" s="37" t="s">
        <v>23</v>
      </c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</row>
    <row r="306" spans="1:19" ht="21" customHeight="1" x14ac:dyDescent="0.25">
      <c r="A306" s="38"/>
      <c r="B306" s="48" t="s">
        <v>579</v>
      </c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</row>
    <row r="307" spans="1:19" ht="37.5" customHeight="1" x14ac:dyDescent="0.25">
      <c r="A307" s="38"/>
      <c r="B307" s="49" t="s">
        <v>228</v>
      </c>
      <c r="C307" s="50" t="s">
        <v>146</v>
      </c>
      <c r="D307" s="50"/>
      <c r="E307" s="50"/>
      <c r="F307" s="50"/>
      <c r="G307" s="50"/>
      <c r="H307" s="50"/>
      <c r="I307" s="50"/>
      <c r="J307" s="43" t="s">
        <v>16</v>
      </c>
      <c r="K307" s="43" t="s">
        <v>821</v>
      </c>
      <c r="L307" s="43"/>
      <c r="M307" s="43" t="s">
        <v>423</v>
      </c>
      <c r="N307" s="53" t="s">
        <v>851</v>
      </c>
      <c r="O307" s="43" t="s">
        <v>17</v>
      </c>
      <c r="P307" s="43" t="s">
        <v>13</v>
      </c>
      <c r="Q307" s="43" t="s">
        <v>9</v>
      </c>
      <c r="R307" s="43"/>
      <c r="S307" s="51"/>
    </row>
    <row r="308" spans="1:19" ht="18" customHeight="1" x14ac:dyDescent="0.25">
      <c r="A308" s="38"/>
      <c r="B308" s="49"/>
      <c r="C308" s="31" t="s">
        <v>6</v>
      </c>
      <c r="D308" s="27">
        <f t="shared" ref="D308:E308" si="64">SUM(D309:D312)</f>
        <v>90815.436700000006</v>
      </c>
      <c r="E308" s="23">
        <f t="shared" si="64"/>
        <v>90815.436700000006</v>
      </c>
      <c r="F308" s="23"/>
      <c r="G308" s="23"/>
      <c r="H308" s="23"/>
      <c r="I308" s="23"/>
      <c r="J308" s="43"/>
      <c r="K308" s="43"/>
      <c r="L308" s="43"/>
      <c r="M308" s="43"/>
      <c r="N308" s="53"/>
      <c r="O308" s="43"/>
      <c r="P308" s="43"/>
      <c r="Q308" s="43"/>
      <c r="R308" s="43"/>
      <c r="S308" s="51"/>
    </row>
    <row r="309" spans="1:19" ht="18" customHeight="1" x14ac:dyDescent="0.25">
      <c r="A309" s="38"/>
      <c r="B309" s="49"/>
      <c r="C309" s="31" t="s">
        <v>0</v>
      </c>
      <c r="D309" s="27"/>
      <c r="E309" s="23"/>
      <c r="F309" s="23"/>
      <c r="G309" s="23"/>
      <c r="H309" s="23"/>
      <c r="I309" s="23"/>
      <c r="J309" s="43"/>
      <c r="K309" s="43"/>
      <c r="L309" s="43"/>
      <c r="M309" s="43"/>
      <c r="N309" s="53"/>
      <c r="O309" s="43"/>
      <c r="P309" s="43"/>
      <c r="Q309" s="43"/>
      <c r="R309" s="43"/>
      <c r="S309" s="51"/>
    </row>
    <row r="310" spans="1:19" ht="18" customHeight="1" x14ac:dyDescent="0.25">
      <c r="A310" s="38"/>
      <c r="B310" s="49"/>
      <c r="C310" s="31" t="s">
        <v>1</v>
      </c>
      <c r="D310" s="27">
        <f t="shared" ref="D310" si="65">SUM(E310:I310)</f>
        <v>90815.436700000006</v>
      </c>
      <c r="E310" s="23">
        <v>90815.436700000006</v>
      </c>
      <c r="F310" s="23"/>
      <c r="G310" s="23"/>
      <c r="H310" s="23"/>
      <c r="I310" s="23"/>
      <c r="J310" s="43"/>
      <c r="K310" s="43"/>
      <c r="L310" s="43"/>
      <c r="M310" s="43"/>
      <c r="N310" s="53"/>
      <c r="O310" s="43"/>
      <c r="P310" s="43"/>
      <c r="Q310" s="43"/>
      <c r="R310" s="43"/>
      <c r="S310" s="51"/>
    </row>
    <row r="311" spans="1:19" ht="18" customHeight="1" x14ac:dyDescent="0.25">
      <c r="A311" s="38"/>
      <c r="B311" s="49"/>
      <c r="C311" s="31" t="s">
        <v>2</v>
      </c>
      <c r="D311" s="27"/>
      <c r="E311" s="23"/>
      <c r="F311" s="23"/>
      <c r="G311" s="23"/>
      <c r="H311" s="23"/>
      <c r="I311" s="23"/>
      <c r="J311" s="43"/>
      <c r="K311" s="43"/>
      <c r="L311" s="43"/>
      <c r="M311" s="43"/>
      <c r="N311" s="53"/>
      <c r="O311" s="43"/>
      <c r="P311" s="43"/>
      <c r="Q311" s="43"/>
      <c r="R311" s="43"/>
      <c r="S311" s="51"/>
    </row>
    <row r="312" spans="1:19" ht="18" customHeight="1" x14ac:dyDescent="0.25">
      <c r="A312" s="38"/>
      <c r="B312" s="49"/>
      <c r="C312" s="31" t="s">
        <v>3</v>
      </c>
      <c r="D312" s="27"/>
      <c r="E312" s="23"/>
      <c r="F312" s="23"/>
      <c r="G312" s="23"/>
      <c r="H312" s="23"/>
      <c r="I312" s="23"/>
      <c r="J312" s="43"/>
      <c r="K312" s="43"/>
      <c r="L312" s="43"/>
      <c r="M312" s="43"/>
      <c r="N312" s="53"/>
      <c r="O312" s="43"/>
      <c r="P312" s="43"/>
      <c r="Q312" s="43"/>
      <c r="R312" s="43"/>
      <c r="S312" s="51"/>
    </row>
    <row r="313" spans="1:19" ht="15.75" x14ac:dyDescent="0.25">
      <c r="A313" s="37" t="s">
        <v>23</v>
      </c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</row>
    <row r="314" spans="1:19" ht="25.5" customHeight="1" x14ac:dyDescent="0.25">
      <c r="A314" s="38"/>
      <c r="B314" s="48" t="s">
        <v>579</v>
      </c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</row>
    <row r="315" spans="1:19" ht="18.75" customHeight="1" x14ac:dyDescent="0.25">
      <c r="A315" s="38"/>
      <c r="B315" s="49" t="s">
        <v>229</v>
      </c>
      <c r="C315" s="50" t="s">
        <v>260</v>
      </c>
      <c r="D315" s="50"/>
      <c r="E315" s="50"/>
      <c r="F315" s="50"/>
      <c r="G315" s="50"/>
      <c r="H315" s="50"/>
      <c r="I315" s="50"/>
      <c r="J315" s="43" t="s">
        <v>34</v>
      </c>
      <c r="K315" s="43" t="s">
        <v>822</v>
      </c>
      <c r="L315" s="43" t="s">
        <v>33</v>
      </c>
      <c r="M315" s="43" t="s">
        <v>469</v>
      </c>
      <c r="N315" s="53" t="s">
        <v>439</v>
      </c>
      <c r="O315" s="43" t="s">
        <v>12</v>
      </c>
      <c r="P315" s="43" t="s">
        <v>13</v>
      </c>
      <c r="Q315" s="43" t="s">
        <v>9</v>
      </c>
      <c r="R315" s="43"/>
      <c r="S315" s="51" t="s">
        <v>756</v>
      </c>
    </row>
    <row r="316" spans="1:19" ht="18" customHeight="1" x14ac:dyDescent="0.25">
      <c r="A316" s="38"/>
      <c r="B316" s="49"/>
      <c r="C316" s="31" t="s">
        <v>6</v>
      </c>
      <c r="D316" s="27">
        <f t="shared" ref="D316:F316" si="66">SUM(D317:D320)</f>
        <v>229021.77000000002</v>
      </c>
      <c r="E316" s="23">
        <f t="shared" si="66"/>
        <v>172391.39</v>
      </c>
      <c r="F316" s="23">
        <f t="shared" si="66"/>
        <v>56630.380000000005</v>
      </c>
      <c r="G316" s="23"/>
      <c r="H316" s="23"/>
      <c r="I316" s="23"/>
      <c r="J316" s="43"/>
      <c r="K316" s="43"/>
      <c r="L316" s="43"/>
      <c r="M316" s="43"/>
      <c r="N316" s="53"/>
      <c r="O316" s="43"/>
      <c r="P316" s="43"/>
      <c r="Q316" s="43"/>
      <c r="R316" s="43"/>
      <c r="S316" s="51"/>
    </row>
    <row r="317" spans="1:19" ht="18" customHeight="1" x14ac:dyDescent="0.25">
      <c r="A317" s="38"/>
      <c r="B317" s="49"/>
      <c r="C317" s="31" t="s">
        <v>0</v>
      </c>
      <c r="D317" s="27"/>
      <c r="E317" s="23"/>
      <c r="F317" s="23"/>
      <c r="G317" s="23"/>
      <c r="H317" s="23"/>
      <c r="I317" s="23"/>
      <c r="J317" s="43"/>
      <c r="K317" s="43"/>
      <c r="L317" s="43"/>
      <c r="M317" s="43"/>
      <c r="N317" s="53"/>
      <c r="O317" s="43"/>
      <c r="P317" s="43"/>
      <c r="Q317" s="43"/>
      <c r="R317" s="43"/>
      <c r="S317" s="51"/>
    </row>
    <row r="318" spans="1:19" ht="18" customHeight="1" x14ac:dyDescent="0.25">
      <c r="A318" s="38"/>
      <c r="B318" s="49"/>
      <c r="C318" s="31" t="s">
        <v>1</v>
      </c>
      <c r="D318" s="27">
        <f t="shared" ref="D318:D319" si="67">SUM(E318:I318)</f>
        <v>226655.89</v>
      </c>
      <c r="E318" s="23">
        <f>177597.48-7000</f>
        <v>170597.48</v>
      </c>
      <c r="F318" s="23">
        <v>56058.41</v>
      </c>
      <c r="G318" s="23"/>
      <c r="H318" s="23"/>
      <c r="I318" s="23"/>
      <c r="J318" s="43"/>
      <c r="K318" s="43"/>
      <c r="L318" s="43"/>
      <c r="M318" s="43"/>
      <c r="N318" s="53"/>
      <c r="O318" s="43"/>
      <c r="P318" s="43"/>
      <c r="Q318" s="43"/>
      <c r="R318" s="43"/>
      <c r="S318" s="51"/>
    </row>
    <row r="319" spans="1:19" ht="18" customHeight="1" x14ac:dyDescent="0.25">
      <c r="A319" s="38"/>
      <c r="B319" s="49"/>
      <c r="C319" s="31" t="s">
        <v>2</v>
      </c>
      <c r="D319" s="27">
        <f t="shared" si="67"/>
        <v>2365.88</v>
      </c>
      <c r="E319" s="23">
        <v>1793.91</v>
      </c>
      <c r="F319" s="23">
        <v>571.97</v>
      </c>
      <c r="G319" s="23"/>
      <c r="H319" s="23"/>
      <c r="I319" s="23"/>
      <c r="J319" s="43"/>
      <c r="K319" s="43"/>
      <c r="L319" s="43"/>
      <c r="M319" s="43"/>
      <c r="N319" s="53"/>
      <c r="O319" s="43"/>
      <c r="P319" s="43"/>
      <c r="Q319" s="43"/>
      <c r="R319" s="43"/>
      <c r="S319" s="51"/>
    </row>
    <row r="320" spans="1:19" ht="18" customHeight="1" x14ac:dyDescent="0.25">
      <c r="A320" s="38"/>
      <c r="B320" s="49"/>
      <c r="C320" s="31" t="s">
        <v>3</v>
      </c>
      <c r="D320" s="27"/>
      <c r="E320" s="23"/>
      <c r="F320" s="23"/>
      <c r="G320" s="23"/>
      <c r="H320" s="23"/>
      <c r="I320" s="23"/>
      <c r="J320" s="43"/>
      <c r="K320" s="43"/>
      <c r="L320" s="43"/>
      <c r="M320" s="43"/>
      <c r="N320" s="53"/>
      <c r="O320" s="43"/>
      <c r="P320" s="43"/>
      <c r="Q320" s="43"/>
      <c r="R320" s="43"/>
      <c r="S320" s="51"/>
    </row>
    <row r="321" spans="1:19" ht="18.75" customHeight="1" x14ac:dyDescent="0.25">
      <c r="A321" s="37" t="s">
        <v>23</v>
      </c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</row>
    <row r="322" spans="1:19" ht="21" customHeight="1" x14ac:dyDescent="0.25">
      <c r="A322" s="38"/>
      <c r="B322" s="48" t="s">
        <v>579</v>
      </c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</row>
    <row r="323" spans="1:19" ht="18.75" customHeight="1" x14ac:dyDescent="0.25">
      <c r="A323" s="38"/>
      <c r="B323" s="49" t="s">
        <v>230</v>
      </c>
      <c r="C323" s="50" t="s">
        <v>147</v>
      </c>
      <c r="D323" s="50"/>
      <c r="E323" s="50"/>
      <c r="F323" s="50"/>
      <c r="G323" s="50"/>
      <c r="H323" s="50"/>
      <c r="I323" s="50"/>
      <c r="J323" s="43" t="s">
        <v>80</v>
      </c>
      <c r="K323" s="43" t="s">
        <v>821</v>
      </c>
      <c r="L323" s="43"/>
      <c r="M323" s="43" t="s">
        <v>423</v>
      </c>
      <c r="N323" s="53" t="s">
        <v>440</v>
      </c>
      <c r="O323" s="43" t="s">
        <v>17</v>
      </c>
      <c r="P323" s="43" t="s">
        <v>18</v>
      </c>
      <c r="Q323" s="43" t="s">
        <v>9</v>
      </c>
      <c r="R323" s="43"/>
      <c r="S323" s="51"/>
    </row>
    <row r="324" spans="1:19" ht="18" customHeight="1" x14ac:dyDescent="0.25">
      <c r="A324" s="38"/>
      <c r="B324" s="49"/>
      <c r="C324" s="31" t="s">
        <v>6</v>
      </c>
      <c r="D324" s="27">
        <f t="shared" ref="D324:G324" si="68">SUM(D325:D328)</f>
        <v>90000</v>
      </c>
      <c r="E324" s="23">
        <f t="shared" si="68"/>
        <v>0</v>
      </c>
      <c r="F324" s="23">
        <f t="shared" si="68"/>
        <v>20000</v>
      </c>
      <c r="G324" s="23">
        <f t="shared" si="68"/>
        <v>70000</v>
      </c>
      <c r="H324" s="23"/>
      <c r="I324" s="23"/>
      <c r="J324" s="43"/>
      <c r="K324" s="43"/>
      <c r="L324" s="43"/>
      <c r="M324" s="43"/>
      <c r="N324" s="53"/>
      <c r="O324" s="43"/>
      <c r="P324" s="43"/>
      <c r="Q324" s="43"/>
      <c r="R324" s="43"/>
      <c r="S324" s="51"/>
    </row>
    <row r="325" spans="1:19" ht="18" customHeight="1" x14ac:dyDescent="0.25">
      <c r="A325" s="38"/>
      <c r="B325" s="49"/>
      <c r="C325" s="31" t="s">
        <v>0</v>
      </c>
      <c r="D325" s="27"/>
      <c r="E325" s="23"/>
      <c r="F325" s="23"/>
      <c r="G325" s="23"/>
      <c r="H325" s="23"/>
      <c r="I325" s="23"/>
      <c r="J325" s="43"/>
      <c r="K325" s="43"/>
      <c r="L325" s="43"/>
      <c r="M325" s="43"/>
      <c r="N325" s="53"/>
      <c r="O325" s="43"/>
      <c r="P325" s="43"/>
      <c r="Q325" s="43"/>
      <c r="R325" s="43"/>
      <c r="S325" s="51"/>
    </row>
    <row r="326" spans="1:19" ht="18" customHeight="1" x14ac:dyDescent="0.25">
      <c r="A326" s="38"/>
      <c r="B326" s="49"/>
      <c r="C326" s="31" t="s">
        <v>1</v>
      </c>
      <c r="D326" s="27">
        <f t="shared" ref="D326" si="69">SUM(E326:I326)</f>
        <v>90000</v>
      </c>
      <c r="E326" s="23">
        <f>3670-3670</f>
        <v>0</v>
      </c>
      <c r="F326" s="23">
        <v>20000</v>
      </c>
      <c r="G326" s="23">
        <v>70000</v>
      </c>
      <c r="H326" s="23"/>
      <c r="I326" s="23"/>
      <c r="J326" s="43"/>
      <c r="K326" s="43"/>
      <c r="L326" s="43"/>
      <c r="M326" s="43"/>
      <c r="N326" s="53"/>
      <c r="O326" s="43"/>
      <c r="P326" s="43"/>
      <c r="Q326" s="43"/>
      <c r="R326" s="43"/>
      <c r="S326" s="51"/>
    </row>
    <row r="327" spans="1:19" ht="18" customHeight="1" x14ac:dyDescent="0.25">
      <c r="A327" s="38"/>
      <c r="B327" s="49"/>
      <c r="C327" s="31" t="s">
        <v>2</v>
      </c>
      <c r="D327" s="27"/>
      <c r="E327" s="23"/>
      <c r="F327" s="23"/>
      <c r="G327" s="23"/>
      <c r="H327" s="23"/>
      <c r="I327" s="23"/>
      <c r="J327" s="43"/>
      <c r="K327" s="43"/>
      <c r="L327" s="43"/>
      <c r="M327" s="43"/>
      <c r="N327" s="53"/>
      <c r="O327" s="43"/>
      <c r="P327" s="43"/>
      <c r="Q327" s="43"/>
      <c r="R327" s="43"/>
      <c r="S327" s="51"/>
    </row>
    <row r="328" spans="1:19" ht="18" customHeight="1" x14ac:dyDescent="0.25">
      <c r="A328" s="38"/>
      <c r="B328" s="49"/>
      <c r="C328" s="31" t="s">
        <v>3</v>
      </c>
      <c r="D328" s="27"/>
      <c r="E328" s="23"/>
      <c r="F328" s="23"/>
      <c r="G328" s="23"/>
      <c r="H328" s="23"/>
      <c r="I328" s="23"/>
      <c r="J328" s="43"/>
      <c r="K328" s="43"/>
      <c r="L328" s="43"/>
      <c r="M328" s="43"/>
      <c r="N328" s="53"/>
      <c r="O328" s="43"/>
      <c r="P328" s="43"/>
      <c r="Q328" s="43"/>
      <c r="R328" s="43"/>
      <c r="S328" s="51"/>
    </row>
    <row r="329" spans="1:19" ht="18.75" customHeight="1" x14ac:dyDescent="0.25">
      <c r="A329" s="37" t="s">
        <v>23</v>
      </c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</row>
    <row r="330" spans="1:19" ht="21" customHeight="1" x14ac:dyDescent="0.25">
      <c r="A330" s="38"/>
      <c r="B330" s="48" t="s">
        <v>579</v>
      </c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</row>
    <row r="331" spans="1:19" ht="18.75" customHeight="1" x14ac:dyDescent="0.25">
      <c r="A331" s="38"/>
      <c r="B331" s="49" t="s">
        <v>231</v>
      </c>
      <c r="C331" s="50" t="s">
        <v>58</v>
      </c>
      <c r="D331" s="50"/>
      <c r="E331" s="50"/>
      <c r="F331" s="50"/>
      <c r="G331" s="50"/>
      <c r="H331" s="50"/>
      <c r="I331" s="50"/>
      <c r="J331" s="43" t="s">
        <v>11</v>
      </c>
      <c r="K331" s="43" t="s">
        <v>821</v>
      </c>
      <c r="L331" s="43"/>
      <c r="M331" s="43" t="s">
        <v>423</v>
      </c>
      <c r="N331" s="53" t="s">
        <v>441</v>
      </c>
      <c r="O331" s="43" t="s">
        <v>17</v>
      </c>
      <c r="P331" s="43" t="s">
        <v>18</v>
      </c>
      <c r="Q331" s="43" t="s">
        <v>9</v>
      </c>
      <c r="R331" s="43"/>
      <c r="S331" s="51"/>
    </row>
    <row r="332" spans="1:19" ht="18" customHeight="1" x14ac:dyDescent="0.25">
      <c r="A332" s="38"/>
      <c r="B332" s="49"/>
      <c r="C332" s="31" t="s">
        <v>6</v>
      </c>
      <c r="D332" s="27">
        <f t="shared" ref="D332:G332" si="70">SUM(D333:D336)</f>
        <v>60968.595130000002</v>
      </c>
      <c r="E332" s="23">
        <f t="shared" si="70"/>
        <v>968.59513000000004</v>
      </c>
      <c r="F332" s="23">
        <f t="shared" si="70"/>
        <v>10000</v>
      </c>
      <c r="G332" s="23">
        <f t="shared" si="70"/>
        <v>50000</v>
      </c>
      <c r="H332" s="23"/>
      <c r="I332" s="23"/>
      <c r="J332" s="43"/>
      <c r="K332" s="43"/>
      <c r="L332" s="43"/>
      <c r="M332" s="43"/>
      <c r="N332" s="53"/>
      <c r="O332" s="43"/>
      <c r="P332" s="43"/>
      <c r="Q332" s="43"/>
      <c r="R332" s="43"/>
      <c r="S332" s="51"/>
    </row>
    <row r="333" spans="1:19" ht="18" customHeight="1" x14ac:dyDescent="0.25">
      <c r="A333" s="38"/>
      <c r="B333" s="49"/>
      <c r="C333" s="31" t="s">
        <v>0</v>
      </c>
      <c r="D333" s="27"/>
      <c r="E333" s="23"/>
      <c r="F333" s="23"/>
      <c r="G333" s="23"/>
      <c r="H333" s="23"/>
      <c r="I333" s="23"/>
      <c r="J333" s="43"/>
      <c r="K333" s="43"/>
      <c r="L333" s="43"/>
      <c r="M333" s="43"/>
      <c r="N333" s="53"/>
      <c r="O333" s="43"/>
      <c r="P333" s="43"/>
      <c r="Q333" s="43"/>
      <c r="R333" s="43"/>
      <c r="S333" s="51"/>
    </row>
    <row r="334" spans="1:19" ht="18" customHeight="1" x14ac:dyDescent="0.25">
      <c r="A334" s="38"/>
      <c r="B334" s="49"/>
      <c r="C334" s="31" t="s">
        <v>1</v>
      </c>
      <c r="D334" s="27">
        <f t="shared" ref="D334" si="71">SUM(E334:I334)</f>
        <v>60968.595130000002</v>
      </c>
      <c r="E334" s="23">
        <f>1600-631.40487</f>
        <v>968.59513000000004</v>
      </c>
      <c r="F334" s="23">
        <v>10000</v>
      </c>
      <c r="G334" s="23">
        <v>50000</v>
      </c>
      <c r="H334" s="23"/>
      <c r="I334" s="23"/>
      <c r="J334" s="43"/>
      <c r="K334" s="43"/>
      <c r="L334" s="43"/>
      <c r="M334" s="43"/>
      <c r="N334" s="53"/>
      <c r="O334" s="43"/>
      <c r="P334" s="43"/>
      <c r="Q334" s="43"/>
      <c r="R334" s="43"/>
      <c r="S334" s="51"/>
    </row>
    <row r="335" spans="1:19" ht="18" customHeight="1" x14ac:dyDescent="0.25">
      <c r="A335" s="38"/>
      <c r="B335" s="49"/>
      <c r="C335" s="31" t="s">
        <v>2</v>
      </c>
      <c r="D335" s="27"/>
      <c r="E335" s="23"/>
      <c r="F335" s="23"/>
      <c r="G335" s="23"/>
      <c r="H335" s="23"/>
      <c r="I335" s="23"/>
      <c r="J335" s="43"/>
      <c r="K335" s="43"/>
      <c r="L335" s="43"/>
      <c r="M335" s="43"/>
      <c r="N335" s="53"/>
      <c r="O335" s="43"/>
      <c r="P335" s="43"/>
      <c r="Q335" s="43"/>
      <c r="R335" s="43"/>
      <c r="S335" s="51"/>
    </row>
    <row r="336" spans="1:19" ht="18" customHeight="1" x14ac:dyDescent="0.25">
      <c r="A336" s="38"/>
      <c r="B336" s="49"/>
      <c r="C336" s="31" t="s">
        <v>3</v>
      </c>
      <c r="D336" s="27"/>
      <c r="E336" s="23"/>
      <c r="F336" s="23"/>
      <c r="G336" s="23"/>
      <c r="H336" s="23"/>
      <c r="I336" s="23"/>
      <c r="J336" s="43"/>
      <c r="K336" s="43"/>
      <c r="L336" s="43"/>
      <c r="M336" s="43"/>
      <c r="N336" s="53"/>
      <c r="O336" s="43"/>
      <c r="P336" s="43"/>
      <c r="Q336" s="43"/>
      <c r="R336" s="43"/>
      <c r="S336" s="51"/>
    </row>
    <row r="337" spans="1:19" ht="18.75" customHeight="1" x14ac:dyDescent="0.25">
      <c r="A337" s="37" t="s">
        <v>23</v>
      </c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</row>
    <row r="338" spans="1:19" ht="21" customHeight="1" x14ac:dyDescent="0.25">
      <c r="A338" s="38"/>
      <c r="B338" s="48" t="s">
        <v>579</v>
      </c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</row>
    <row r="339" spans="1:19" ht="18.75" customHeight="1" x14ac:dyDescent="0.25">
      <c r="A339" s="38"/>
      <c r="B339" s="49" t="s">
        <v>232</v>
      </c>
      <c r="C339" s="50" t="s">
        <v>156</v>
      </c>
      <c r="D339" s="50"/>
      <c r="E339" s="50"/>
      <c r="F339" s="50"/>
      <c r="G339" s="50"/>
      <c r="H339" s="50"/>
      <c r="I339" s="50"/>
      <c r="J339" s="43" t="s">
        <v>80</v>
      </c>
      <c r="K339" s="43" t="s">
        <v>821</v>
      </c>
      <c r="L339" s="43"/>
      <c r="M339" s="43" t="s">
        <v>423</v>
      </c>
      <c r="N339" s="53" t="s">
        <v>442</v>
      </c>
      <c r="O339" s="43" t="s">
        <v>17</v>
      </c>
      <c r="P339" s="43" t="s">
        <v>13</v>
      </c>
      <c r="Q339" s="43" t="s">
        <v>9</v>
      </c>
      <c r="R339" s="43"/>
      <c r="S339" s="51"/>
    </row>
    <row r="340" spans="1:19" ht="18" customHeight="1" x14ac:dyDescent="0.25">
      <c r="A340" s="38"/>
      <c r="B340" s="49"/>
      <c r="C340" s="31" t="s">
        <v>6</v>
      </c>
      <c r="D340" s="27">
        <f t="shared" ref="D340" si="72">SUM(D341:D344)</f>
        <v>250200</v>
      </c>
      <c r="E340" s="23">
        <f t="shared" ref="E340:G340" si="73">SUM(E341:E343)</f>
        <v>200</v>
      </c>
      <c r="F340" s="23">
        <f t="shared" si="73"/>
        <v>150000</v>
      </c>
      <c r="G340" s="23">
        <f t="shared" si="73"/>
        <v>100000</v>
      </c>
      <c r="H340" s="23"/>
      <c r="I340" s="23"/>
      <c r="J340" s="43"/>
      <c r="K340" s="43"/>
      <c r="L340" s="43"/>
      <c r="M340" s="43"/>
      <c r="N340" s="53"/>
      <c r="O340" s="43"/>
      <c r="P340" s="43"/>
      <c r="Q340" s="43"/>
      <c r="R340" s="43"/>
      <c r="S340" s="51"/>
    </row>
    <row r="341" spans="1:19" ht="18" customHeight="1" x14ac:dyDescent="0.25">
      <c r="A341" s="38"/>
      <c r="B341" s="49"/>
      <c r="C341" s="31" t="s">
        <v>0</v>
      </c>
      <c r="D341" s="27"/>
      <c r="E341" s="23"/>
      <c r="F341" s="23"/>
      <c r="G341" s="23"/>
      <c r="H341" s="23"/>
      <c r="I341" s="23"/>
      <c r="J341" s="43"/>
      <c r="K341" s="43"/>
      <c r="L341" s="43"/>
      <c r="M341" s="43"/>
      <c r="N341" s="53"/>
      <c r="O341" s="43"/>
      <c r="P341" s="43"/>
      <c r="Q341" s="43"/>
      <c r="R341" s="43"/>
      <c r="S341" s="51"/>
    </row>
    <row r="342" spans="1:19" ht="18" customHeight="1" x14ac:dyDescent="0.25">
      <c r="A342" s="38"/>
      <c r="B342" s="49"/>
      <c r="C342" s="31" t="s">
        <v>1</v>
      </c>
      <c r="D342" s="27">
        <f t="shared" ref="D342" si="74">SUM(E342:I342)</f>
        <v>250200</v>
      </c>
      <c r="E342" s="23">
        <f>3200-3000</f>
        <v>200</v>
      </c>
      <c r="F342" s="23">
        <v>150000</v>
      </c>
      <c r="G342" s="23">
        <v>100000</v>
      </c>
      <c r="H342" s="23"/>
      <c r="I342" s="23"/>
      <c r="J342" s="43"/>
      <c r="K342" s="43"/>
      <c r="L342" s="43"/>
      <c r="M342" s="43"/>
      <c r="N342" s="53"/>
      <c r="O342" s="43"/>
      <c r="P342" s="43"/>
      <c r="Q342" s="43"/>
      <c r="R342" s="43"/>
      <c r="S342" s="51"/>
    </row>
    <row r="343" spans="1:19" ht="18" customHeight="1" x14ac:dyDescent="0.25">
      <c r="A343" s="38"/>
      <c r="B343" s="49"/>
      <c r="C343" s="31" t="s">
        <v>2</v>
      </c>
      <c r="D343" s="27"/>
      <c r="E343" s="23"/>
      <c r="F343" s="23"/>
      <c r="G343" s="23"/>
      <c r="H343" s="23"/>
      <c r="I343" s="23"/>
      <c r="J343" s="43"/>
      <c r="K343" s="43"/>
      <c r="L343" s="43"/>
      <c r="M343" s="43"/>
      <c r="N343" s="53"/>
      <c r="O343" s="43"/>
      <c r="P343" s="43"/>
      <c r="Q343" s="43"/>
      <c r="R343" s="43"/>
      <c r="S343" s="51"/>
    </row>
    <row r="344" spans="1:19" ht="18" customHeight="1" x14ac:dyDescent="0.25">
      <c r="A344" s="38"/>
      <c r="B344" s="49"/>
      <c r="C344" s="31" t="s">
        <v>3</v>
      </c>
      <c r="D344" s="27"/>
      <c r="E344" s="23"/>
      <c r="F344" s="23"/>
      <c r="G344" s="23"/>
      <c r="H344" s="23"/>
      <c r="I344" s="23"/>
      <c r="J344" s="43"/>
      <c r="K344" s="43"/>
      <c r="L344" s="43"/>
      <c r="M344" s="43"/>
      <c r="N344" s="53"/>
      <c r="O344" s="43"/>
      <c r="P344" s="43"/>
      <c r="Q344" s="43"/>
      <c r="R344" s="43"/>
      <c r="S344" s="51"/>
    </row>
    <row r="345" spans="1:19" ht="18.75" customHeight="1" x14ac:dyDescent="0.25">
      <c r="A345" s="37" t="s">
        <v>23</v>
      </c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</row>
    <row r="346" spans="1:19" ht="21" customHeight="1" x14ac:dyDescent="0.25">
      <c r="A346" s="38"/>
      <c r="B346" s="48" t="s">
        <v>579</v>
      </c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</row>
    <row r="347" spans="1:19" ht="18.75" customHeight="1" x14ac:dyDescent="0.25">
      <c r="A347" s="38"/>
      <c r="B347" s="49" t="s">
        <v>233</v>
      </c>
      <c r="C347" s="50" t="s">
        <v>619</v>
      </c>
      <c r="D347" s="50"/>
      <c r="E347" s="50"/>
      <c r="F347" s="50"/>
      <c r="G347" s="50"/>
      <c r="H347" s="50"/>
      <c r="I347" s="50"/>
      <c r="J347" s="43" t="s">
        <v>11</v>
      </c>
      <c r="K347" s="43" t="s">
        <v>821</v>
      </c>
      <c r="L347" s="43"/>
      <c r="M347" s="43" t="s">
        <v>423</v>
      </c>
      <c r="N347" s="53" t="s">
        <v>443</v>
      </c>
      <c r="O347" s="43" t="s">
        <v>17</v>
      </c>
      <c r="P347" s="43" t="s">
        <v>18</v>
      </c>
      <c r="Q347" s="43" t="s">
        <v>44</v>
      </c>
      <c r="R347" s="43"/>
      <c r="S347" s="51"/>
    </row>
    <row r="348" spans="1:19" ht="18" customHeight="1" x14ac:dyDescent="0.25">
      <c r="A348" s="38"/>
      <c r="B348" s="49"/>
      <c r="C348" s="31" t="s">
        <v>6</v>
      </c>
      <c r="D348" s="27">
        <f t="shared" ref="D348:G348" si="75">SUM(D349:D352)</f>
        <v>100556.40399999999</v>
      </c>
      <c r="E348" s="23">
        <f t="shared" si="75"/>
        <v>556.404</v>
      </c>
      <c r="F348" s="23">
        <f t="shared" si="75"/>
        <v>20000</v>
      </c>
      <c r="G348" s="23">
        <f t="shared" si="75"/>
        <v>80000</v>
      </c>
      <c r="H348" s="23"/>
      <c r="I348" s="23"/>
      <c r="J348" s="43"/>
      <c r="K348" s="43"/>
      <c r="L348" s="43"/>
      <c r="M348" s="43"/>
      <c r="N348" s="53"/>
      <c r="O348" s="43"/>
      <c r="P348" s="43"/>
      <c r="Q348" s="43"/>
      <c r="R348" s="43"/>
      <c r="S348" s="51"/>
    </row>
    <row r="349" spans="1:19" ht="18" customHeight="1" x14ac:dyDescent="0.25">
      <c r="A349" s="38"/>
      <c r="B349" s="49"/>
      <c r="C349" s="31" t="s">
        <v>0</v>
      </c>
      <c r="D349" s="27"/>
      <c r="E349" s="23"/>
      <c r="F349" s="23"/>
      <c r="G349" s="23"/>
      <c r="H349" s="23"/>
      <c r="I349" s="23"/>
      <c r="J349" s="43"/>
      <c r="K349" s="43"/>
      <c r="L349" s="43"/>
      <c r="M349" s="43"/>
      <c r="N349" s="53"/>
      <c r="O349" s="43"/>
      <c r="P349" s="43"/>
      <c r="Q349" s="43"/>
      <c r="R349" s="43"/>
      <c r="S349" s="51"/>
    </row>
    <row r="350" spans="1:19" ht="18" customHeight="1" x14ac:dyDescent="0.25">
      <c r="A350" s="38"/>
      <c r="B350" s="49"/>
      <c r="C350" s="31" t="s">
        <v>1</v>
      </c>
      <c r="D350" s="27">
        <f t="shared" ref="D350" si="76">SUM(E350:I350)</f>
        <v>100556.40399999999</v>
      </c>
      <c r="E350" s="23">
        <f>1500-943.596</f>
        <v>556.404</v>
      </c>
      <c r="F350" s="23">
        <v>20000</v>
      </c>
      <c r="G350" s="23">
        <v>80000</v>
      </c>
      <c r="H350" s="23"/>
      <c r="I350" s="23"/>
      <c r="J350" s="43"/>
      <c r="K350" s="43"/>
      <c r="L350" s="43"/>
      <c r="M350" s="43"/>
      <c r="N350" s="53"/>
      <c r="O350" s="43"/>
      <c r="P350" s="43"/>
      <c r="Q350" s="43"/>
      <c r="R350" s="43"/>
      <c r="S350" s="51"/>
    </row>
    <row r="351" spans="1:19" ht="18" customHeight="1" x14ac:dyDescent="0.25">
      <c r="A351" s="38"/>
      <c r="B351" s="49"/>
      <c r="C351" s="31" t="s">
        <v>2</v>
      </c>
      <c r="D351" s="27"/>
      <c r="E351" s="23"/>
      <c r="F351" s="23"/>
      <c r="G351" s="23"/>
      <c r="H351" s="23"/>
      <c r="I351" s="23"/>
      <c r="J351" s="43"/>
      <c r="K351" s="43"/>
      <c r="L351" s="43"/>
      <c r="M351" s="43"/>
      <c r="N351" s="53"/>
      <c r="O351" s="43"/>
      <c r="P351" s="43"/>
      <c r="Q351" s="43"/>
      <c r="R351" s="43"/>
      <c r="S351" s="51"/>
    </row>
    <row r="352" spans="1:19" ht="18" customHeight="1" x14ac:dyDescent="0.25">
      <c r="A352" s="38"/>
      <c r="B352" s="49"/>
      <c r="C352" s="31" t="s">
        <v>3</v>
      </c>
      <c r="D352" s="27"/>
      <c r="E352" s="23"/>
      <c r="F352" s="23"/>
      <c r="G352" s="23"/>
      <c r="H352" s="23"/>
      <c r="I352" s="23"/>
      <c r="J352" s="43"/>
      <c r="K352" s="43"/>
      <c r="L352" s="43"/>
      <c r="M352" s="43"/>
      <c r="N352" s="53"/>
      <c r="O352" s="43"/>
      <c r="P352" s="43"/>
      <c r="Q352" s="43"/>
      <c r="R352" s="43"/>
      <c r="S352" s="51"/>
    </row>
    <row r="353" spans="1:19" ht="18.75" customHeight="1" x14ac:dyDescent="0.25">
      <c r="A353" s="37" t="s">
        <v>23</v>
      </c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</row>
    <row r="354" spans="1:19" ht="21" customHeight="1" x14ac:dyDescent="0.25">
      <c r="A354" s="38"/>
      <c r="B354" s="48" t="s">
        <v>586</v>
      </c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</row>
    <row r="355" spans="1:19" ht="18.75" customHeight="1" x14ac:dyDescent="0.25">
      <c r="A355" s="38"/>
      <c r="B355" s="49" t="s">
        <v>234</v>
      </c>
      <c r="C355" s="50" t="s">
        <v>261</v>
      </c>
      <c r="D355" s="50"/>
      <c r="E355" s="50"/>
      <c r="F355" s="50"/>
      <c r="G355" s="50"/>
      <c r="H355" s="50"/>
      <c r="I355" s="50"/>
      <c r="J355" s="43" t="s">
        <v>15</v>
      </c>
      <c r="K355" s="43" t="s">
        <v>822</v>
      </c>
      <c r="L355" s="43"/>
      <c r="M355" s="43" t="s">
        <v>913</v>
      </c>
      <c r="N355" s="53" t="s">
        <v>445</v>
      </c>
      <c r="O355" s="43" t="s">
        <v>38</v>
      </c>
      <c r="P355" s="43" t="s">
        <v>803</v>
      </c>
      <c r="Q355" s="43" t="s">
        <v>9</v>
      </c>
      <c r="R355" s="43"/>
      <c r="S355" s="51"/>
    </row>
    <row r="356" spans="1:19" ht="18" customHeight="1" x14ac:dyDescent="0.25">
      <c r="A356" s="38"/>
      <c r="B356" s="49"/>
      <c r="C356" s="31" t="s">
        <v>6</v>
      </c>
      <c r="D356" s="27">
        <f>SUM(D357:D360)</f>
        <v>784971.11001999991</v>
      </c>
      <c r="E356" s="23">
        <f t="shared" ref="E356" si="77">SUM(E357:E360)</f>
        <v>784971.11001999991</v>
      </c>
      <c r="F356" s="23"/>
      <c r="G356" s="23"/>
      <c r="H356" s="23"/>
      <c r="I356" s="23"/>
      <c r="J356" s="43"/>
      <c r="K356" s="43"/>
      <c r="L356" s="43"/>
      <c r="M356" s="43"/>
      <c r="N356" s="53"/>
      <c r="O356" s="43"/>
      <c r="P356" s="43"/>
      <c r="Q356" s="43"/>
      <c r="R356" s="43"/>
      <c r="S356" s="51"/>
    </row>
    <row r="357" spans="1:19" ht="18" customHeight="1" x14ac:dyDescent="0.25">
      <c r="A357" s="38"/>
      <c r="B357" s="49"/>
      <c r="C357" s="31" t="s">
        <v>0</v>
      </c>
      <c r="D357" s="27"/>
      <c r="E357" s="23"/>
      <c r="F357" s="23"/>
      <c r="G357" s="23"/>
      <c r="H357" s="23"/>
      <c r="I357" s="23"/>
      <c r="J357" s="43"/>
      <c r="K357" s="43"/>
      <c r="L357" s="43"/>
      <c r="M357" s="43"/>
      <c r="N357" s="53"/>
      <c r="O357" s="43"/>
      <c r="P357" s="43"/>
      <c r="Q357" s="43"/>
      <c r="R357" s="43"/>
      <c r="S357" s="51"/>
    </row>
    <row r="358" spans="1:19" ht="18" customHeight="1" x14ac:dyDescent="0.25">
      <c r="A358" s="38"/>
      <c r="B358" s="49"/>
      <c r="C358" s="31" t="s">
        <v>1</v>
      </c>
      <c r="D358" s="27">
        <f t="shared" ref="D358:D360" si="78">SUM(E358:I358)</f>
        <v>510705.28449999989</v>
      </c>
      <c r="E358" s="23">
        <f>533483.39608+110921.0345-101166.9991+14381.50613-51433.40991+272.2005+17561.115-13313.5587</f>
        <v>510705.28449999989</v>
      </c>
      <c r="F358" s="23"/>
      <c r="G358" s="23"/>
      <c r="H358" s="23"/>
      <c r="I358" s="23"/>
      <c r="J358" s="43"/>
      <c r="K358" s="43"/>
      <c r="L358" s="43"/>
      <c r="M358" s="43"/>
      <c r="N358" s="53"/>
      <c r="O358" s="43"/>
      <c r="P358" s="43"/>
      <c r="Q358" s="43"/>
      <c r="R358" s="43"/>
      <c r="S358" s="51"/>
    </row>
    <row r="359" spans="1:19" ht="18" customHeight="1" x14ac:dyDescent="0.25">
      <c r="A359" s="38"/>
      <c r="B359" s="49"/>
      <c r="C359" s="31" t="s">
        <v>2</v>
      </c>
      <c r="D359" s="27">
        <f t="shared" si="78"/>
        <v>15260.8956</v>
      </c>
      <c r="E359" s="23">
        <v>15260.8956</v>
      </c>
      <c r="F359" s="23"/>
      <c r="G359" s="23"/>
      <c r="H359" s="23"/>
      <c r="I359" s="23"/>
      <c r="J359" s="43"/>
      <c r="K359" s="43"/>
      <c r="L359" s="43"/>
      <c r="M359" s="43"/>
      <c r="N359" s="53"/>
      <c r="O359" s="43"/>
      <c r="P359" s="43"/>
      <c r="Q359" s="43"/>
      <c r="R359" s="43"/>
      <c r="S359" s="51"/>
    </row>
    <row r="360" spans="1:19" ht="18" customHeight="1" x14ac:dyDescent="0.25">
      <c r="A360" s="38"/>
      <c r="B360" s="49"/>
      <c r="C360" s="31" t="s">
        <v>3</v>
      </c>
      <c r="D360" s="27">
        <f t="shared" si="78"/>
        <v>259004.92992</v>
      </c>
      <c r="E360" s="23">
        <v>259004.92992</v>
      </c>
      <c r="F360" s="23"/>
      <c r="G360" s="23"/>
      <c r="H360" s="23"/>
      <c r="I360" s="23"/>
      <c r="J360" s="43"/>
      <c r="K360" s="43"/>
      <c r="L360" s="43"/>
      <c r="M360" s="43"/>
      <c r="N360" s="53"/>
      <c r="O360" s="43"/>
      <c r="P360" s="43"/>
      <c r="Q360" s="43"/>
      <c r="R360" s="43"/>
      <c r="S360" s="51"/>
    </row>
    <row r="361" spans="1:19" ht="18.75" customHeight="1" x14ac:dyDescent="0.25">
      <c r="A361" s="37" t="s">
        <v>23</v>
      </c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</row>
    <row r="362" spans="1:19" ht="21" customHeight="1" x14ac:dyDescent="0.25">
      <c r="A362" s="38"/>
      <c r="B362" s="48" t="s">
        <v>637</v>
      </c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</row>
    <row r="363" spans="1:19" ht="41.25" customHeight="1" x14ac:dyDescent="0.25">
      <c r="A363" s="38"/>
      <c r="B363" s="49" t="s">
        <v>235</v>
      </c>
      <c r="C363" s="50" t="s">
        <v>416</v>
      </c>
      <c r="D363" s="50"/>
      <c r="E363" s="50"/>
      <c r="F363" s="50"/>
      <c r="G363" s="50"/>
      <c r="H363" s="50"/>
      <c r="I363" s="50"/>
      <c r="J363" s="43" t="s">
        <v>15</v>
      </c>
      <c r="K363" s="43" t="s">
        <v>822</v>
      </c>
      <c r="L363" s="43"/>
      <c r="M363" s="43" t="s">
        <v>913</v>
      </c>
      <c r="N363" s="53" t="s">
        <v>585</v>
      </c>
      <c r="O363" s="43" t="s">
        <v>12</v>
      </c>
      <c r="P363" s="43" t="s">
        <v>803</v>
      </c>
      <c r="Q363" s="43" t="s">
        <v>9</v>
      </c>
      <c r="R363" s="43"/>
      <c r="S363" s="51"/>
    </row>
    <row r="364" spans="1:19" ht="18" customHeight="1" x14ac:dyDescent="0.25">
      <c r="A364" s="38"/>
      <c r="B364" s="49"/>
      <c r="C364" s="31" t="s">
        <v>6</v>
      </c>
      <c r="D364" s="27">
        <f>SUM(D365:D368)</f>
        <v>6488.0534200000002</v>
      </c>
      <c r="E364" s="23">
        <f t="shared" ref="E364" si="79">SUM(E365:E368)</f>
        <v>6488.0534200000002</v>
      </c>
      <c r="F364" s="23"/>
      <c r="G364" s="23"/>
      <c r="H364" s="23"/>
      <c r="I364" s="23"/>
      <c r="J364" s="43"/>
      <c r="K364" s="43"/>
      <c r="L364" s="43"/>
      <c r="M364" s="43"/>
      <c r="N364" s="53"/>
      <c r="O364" s="43"/>
      <c r="P364" s="43"/>
      <c r="Q364" s="43"/>
      <c r="R364" s="43"/>
      <c r="S364" s="51"/>
    </row>
    <row r="365" spans="1:19" ht="18" customHeight="1" x14ac:dyDescent="0.25">
      <c r="A365" s="38"/>
      <c r="B365" s="49"/>
      <c r="C365" s="31" t="s">
        <v>0</v>
      </c>
      <c r="D365" s="27"/>
      <c r="E365" s="23"/>
      <c r="F365" s="23"/>
      <c r="G365" s="23"/>
      <c r="H365" s="23"/>
      <c r="I365" s="23"/>
      <c r="J365" s="43"/>
      <c r="K365" s="43"/>
      <c r="L365" s="43"/>
      <c r="M365" s="43"/>
      <c r="N365" s="53"/>
      <c r="O365" s="43"/>
      <c r="P365" s="43"/>
      <c r="Q365" s="43"/>
      <c r="R365" s="43"/>
      <c r="S365" s="51"/>
    </row>
    <row r="366" spans="1:19" ht="18" customHeight="1" x14ac:dyDescent="0.25">
      <c r="A366" s="38"/>
      <c r="B366" s="49"/>
      <c r="C366" s="31" t="s">
        <v>1</v>
      </c>
      <c r="D366" s="27">
        <f t="shared" ref="D366" si="80">SUM(E366:I366)</f>
        <v>6488.0534200000002</v>
      </c>
      <c r="E366" s="23">
        <f>118189.60392-110921.0345-780.516</f>
        <v>6488.0534200000002</v>
      </c>
      <c r="F366" s="23"/>
      <c r="G366" s="23"/>
      <c r="H366" s="23"/>
      <c r="I366" s="23"/>
      <c r="J366" s="43"/>
      <c r="K366" s="43"/>
      <c r="L366" s="43"/>
      <c r="M366" s="43"/>
      <c r="N366" s="53"/>
      <c r="O366" s="43"/>
      <c r="P366" s="43"/>
      <c r="Q366" s="43"/>
      <c r="R366" s="43"/>
      <c r="S366" s="51"/>
    </row>
    <row r="367" spans="1:19" ht="18" customHeight="1" x14ac:dyDescent="0.25">
      <c r="A367" s="38"/>
      <c r="B367" s="49"/>
      <c r="C367" s="31" t="s">
        <v>2</v>
      </c>
      <c r="D367" s="27"/>
      <c r="E367" s="23"/>
      <c r="F367" s="23"/>
      <c r="G367" s="23"/>
      <c r="H367" s="23"/>
      <c r="I367" s="23"/>
      <c r="J367" s="43"/>
      <c r="K367" s="43"/>
      <c r="L367" s="43"/>
      <c r="M367" s="43"/>
      <c r="N367" s="53"/>
      <c r="O367" s="43"/>
      <c r="P367" s="43"/>
      <c r="Q367" s="43"/>
      <c r="R367" s="43"/>
      <c r="S367" s="51"/>
    </row>
    <row r="368" spans="1:19" ht="18" customHeight="1" x14ac:dyDescent="0.25">
      <c r="A368" s="38"/>
      <c r="B368" s="49"/>
      <c r="C368" s="31" t="s">
        <v>3</v>
      </c>
      <c r="D368" s="27"/>
      <c r="E368" s="23"/>
      <c r="F368" s="23"/>
      <c r="G368" s="23"/>
      <c r="H368" s="23"/>
      <c r="I368" s="23"/>
      <c r="J368" s="43"/>
      <c r="K368" s="43"/>
      <c r="L368" s="43"/>
      <c r="M368" s="43"/>
      <c r="N368" s="53"/>
      <c r="O368" s="43"/>
      <c r="P368" s="43"/>
      <c r="Q368" s="43"/>
      <c r="R368" s="43"/>
      <c r="S368" s="51"/>
    </row>
    <row r="369" spans="1:19" ht="18.75" customHeight="1" x14ac:dyDescent="0.25">
      <c r="A369" s="37" t="s">
        <v>23</v>
      </c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</row>
    <row r="370" spans="1:19" ht="36" customHeight="1" x14ac:dyDescent="0.25">
      <c r="A370" s="38"/>
      <c r="B370" s="48" t="s">
        <v>894</v>
      </c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</row>
    <row r="371" spans="1:19" ht="39" customHeight="1" x14ac:dyDescent="0.25">
      <c r="A371" s="38"/>
      <c r="B371" s="66" t="s">
        <v>236</v>
      </c>
      <c r="C371" s="50" t="s">
        <v>187</v>
      </c>
      <c r="D371" s="50"/>
      <c r="E371" s="50"/>
      <c r="F371" s="50"/>
      <c r="G371" s="50"/>
      <c r="H371" s="50"/>
      <c r="I371" s="50"/>
      <c r="J371" s="43" t="s">
        <v>15</v>
      </c>
      <c r="K371" s="43" t="s">
        <v>826</v>
      </c>
      <c r="L371" s="43" t="s">
        <v>852</v>
      </c>
      <c r="M371" s="43" t="s">
        <v>23</v>
      </c>
      <c r="N371" s="53" t="s">
        <v>463</v>
      </c>
      <c r="O371" s="43"/>
      <c r="P371" s="43" t="s">
        <v>803</v>
      </c>
      <c r="Q371" s="43" t="s">
        <v>9</v>
      </c>
      <c r="R371" s="43"/>
      <c r="S371" s="51"/>
    </row>
    <row r="372" spans="1:19" ht="29.25" customHeight="1" x14ac:dyDescent="0.25">
      <c r="A372" s="38"/>
      <c r="B372" s="66"/>
      <c r="C372" s="31" t="s">
        <v>6</v>
      </c>
      <c r="D372" s="27">
        <f>SUM(D373:D376)</f>
        <v>23774.596799999999</v>
      </c>
      <c r="E372" s="23">
        <f t="shared" ref="E372" si="81">SUM(E373:E376)</f>
        <v>23774.596799999999</v>
      </c>
      <c r="F372" s="23"/>
      <c r="G372" s="23"/>
      <c r="H372" s="23"/>
      <c r="I372" s="23"/>
      <c r="J372" s="43"/>
      <c r="K372" s="43"/>
      <c r="L372" s="43"/>
      <c r="M372" s="43"/>
      <c r="N372" s="53"/>
      <c r="O372" s="43"/>
      <c r="P372" s="43"/>
      <c r="Q372" s="43"/>
      <c r="R372" s="43"/>
      <c r="S372" s="51"/>
    </row>
    <row r="373" spans="1:19" ht="23.25" customHeight="1" x14ac:dyDescent="0.25">
      <c r="A373" s="38"/>
      <c r="B373" s="66"/>
      <c r="C373" s="31" t="s">
        <v>0</v>
      </c>
      <c r="D373" s="27"/>
      <c r="E373" s="23"/>
      <c r="F373" s="23"/>
      <c r="G373" s="23"/>
      <c r="H373" s="23"/>
      <c r="I373" s="23"/>
      <c r="J373" s="43"/>
      <c r="K373" s="43"/>
      <c r="L373" s="43"/>
      <c r="M373" s="43"/>
      <c r="N373" s="53"/>
      <c r="O373" s="43"/>
      <c r="P373" s="43"/>
      <c r="Q373" s="43"/>
      <c r="R373" s="43"/>
      <c r="S373" s="51"/>
    </row>
    <row r="374" spans="1:19" ht="23.25" customHeight="1" x14ac:dyDescent="0.25">
      <c r="A374" s="38"/>
      <c r="B374" s="66"/>
      <c r="C374" s="31" t="s">
        <v>1</v>
      </c>
      <c r="D374" s="27">
        <f t="shared" ref="D374" si="82">SUM(E374:I374)</f>
        <v>23774.596799999999</v>
      </c>
      <c r="E374" s="23">
        <f>24950-1175.4032</f>
        <v>23774.596799999999</v>
      </c>
      <c r="F374" s="23"/>
      <c r="G374" s="23"/>
      <c r="H374" s="23"/>
      <c r="I374" s="23"/>
      <c r="J374" s="43"/>
      <c r="K374" s="43"/>
      <c r="L374" s="43"/>
      <c r="M374" s="43"/>
      <c r="N374" s="53"/>
      <c r="O374" s="43"/>
      <c r="P374" s="43"/>
      <c r="Q374" s="43"/>
      <c r="R374" s="43"/>
      <c r="S374" s="51"/>
    </row>
    <row r="375" spans="1:19" ht="18" customHeight="1" x14ac:dyDescent="0.25">
      <c r="A375" s="38"/>
      <c r="B375" s="66"/>
      <c r="C375" s="31" t="s">
        <v>2</v>
      </c>
      <c r="D375" s="27"/>
      <c r="E375" s="23"/>
      <c r="F375" s="23"/>
      <c r="G375" s="23"/>
      <c r="H375" s="23"/>
      <c r="I375" s="23"/>
      <c r="J375" s="43"/>
      <c r="K375" s="43"/>
      <c r="L375" s="43"/>
      <c r="M375" s="43"/>
      <c r="N375" s="53"/>
      <c r="O375" s="43"/>
      <c r="P375" s="43"/>
      <c r="Q375" s="43"/>
      <c r="R375" s="43"/>
      <c r="S375" s="51"/>
    </row>
    <row r="376" spans="1:19" ht="31.5" customHeight="1" x14ac:dyDescent="0.25">
      <c r="A376" s="38"/>
      <c r="B376" s="66"/>
      <c r="C376" s="31" t="s">
        <v>3</v>
      </c>
      <c r="D376" s="27"/>
      <c r="E376" s="23"/>
      <c r="F376" s="23"/>
      <c r="G376" s="23"/>
      <c r="H376" s="23"/>
      <c r="I376" s="23"/>
      <c r="J376" s="43"/>
      <c r="K376" s="43"/>
      <c r="L376" s="43"/>
      <c r="M376" s="43"/>
      <c r="N376" s="53"/>
      <c r="O376" s="43"/>
      <c r="P376" s="43"/>
      <c r="Q376" s="43"/>
      <c r="R376" s="43"/>
      <c r="S376" s="51"/>
    </row>
    <row r="377" spans="1:19" ht="18.75" customHeight="1" x14ac:dyDescent="0.25">
      <c r="A377" s="37" t="s">
        <v>90</v>
      </c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</row>
    <row r="378" spans="1:19" ht="21" customHeight="1" x14ac:dyDescent="0.25">
      <c r="A378" s="38"/>
      <c r="B378" s="48" t="s">
        <v>584</v>
      </c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</row>
    <row r="379" spans="1:19" ht="36" customHeight="1" x14ac:dyDescent="0.25">
      <c r="A379" s="38"/>
      <c r="B379" s="49" t="s">
        <v>237</v>
      </c>
      <c r="C379" s="50" t="s">
        <v>120</v>
      </c>
      <c r="D379" s="50"/>
      <c r="E379" s="50"/>
      <c r="F379" s="50"/>
      <c r="G379" s="50"/>
      <c r="H379" s="50"/>
      <c r="I379" s="50"/>
      <c r="J379" s="43" t="s">
        <v>15</v>
      </c>
      <c r="K379" s="43" t="s">
        <v>827</v>
      </c>
      <c r="L379" s="43"/>
      <c r="M379" s="43" t="s">
        <v>444</v>
      </c>
      <c r="N379" s="53" t="s">
        <v>638</v>
      </c>
      <c r="O379" s="43"/>
      <c r="P379" s="43" t="s">
        <v>803</v>
      </c>
      <c r="Q379" s="43" t="s">
        <v>9</v>
      </c>
      <c r="R379" s="43"/>
      <c r="S379" s="51"/>
    </row>
    <row r="380" spans="1:19" ht="18" customHeight="1" x14ac:dyDescent="0.25">
      <c r="A380" s="38"/>
      <c r="B380" s="49"/>
      <c r="C380" s="31" t="s">
        <v>6</v>
      </c>
      <c r="D380" s="27">
        <f>SUM(D381:D384)</f>
        <v>82087.472999999998</v>
      </c>
      <c r="E380" s="23">
        <f t="shared" ref="E380" si="83">SUM(E381:E384)</f>
        <v>82087.472999999998</v>
      </c>
      <c r="F380" s="23"/>
      <c r="G380" s="23"/>
      <c r="H380" s="23"/>
      <c r="I380" s="23"/>
      <c r="J380" s="43"/>
      <c r="K380" s="43"/>
      <c r="L380" s="43"/>
      <c r="M380" s="43"/>
      <c r="N380" s="53"/>
      <c r="O380" s="43"/>
      <c r="P380" s="43"/>
      <c r="Q380" s="43"/>
      <c r="R380" s="43"/>
      <c r="S380" s="51"/>
    </row>
    <row r="381" spans="1:19" ht="18" customHeight="1" x14ac:dyDescent="0.25">
      <c r="A381" s="38"/>
      <c r="B381" s="49"/>
      <c r="C381" s="31" t="s">
        <v>0</v>
      </c>
      <c r="D381" s="27">
        <f>SUM(E381:I381)</f>
        <v>40596.000999999997</v>
      </c>
      <c r="E381" s="23">
        <v>40596.000999999997</v>
      </c>
      <c r="F381" s="23"/>
      <c r="G381" s="23"/>
      <c r="H381" s="23"/>
      <c r="I381" s="23"/>
      <c r="J381" s="43"/>
      <c r="K381" s="43"/>
      <c r="L381" s="43"/>
      <c r="M381" s="43"/>
      <c r="N381" s="53"/>
      <c r="O381" s="43"/>
      <c r="P381" s="43"/>
      <c r="Q381" s="43"/>
      <c r="R381" s="43"/>
      <c r="S381" s="51"/>
    </row>
    <row r="382" spans="1:19" ht="18" customHeight="1" x14ac:dyDescent="0.25">
      <c r="A382" s="38"/>
      <c r="B382" s="49"/>
      <c r="C382" s="31" t="s">
        <v>1</v>
      </c>
      <c r="D382" s="27">
        <f t="shared" ref="D382" si="84">SUM(E382:I382)</f>
        <v>41491.472000000002</v>
      </c>
      <c r="E382" s="23">
        <v>41491.472000000002</v>
      </c>
      <c r="F382" s="23"/>
      <c r="G382" s="23"/>
      <c r="H382" s="23"/>
      <c r="I382" s="23"/>
      <c r="J382" s="43"/>
      <c r="K382" s="43"/>
      <c r="L382" s="43"/>
      <c r="M382" s="43"/>
      <c r="N382" s="53"/>
      <c r="O382" s="43"/>
      <c r="P382" s="43"/>
      <c r="Q382" s="43"/>
      <c r="R382" s="43"/>
      <c r="S382" s="51"/>
    </row>
    <row r="383" spans="1:19" ht="18" customHeight="1" x14ac:dyDescent="0.25">
      <c r="A383" s="38"/>
      <c r="B383" s="49"/>
      <c r="C383" s="31" t="s">
        <v>2</v>
      </c>
      <c r="D383" s="27"/>
      <c r="E383" s="23"/>
      <c r="F383" s="23"/>
      <c r="G383" s="23"/>
      <c r="H383" s="23"/>
      <c r="I383" s="23"/>
      <c r="J383" s="43"/>
      <c r="K383" s="43"/>
      <c r="L383" s="43"/>
      <c r="M383" s="43"/>
      <c r="N383" s="53"/>
      <c r="O383" s="43"/>
      <c r="P383" s="43"/>
      <c r="Q383" s="43"/>
      <c r="R383" s="43"/>
      <c r="S383" s="51"/>
    </row>
    <row r="384" spans="1:19" ht="18" customHeight="1" x14ac:dyDescent="0.25">
      <c r="A384" s="38"/>
      <c r="B384" s="49"/>
      <c r="C384" s="31" t="s">
        <v>3</v>
      </c>
      <c r="D384" s="27"/>
      <c r="E384" s="23"/>
      <c r="F384" s="23"/>
      <c r="G384" s="23"/>
      <c r="H384" s="23"/>
      <c r="I384" s="23"/>
      <c r="J384" s="43"/>
      <c r="K384" s="43"/>
      <c r="L384" s="43"/>
      <c r="M384" s="43"/>
      <c r="N384" s="53"/>
      <c r="O384" s="43"/>
      <c r="P384" s="43"/>
      <c r="Q384" s="43"/>
      <c r="R384" s="43"/>
      <c r="S384" s="51"/>
    </row>
    <row r="385" spans="1:19" ht="18.75" customHeight="1" x14ac:dyDescent="0.25">
      <c r="A385" s="37" t="s">
        <v>845</v>
      </c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</row>
    <row r="386" spans="1:19" ht="21" customHeight="1" x14ac:dyDescent="0.25">
      <c r="A386" s="38"/>
      <c r="B386" s="48" t="s">
        <v>582</v>
      </c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</row>
    <row r="387" spans="1:19" ht="37.5" customHeight="1" x14ac:dyDescent="0.25">
      <c r="A387" s="38"/>
      <c r="B387" s="49" t="s">
        <v>238</v>
      </c>
      <c r="C387" s="50" t="s">
        <v>89</v>
      </c>
      <c r="D387" s="50"/>
      <c r="E387" s="50"/>
      <c r="F387" s="50"/>
      <c r="G387" s="50"/>
      <c r="H387" s="50"/>
      <c r="I387" s="50"/>
      <c r="J387" s="43" t="s">
        <v>11</v>
      </c>
      <c r="K387" s="43" t="s">
        <v>583</v>
      </c>
      <c r="L387" s="43"/>
      <c r="M387" s="43" t="s">
        <v>913</v>
      </c>
      <c r="N387" s="53" t="s">
        <v>446</v>
      </c>
      <c r="O387" s="43" t="s">
        <v>12</v>
      </c>
      <c r="P387" s="43" t="s">
        <v>803</v>
      </c>
      <c r="Q387" s="43" t="s">
        <v>9</v>
      </c>
      <c r="R387" s="43"/>
      <c r="S387" s="51"/>
    </row>
    <row r="388" spans="1:19" ht="18" customHeight="1" x14ac:dyDescent="0.25">
      <c r="A388" s="38"/>
      <c r="B388" s="49"/>
      <c r="C388" s="31" t="s">
        <v>6</v>
      </c>
      <c r="D388" s="27">
        <f t="shared" ref="D388:G388" si="85">SUM(D389:D392)</f>
        <v>770072.57042000012</v>
      </c>
      <c r="E388" s="23">
        <f t="shared" si="85"/>
        <v>334490.17041999998</v>
      </c>
      <c r="F388" s="23">
        <f t="shared" si="85"/>
        <v>183535.4</v>
      </c>
      <c r="G388" s="23">
        <f t="shared" si="85"/>
        <v>252047</v>
      </c>
      <c r="H388" s="23"/>
      <c r="I388" s="23"/>
      <c r="J388" s="43"/>
      <c r="K388" s="43"/>
      <c r="L388" s="43"/>
      <c r="M388" s="43"/>
      <c r="N388" s="53"/>
      <c r="O388" s="43"/>
      <c r="P388" s="43"/>
      <c r="Q388" s="43"/>
      <c r="R388" s="43"/>
      <c r="S388" s="51"/>
    </row>
    <row r="389" spans="1:19" ht="18" customHeight="1" x14ac:dyDescent="0.25">
      <c r="A389" s="38"/>
      <c r="B389" s="49"/>
      <c r="C389" s="31" t="s">
        <v>0</v>
      </c>
      <c r="D389" s="27">
        <f>SUM(E389:I389)</f>
        <v>44282.399999999994</v>
      </c>
      <c r="E389" s="23">
        <v>14526.6</v>
      </c>
      <c r="F389" s="23">
        <v>14515</v>
      </c>
      <c r="G389" s="23">
        <v>15240.8</v>
      </c>
      <c r="H389" s="23"/>
      <c r="I389" s="23"/>
      <c r="J389" s="43"/>
      <c r="K389" s="43"/>
      <c r="L389" s="43"/>
      <c r="M389" s="43"/>
      <c r="N389" s="53"/>
      <c r="O389" s="43"/>
      <c r="P389" s="43"/>
      <c r="Q389" s="43"/>
      <c r="R389" s="43"/>
      <c r="S389" s="51"/>
    </row>
    <row r="390" spans="1:19" ht="18" customHeight="1" x14ac:dyDescent="0.25">
      <c r="A390" s="38"/>
      <c r="B390" s="49"/>
      <c r="C390" s="31" t="s">
        <v>1</v>
      </c>
      <c r="D390" s="27">
        <f t="shared" ref="D390" si="86">SUM(E390:I390)</f>
        <v>725790.1704200001</v>
      </c>
      <c r="E390" s="23">
        <f>289577.1+30386.47042</f>
        <v>319963.57042</v>
      </c>
      <c r="F390" s="23">
        <v>169020.4</v>
      </c>
      <c r="G390" s="23">
        <v>236806.2</v>
      </c>
      <c r="H390" s="23"/>
      <c r="I390" s="23"/>
      <c r="J390" s="43"/>
      <c r="K390" s="43"/>
      <c r="L390" s="43"/>
      <c r="M390" s="43"/>
      <c r="N390" s="53"/>
      <c r="O390" s="43"/>
      <c r="P390" s="43"/>
      <c r="Q390" s="43"/>
      <c r="R390" s="43"/>
      <c r="S390" s="51"/>
    </row>
    <row r="391" spans="1:19" ht="18" customHeight="1" x14ac:dyDescent="0.25">
      <c r="A391" s="38"/>
      <c r="B391" s="49"/>
      <c r="C391" s="31" t="s">
        <v>2</v>
      </c>
      <c r="D391" s="27"/>
      <c r="E391" s="23"/>
      <c r="F391" s="23"/>
      <c r="G391" s="23"/>
      <c r="H391" s="23"/>
      <c r="I391" s="23"/>
      <c r="J391" s="43"/>
      <c r="K391" s="43"/>
      <c r="L391" s="43"/>
      <c r="M391" s="43"/>
      <c r="N391" s="53"/>
      <c r="O391" s="43"/>
      <c r="P391" s="43"/>
      <c r="Q391" s="43"/>
      <c r="R391" s="43"/>
      <c r="S391" s="51"/>
    </row>
    <row r="392" spans="1:19" ht="18" customHeight="1" x14ac:dyDescent="0.25">
      <c r="A392" s="38"/>
      <c r="B392" s="49"/>
      <c r="C392" s="31" t="s">
        <v>3</v>
      </c>
      <c r="D392" s="27"/>
      <c r="E392" s="23"/>
      <c r="F392" s="23"/>
      <c r="G392" s="23"/>
      <c r="H392" s="23"/>
      <c r="I392" s="23"/>
      <c r="J392" s="43"/>
      <c r="K392" s="43"/>
      <c r="L392" s="43"/>
      <c r="M392" s="43"/>
      <c r="N392" s="53"/>
      <c r="O392" s="43"/>
      <c r="P392" s="43"/>
      <c r="Q392" s="43"/>
      <c r="R392" s="43"/>
      <c r="S392" s="51"/>
    </row>
    <row r="393" spans="1:19" ht="18.75" customHeight="1" x14ac:dyDescent="0.25">
      <c r="A393" s="37" t="s">
        <v>845</v>
      </c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</row>
    <row r="394" spans="1:19" ht="21" customHeight="1" x14ac:dyDescent="0.25">
      <c r="A394" s="38"/>
      <c r="B394" s="48" t="s">
        <v>582</v>
      </c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</row>
    <row r="395" spans="1:19" ht="18.75" customHeight="1" x14ac:dyDescent="0.25">
      <c r="A395" s="38"/>
      <c r="B395" s="66" t="s">
        <v>239</v>
      </c>
      <c r="C395" s="50" t="s">
        <v>895</v>
      </c>
      <c r="D395" s="50"/>
      <c r="E395" s="50"/>
      <c r="F395" s="50"/>
      <c r="G395" s="50"/>
      <c r="H395" s="50"/>
      <c r="I395" s="50"/>
      <c r="J395" s="43" t="s">
        <v>15</v>
      </c>
      <c r="K395" s="43" t="s">
        <v>820</v>
      </c>
      <c r="L395" s="43"/>
      <c r="M395" s="43" t="s">
        <v>845</v>
      </c>
      <c r="N395" s="44" t="s">
        <v>515</v>
      </c>
      <c r="O395" s="43" t="s">
        <v>17</v>
      </c>
      <c r="P395" s="43" t="s">
        <v>803</v>
      </c>
      <c r="Q395" s="43" t="s">
        <v>44</v>
      </c>
      <c r="R395" s="43"/>
      <c r="S395" s="51"/>
    </row>
    <row r="396" spans="1:19" ht="18" customHeight="1" x14ac:dyDescent="0.25">
      <c r="A396" s="38"/>
      <c r="B396" s="66"/>
      <c r="C396" s="31" t="s">
        <v>6</v>
      </c>
      <c r="D396" s="27">
        <f t="shared" ref="D396:E396" si="87">SUM(D397:D400)</f>
        <v>25176.313000000002</v>
      </c>
      <c r="E396" s="23">
        <f t="shared" si="87"/>
        <v>25176.313000000002</v>
      </c>
      <c r="F396" s="23"/>
      <c r="G396" s="23"/>
      <c r="H396" s="23"/>
      <c r="I396" s="23"/>
      <c r="J396" s="43"/>
      <c r="K396" s="43"/>
      <c r="L396" s="43"/>
      <c r="M396" s="43"/>
      <c r="N396" s="44"/>
      <c r="O396" s="43"/>
      <c r="P396" s="43"/>
      <c r="Q396" s="43"/>
      <c r="R396" s="43"/>
      <c r="S396" s="51"/>
    </row>
    <row r="397" spans="1:19" ht="18" customHeight="1" x14ac:dyDescent="0.25">
      <c r="A397" s="38"/>
      <c r="B397" s="66"/>
      <c r="C397" s="31" t="s">
        <v>0</v>
      </c>
      <c r="D397" s="27"/>
      <c r="E397" s="23"/>
      <c r="F397" s="23"/>
      <c r="G397" s="23"/>
      <c r="H397" s="23"/>
      <c r="I397" s="23"/>
      <c r="J397" s="43"/>
      <c r="K397" s="43"/>
      <c r="L397" s="43"/>
      <c r="M397" s="43"/>
      <c r="N397" s="44"/>
      <c r="O397" s="43"/>
      <c r="P397" s="43"/>
      <c r="Q397" s="43"/>
      <c r="R397" s="43"/>
      <c r="S397" s="51"/>
    </row>
    <row r="398" spans="1:19" ht="18" customHeight="1" x14ac:dyDescent="0.25">
      <c r="A398" s="38"/>
      <c r="B398" s="66"/>
      <c r="C398" s="31" t="s">
        <v>1</v>
      </c>
      <c r="D398" s="27">
        <f t="shared" ref="D398" si="88">SUM(E398:I398)</f>
        <v>25176.313000000002</v>
      </c>
      <c r="E398" s="25">
        <f>20000-2064+7240.313</f>
        <v>25176.313000000002</v>
      </c>
      <c r="F398" s="23"/>
      <c r="G398" s="23"/>
      <c r="H398" s="23"/>
      <c r="I398" s="23"/>
      <c r="J398" s="43"/>
      <c r="K398" s="43"/>
      <c r="L398" s="43"/>
      <c r="M398" s="43"/>
      <c r="N398" s="44"/>
      <c r="O398" s="43"/>
      <c r="P398" s="43"/>
      <c r="Q398" s="43"/>
      <c r="R398" s="43"/>
      <c r="S398" s="51"/>
    </row>
    <row r="399" spans="1:19" ht="18" customHeight="1" x14ac:dyDescent="0.25">
      <c r="A399" s="38"/>
      <c r="B399" s="66"/>
      <c r="C399" s="31" t="s">
        <v>2</v>
      </c>
      <c r="D399" s="27"/>
      <c r="E399" s="23"/>
      <c r="F399" s="23"/>
      <c r="G399" s="23"/>
      <c r="H399" s="23"/>
      <c r="I399" s="23"/>
      <c r="J399" s="43"/>
      <c r="K399" s="43"/>
      <c r="L399" s="43"/>
      <c r="M399" s="43"/>
      <c r="N399" s="44"/>
      <c r="O399" s="43"/>
      <c r="P399" s="43"/>
      <c r="Q399" s="43"/>
      <c r="R399" s="43"/>
      <c r="S399" s="51"/>
    </row>
    <row r="400" spans="1:19" ht="18" customHeight="1" x14ac:dyDescent="0.25">
      <c r="A400" s="38"/>
      <c r="B400" s="66"/>
      <c r="C400" s="31" t="s">
        <v>3</v>
      </c>
      <c r="D400" s="27"/>
      <c r="E400" s="23"/>
      <c r="F400" s="23"/>
      <c r="G400" s="23"/>
      <c r="H400" s="23"/>
      <c r="I400" s="23"/>
      <c r="J400" s="43"/>
      <c r="K400" s="43"/>
      <c r="L400" s="43"/>
      <c r="M400" s="43"/>
      <c r="N400" s="44"/>
      <c r="O400" s="43"/>
      <c r="P400" s="43"/>
      <c r="Q400" s="43"/>
      <c r="R400" s="43"/>
      <c r="S400" s="51"/>
    </row>
    <row r="401" spans="1:19" ht="15.75" x14ac:dyDescent="0.25">
      <c r="A401" s="37" t="s">
        <v>23</v>
      </c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</row>
    <row r="402" spans="1:19" ht="28.5" customHeight="1" x14ac:dyDescent="0.25">
      <c r="A402" s="38"/>
      <c r="B402" s="48" t="s">
        <v>581</v>
      </c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</row>
    <row r="403" spans="1:19" ht="39" customHeight="1" x14ac:dyDescent="0.25">
      <c r="A403" s="38"/>
      <c r="B403" s="49" t="s">
        <v>240</v>
      </c>
      <c r="C403" s="41" t="s">
        <v>951</v>
      </c>
      <c r="D403" s="41"/>
      <c r="E403" s="41"/>
      <c r="F403" s="41"/>
      <c r="G403" s="41"/>
      <c r="H403" s="41"/>
      <c r="I403" s="41"/>
      <c r="J403" s="43" t="s">
        <v>16</v>
      </c>
      <c r="K403" s="43" t="s">
        <v>821</v>
      </c>
      <c r="L403" s="43" t="s">
        <v>144</v>
      </c>
      <c r="M403" s="43" t="s">
        <v>423</v>
      </c>
      <c r="N403" s="53" t="s">
        <v>447</v>
      </c>
      <c r="O403" s="43" t="s">
        <v>17</v>
      </c>
      <c r="P403" s="43" t="s">
        <v>13</v>
      </c>
      <c r="Q403" s="43" t="s">
        <v>9</v>
      </c>
      <c r="R403" s="43"/>
      <c r="S403" s="51" t="s">
        <v>757</v>
      </c>
    </row>
    <row r="404" spans="1:19" ht="18" customHeight="1" x14ac:dyDescent="0.25">
      <c r="A404" s="38"/>
      <c r="B404" s="49"/>
      <c r="C404" s="31" t="s">
        <v>6</v>
      </c>
      <c r="D404" s="27">
        <f t="shared" ref="D404:E404" si="89">SUM(D405:D408)</f>
        <v>26000</v>
      </c>
      <c r="E404" s="23">
        <f t="shared" si="89"/>
        <v>26000</v>
      </c>
      <c r="F404" s="23"/>
      <c r="G404" s="23"/>
      <c r="H404" s="23"/>
      <c r="I404" s="23"/>
      <c r="J404" s="43"/>
      <c r="K404" s="43"/>
      <c r="L404" s="43"/>
      <c r="M404" s="43"/>
      <c r="N404" s="53"/>
      <c r="O404" s="43"/>
      <c r="P404" s="43"/>
      <c r="Q404" s="43"/>
      <c r="R404" s="43"/>
      <c r="S404" s="51"/>
    </row>
    <row r="405" spans="1:19" ht="18" customHeight="1" x14ac:dyDescent="0.25">
      <c r="A405" s="38"/>
      <c r="B405" s="49"/>
      <c r="C405" s="31" t="s">
        <v>0</v>
      </c>
      <c r="D405" s="27"/>
      <c r="E405" s="23"/>
      <c r="F405" s="23"/>
      <c r="G405" s="23"/>
      <c r="H405" s="23"/>
      <c r="I405" s="23"/>
      <c r="J405" s="43"/>
      <c r="K405" s="43"/>
      <c r="L405" s="43"/>
      <c r="M405" s="43"/>
      <c r="N405" s="53"/>
      <c r="O405" s="43"/>
      <c r="P405" s="43"/>
      <c r="Q405" s="43"/>
      <c r="R405" s="43"/>
      <c r="S405" s="51"/>
    </row>
    <row r="406" spans="1:19" ht="18" customHeight="1" x14ac:dyDescent="0.25">
      <c r="A406" s="38"/>
      <c r="B406" s="49"/>
      <c r="C406" s="31" t="s">
        <v>1</v>
      </c>
      <c r="D406" s="27">
        <f t="shared" ref="D406" si="90">SUM(E406:I406)</f>
        <v>26000</v>
      </c>
      <c r="E406" s="23">
        <f>110512.3-84512.3</f>
        <v>26000</v>
      </c>
      <c r="F406" s="23"/>
      <c r="G406" s="23"/>
      <c r="H406" s="23"/>
      <c r="I406" s="23"/>
      <c r="J406" s="43"/>
      <c r="K406" s="43"/>
      <c r="L406" s="43"/>
      <c r="M406" s="43"/>
      <c r="N406" s="53"/>
      <c r="O406" s="43"/>
      <c r="P406" s="43"/>
      <c r="Q406" s="43"/>
      <c r="R406" s="43"/>
      <c r="S406" s="51"/>
    </row>
    <row r="407" spans="1:19" ht="18" customHeight="1" x14ac:dyDescent="0.25">
      <c r="A407" s="38"/>
      <c r="B407" s="49"/>
      <c r="C407" s="31" t="s">
        <v>2</v>
      </c>
      <c r="D407" s="27"/>
      <c r="E407" s="23"/>
      <c r="F407" s="23"/>
      <c r="G407" s="23"/>
      <c r="H407" s="23"/>
      <c r="I407" s="23"/>
      <c r="J407" s="43"/>
      <c r="K407" s="43"/>
      <c r="L407" s="43"/>
      <c r="M407" s="43"/>
      <c r="N407" s="53"/>
      <c r="O407" s="43"/>
      <c r="P407" s="43"/>
      <c r="Q407" s="43"/>
      <c r="R407" s="43"/>
      <c r="S407" s="51"/>
    </row>
    <row r="408" spans="1:19" ht="18" customHeight="1" x14ac:dyDescent="0.25">
      <c r="A408" s="38"/>
      <c r="B408" s="49"/>
      <c r="C408" s="31" t="s">
        <v>3</v>
      </c>
      <c r="D408" s="27"/>
      <c r="E408" s="23"/>
      <c r="F408" s="23"/>
      <c r="G408" s="23"/>
      <c r="H408" s="23"/>
      <c r="I408" s="23"/>
      <c r="J408" s="43"/>
      <c r="K408" s="43"/>
      <c r="L408" s="43"/>
      <c r="M408" s="43"/>
      <c r="N408" s="53"/>
      <c r="O408" s="43"/>
      <c r="P408" s="43"/>
      <c r="Q408" s="43"/>
      <c r="R408" s="43"/>
      <c r="S408" s="51"/>
    </row>
    <row r="409" spans="1:19" ht="18.75" customHeight="1" x14ac:dyDescent="0.25">
      <c r="A409" s="37" t="s">
        <v>23</v>
      </c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</row>
    <row r="410" spans="1:19" ht="20.25" customHeight="1" x14ac:dyDescent="0.25">
      <c r="A410" s="38"/>
      <c r="B410" s="48" t="s">
        <v>579</v>
      </c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</row>
    <row r="411" spans="1:19" ht="18.75" customHeight="1" x14ac:dyDescent="0.25">
      <c r="A411" s="38"/>
      <c r="B411" s="49" t="s">
        <v>241</v>
      </c>
      <c r="C411" s="50" t="s">
        <v>811</v>
      </c>
      <c r="D411" s="50"/>
      <c r="E411" s="50"/>
      <c r="F411" s="50"/>
      <c r="G411" s="50"/>
      <c r="H411" s="50"/>
      <c r="I411" s="50"/>
      <c r="J411" s="43" t="s">
        <v>15</v>
      </c>
      <c r="K411" s="43" t="s">
        <v>828</v>
      </c>
      <c r="L411" s="43"/>
      <c r="M411" s="43" t="s">
        <v>448</v>
      </c>
      <c r="N411" s="53" t="s">
        <v>449</v>
      </c>
      <c r="O411" s="43" t="s">
        <v>12</v>
      </c>
      <c r="P411" s="43" t="s">
        <v>51</v>
      </c>
      <c r="Q411" s="43" t="s">
        <v>44</v>
      </c>
      <c r="R411" s="43"/>
      <c r="S411" s="51"/>
    </row>
    <row r="412" spans="1:19" ht="18" customHeight="1" x14ac:dyDescent="0.25">
      <c r="A412" s="38"/>
      <c r="B412" s="49"/>
      <c r="C412" s="31" t="s">
        <v>6</v>
      </c>
      <c r="D412" s="27">
        <f t="shared" ref="D412:E412" si="91">SUM(D413:D416)</f>
        <v>6434.6909700000006</v>
      </c>
      <c r="E412" s="23">
        <f t="shared" si="91"/>
        <v>6434.6909700000006</v>
      </c>
      <c r="F412" s="23"/>
      <c r="G412" s="23"/>
      <c r="H412" s="23"/>
      <c r="I412" s="23"/>
      <c r="J412" s="43"/>
      <c r="K412" s="43"/>
      <c r="L412" s="43"/>
      <c r="M412" s="43"/>
      <c r="N412" s="53"/>
      <c r="O412" s="43"/>
      <c r="P412" s="43"/>
      <c r="Q412" s="43"/>
      <c r="R412" s="43"/>
      <c r="S412" s="51"/>
    </row>
    <row r="413" spans="1:19" ht="18" customHeight="1" x14ac:dyDescent="0.25">
      <c r="A413" s="38"/>
      <c r="B413" s="49"/>
      <c r="C413" s="31" t="s">
        <v>0</v>
      </c>
      <c r="D413" s="27"/>
      <c r="E413" s="23"/>
      <c r="F413" s="23"/>
      <c r="G413" s="23"/>
      <c r="H413" s="23"/>
      <c r="I413" s="23"/>
      <c r="J413" s="43"/>
      <c r="K413" s="43"/>
      <c r="L413" s="43"/>
      <c r="M413" s="43"/>
      <c r="N413" s="53"/>
      <c r="O413" s="43"/>
      <c r="P413" s="43"/>
      <c r="Q413" s="43"/>
      <c r="R413" s="43"/>
      <c r="S413" s="51"/>
    </row>
    <row r="414" spans="1:19" ht="18" customHeight="1" x14ac:dyDescent="0.25">
      <c r="A414" s="38"/>
      <c r="B414" s="49"/>
      <c r="C414" s="31" t="s">
        <v>1</v>
      </c>
      <c r="D414" s="27">
        <f t="shared" ref="D414:D415" si="92">SUM(E414:I414)</f>
        <v>6369.0344000000005</v>
      </c>
      <c r="E414" s="23">
        <f>6500-130.9656</f>
        <v>6369.0344000000005</v>
      </c>
      <c r="F414" s="23"/>
      <c r="G414" s="23"/>
      <c r="H414" s="23"/>
      <c r="I414" s="23"/>
      <c r="J414" s="43"/>
      <c r="K414" s="43"/>
      <c r="L414" s="43"/>
      <c r="M414" s="43"/>
      <c r="N414" s="53"/>
      <c r="O414" s="43"/>
      <c r="P414" s="43"/>
      <c r="Q414" s="43"/>
      <c r="R414" s="43"/>
      <c r="S414" s="51"/>
    </row>
    <row r="415" spans="1:19" ht="18" customHeight="1" x14ac:dyDescent="0.25">
      <c r="A415" s="38"/>
      <c r="B415" s="49"/>
      <c r="C415" s="31" t="s">
        <v>2</v>
      </c>
      <c r="D415" s="27">
        <f t="shared" si="92"/>
        <v>65.656570000000002</v>
      </c>
      <c r="E415" s="23">
        <v>65.656570000000002</v>
      </c>
      <c r="F415" s="23"/>
      <c r="G415" s="23"/>
      <c r="H415" s="23"/>
      <c r="I415" s="23"/>
      <c r="J415" s="43"/>
      <c r="K415" s="43"/>
      <c r="L415" s="43"/>
      <c r="M415" s="43"/>
      <c r="N415" s="53"/>
      <c r="O415" s="43"/>
      <c r="P415" s="43"/>
      <c r="Q415" s="43"/>
      <c r="R415" s="43"/>
      <c r="S415" s="51"/>
    </row>
    <row r="416" spans="1:19" ht="18" customHeight="1" x14ac:dyDescent="0.25">
      <c r="A416" s="38"/>
      <c r="B416" s="49"/>
      <c r="C416" s="31" t="s">
        <v>3</v>
      </c>
      <c r="D416" s="27"/>
      <c r="E416" s="23"/>
      <c r="F416" s="23"/>
      <c r="G416" s="23"/>
      <c r="H416" s="23"/>
      <c r="I416" s="23"/>
      <c r="J416" s="43"/>
      <c r="K416" s="43"/>
      <c r="L416" s="43"/>
      <c r="M416" s="43"/>
      <c r="N416" s="53"/>
      <c r="O416" s="43"/>
      <c r="P416" s="43"/>
      <c r="Q416" s="43"/>
      <c r="R416" s="43"/>
      <c r="S416" s="51"/>
    </row>
    <row r="417" spans="1:19" s="18" customFormat="1" ht="18.75" customHeight="1" x14ac:dyDescent="0.25">
      <c r="A417" s="37" t="s">
        <v>23</v>
      </c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</row>
    <row r="418" spans="1:19" s="18" customFormat="1" ht="21" customHeight="1" x14ac:dyDescent="0.25">
      <c r="A418" s="38"/>
      <c r="B418" s="48" t="s">
        <v>581</v>
      </c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</row>
    <row r="419" spans="1:19" s="18" customFormat="1" ht="18.75" customHeight="1" x14ac:dyDescent="0.25">
      <c r="A419" s="38"/>
      <c r="B419" s="49" t="s">
        <v>242</v>
      </c>
      <c r="C419" s="50" t="s">
        <v>837</v>
      </c>
      <c r="D419" s="50"/>
      <c r="E419" s="50"/>
      <c r="F419" s="50"/>
      <c r="G419" s="50"/>
      <c r="H419" s="50"/>
      <c r="I419" s="50"/>
      <c r="J419" s="43" t="s">
        <v>15</v>
      </c>
      <c r="K419" s="43" t="s">
        <v>828</v>
      </c>
      <c r="L419" s="43" t="s">
        <v>854</v>
      </c>
      <c r="M419" s="43" t="s">
        <v>469</v>
      </c>
      <c r="N419" s="53" t="s">
        <v>853</v>
      </c>
      <c r="O419" s="43" t="s">
        <v>12</v>
      </c>
      <c r="P419" s="43" t="s">
        <v>13</v>
      </c>
      <c r="Q419" s="43" t="s">
        <v>44</v>
      </c>
      <c r="R419" s="43"/>
      <c r="S419" s="51"/>
    </row>
    <row r="420" spans="1:19" s="18" customFormat="1" ht="18" customHeight="1" x14ac:dyDescent="0.25">
      <c r="A420" s="38"/>
      <c r="B420" s="49"/>
      <c r="C420" s="31" t="s">
        <v>6</v>
      </c>
      <c r="D420" s="27">
        <f>SUM(D421:D424)</f>
        <v>2400</v>
      </c>
      <c r="E420" s="23">
        <f t="shared" ref="E420" si="93">SUM(E421:E424)</f>
        <v>2400</v>
      </c>
      <c r="F420" s="23"/>
      <c r="G420" s="23"/>
      <c r="H420" s="23"/>
      <c r="I420" s="23"/>
      <c r="J420" s="43"/>
      <c r="K420" s="43"/>
      <c r="L420" s="43"/>
      <c r="M420" s="43"/>
      <c r="N420" s="53"/>
      <c r="O420" s="43"/>
      <c r="P420" s="43"/>
      <c r="Q420" s="43"/>
      <c r="R420" s="43"/>
      <c r="S420" s="51"/>
    </row>
    <row r="421" spans="1:19" s="18" customFormat="1" ht="18" customHeight="1" x14ac:dyDescent="0.25">
      <c r="A421" s="38"/>
      <c r="B421" s="49"/>
      <c r="C421" s="31" t="s">
        <v>0</v>
      </c>
      <c r="D421" s="27"/>
      <c r="E421" s="23"/>
      <c r="F421" s="23"/>
      <c r="G421" s="23"/>
      <c r="H421" s="23"/>
      <c r="I421" s="23"/>
      <c r="J421" s="43"/>
      <c r="K421" s="43"/>
      <c r="L421" s="43"/>
      <c r="M421" s="43"/>
      <c r="N421" s="53"/>
      <c r="O421" s="43"/>
      <c r="P421" s="43"/>
      <c r="Q421" s="43"/>
      <c r="R421" s="43"/>
      <c r="S421" s="51"/>
    </row>
    <row r="422" spans="1:19" s="18" customFormat="1" ht="18" customHeight="1" x14ac:dyDescent="0.25">
      <c r="A422" s="38"/>
      <c r="B422" s="49"/>
      <c r="C422" s="31" t="s">
        <v>1</v>
      </c>
      <c r="D422" s="27">
        <f t="shared" ref="D422" si="94">SUM(E422:I422)</f>
        <v>2400</v>
      </c>
      <c r="E422" s="23">
        <f>2833-433</f>
        <v>2400</v>
      </c>
      <c r="F422" s="23"/>
      <c r="G422" s="23"/>
      <c r="H422" s="23"/>
      <c r="I422" s="23"/>
      <c r="J422" s="43"/>
      <c r="K422" s="43"/>
      <c r="L422" s="43"/>
      <c r="M422" s="43"/>
      <c r="N422" s="53"/>
      <c r="O422" s="43"/>
      <c r="P422" s="43"/>
      <c r="Q422" s="43"/>
      <c r="R422" s="43"/>
      <c r="S422" s="51"/>
    </row>
    <row r="423" spans="1:19" s="18" customFormat="1" ht="18" customHeight="1" x14ac:dyDescent="0.25">
      <c r="A423" s="38"/>
      <c r="B423" s="49"/>
      <c r="C423" s="31" t="s">
        <v>2</v>
      </c>
      <c r="D423" s="27"/>
      <c r="E423" s="23"/>
      <c r="F423" s="23"/>
      <c r="G423" s="23"/>
      <c r="H423" s="23"/>
      <c r="I423" s="23"/>
      <c r="J423" s="43"/>
      <c r="K423" s="43"/>
      <c r="L423" s="43"/>
      <c r="M423" s="43"/>
      <c r="N423" s="53"/>
      <c r="O423" s="43"/>
      <c r="P423" s="43"/>
      <c r="Q423" s="43"/>
      <c r="R423" s="43"/>
      <c r="S423" s="51"/>
    </row>
    <row r="424" spans="1:19" s="18" customFormat="1" ht="18" customHeight="1" x14ac:dyDescent="0.25">
      <c r="A424" s="38"/>
      <c r="B424" s="49"/>
      <c r="C424" s="31" t="s">
        <v>3</v>
      </c>
      <c r="D424" s="27"/>
      <c r="E424" s="23"/>
      <c r="F424" s="23"/>
      <c r="G424" s="23"/>
      <c r="H424" s="23"/>
      <c r="I424" s="23"/>
      <c r="J424" s="43"/>
      <c r="K424" s="43"/>
      <c r="L424" s="43"/>
      <c r="M424" s="43"/>
      <c r="N424" s="53"/>
      <c r="O424" s="43"/>
      <c r="P424" s="43"/>
      <c r="Q424" s="43"/>
      <c r="R424" s="43"/>
      <c r="S424" s="51"/>
    </row>
    <row r="425" spans="1:19" ht="18.75" customHeight="1" x14ac:dyDescent="0.25">
      <c r="A425" s="37" t="s">
        <v>23</v>
      </c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</row>
    <row r="426" spans="1:19" ht="21" customHeight="1" x14ac:dyDescent="0.25">
      <c r="A426" s="38"/>
      <c r="B426" s="48" t="s">
        <v>581</v>
      </c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</row>
    <row r="427" spans="1:19" ht="18.75" customHeight="1" x14ac:dyDescent="0.25">
      <c r="A427" s="38"/>
      <c r="B427" s="49" t="s">
        <v>243</v>
      </c>
      <c r="C427" s="41" t="s">
        <v>952</v>
      </c>
      <c r="D427" s="41"/>
      <c r="E427" s="41"/>
      <c r="F427" s="41"/>
      <c r="G427" s="41"/>
      <c r="H427" s="41"/>
      <c r="I427" s="41"/>
      <c r="J427" s="43" t="s">
        <v>15</v>
      </c>
      <c r="K427" s="43" t="s">
        <v>828</v>
      </c>
      <c r="L427" s="43" t="s">
        <v>348</v>
      </c>
      <c r="M427" s="43" t="s">
        <v>471</v>
      </c>
      <c r="N427" s="53" t="s">
        <v>457</v>
      </c>
      <c r="O427" s="43" t="s">
        <v>12</v>
      </c>
      <c r="P427" s="43" t="s">
        <v>21</v>
      </c>
      <c r="Q427" s="43" t="s">
        <v>44</v>
      </c>
      <c r="R427" s="43"/>
      <c r="S427" s="51" t="s">
        <v>758</v>
      </c>
    </row>
    <row r="428" spans="1:19" ht="18" customHeight="1" x14ac:dyDescent="0.25">
      <c r="A428" s="38"/>
      <c r="B428" s="49"/>
      <c r="C428" s="31" t="s">
        <v>6</v>
      </c>
      <c r="D428" s="27">
        <f>SUM(D429:D432)</f>
        <v>2316.9899999999998</v>
      </c>
      <c r="E428" s="23">
        <f t="shared" ref="E428" si="95">SUM(E429:E432)</f>
        <v>2316.9899999999998</v>
      </c>
      <c r="F428" s="23"/>
      <c r="G428" s="23"/>
      <c r="H428" s="23"/>
      <c r="I428" s="23"/>
      <c r="J428" s="43"/>
      <c r="K428" s="43"/>
      <c r="L428" s="43"/>
      <c r="M428" s="43"/>
      <c r="N428" s="53"/>
      <c r="O428" s="43"/>
      <c r="P428" s="43"/>
      <c r="Q428" s="43"/>
      <c r="R428" s="43"/>
      <c r="S428" s="51"/>
    </row>
    <row r="429" spans="1:19" ht="18" customHeight="1" x14ac:dyDescent="0.25">
      <c r="A429" s="38"/>
      <c r="B429" s="49"/>
      <c r="C429" s="31" t="s">
        <v>0</v>
      </c>
      <c r="D429" s="27"/>
      <c r="E429" s="23"/>
      <c r="F429" s="23"/>
      <c r="G429" s="23"/>
      <c r="H429" s="23"/>
      <c r="I429" s="23"/>
      <c r="J429" s="43"/>
      <c r="K429" s="43"/>
      <c r="L429" s="43"/>
      <c r="M429" s="43"/>
      <c r="N429" s="53"/>
      <c r="O429" s="43"/>
      <c r="P429" s="43"/>
      <c r="Q429" s="43"/>
      <c r="R429" s="43"/>
      <c r="S429" s="51"/>
    </row>
    <row r="430" spans="1:19" ht="18" customHeight="1" x14ac:dyDescent="0.25">
      <c r="A430" s="38"/>
      <c r="B430" s="49"/>
      <c r="C430" s="31" t="s">
        <v>1</v>
      </c>
      <c r="D430" s="27">
        <f t="shared" ref="D430:D431" si="96">SUM(E430:I430)</f>
        <v>700</v>
      </c>
      <c r="E430" s="23">
        <f>7886.55-7186.55</f>
        <v>700</v>
      </c>
      <c r="F430" s="23"/>
      <c r="G430" s="23"/>
      <c r="H430" s="23"/>
      <c r="I430" s="23"/>
      <c r="J430" s="43"/>
      <c r="K430" s="43"/>
      <c r="L430" s="43"/>
      <c r="M430" s="43"/>
      <c r="N430" s="53"/>
      <c r="O430" s="43"/>
      <c r="P430" s="43"/>
      <c r="Q430" s="43"/>
      <c r="R430" s="43"/>
      <c r="S430" s="51"/>
    </row>
    <row r="431" spans="1:19" ht="18" customHeight="1" x14ac:dyDescent="0.25">
      <c r="A431" s="38"/>
      <c r="B431" s="49"/>
      <c r="C431" s="31" t="s">
        <v>2</v>
      </c>
      <c r="D431" s="27">
        <f t="shared" si="96"/>
        <v>1616.99</v>
      </c>
      <c r="E431" s="23">
        <v>1616.99</v>
      </c>
      <c r="F431" s="23"/>
      <c r="G431" s="23"/>
      <c r="H431" s="23"/>
      <c r="I431" s="23"/>
      <c r="J431" s="43"/>
      <c r="K431" s="43"/>
      <c r="L431" s="43"/>
      <c r="M431" s="43"/>
      <c r="N431" s="53"/>
      <c r="O431" s="43"/>
      <c r="P431" s="43"/>
      <c r="Q431" s="43"/>
      <c r="R431" s="43"/>
      <c r="S431" s="51"/>
    </row>
    <row r="432" spans="1:19" ht="18" customHeight="1" x14ac:dyDescent="0.25">
      <c r="A432" s="38"/>
      <c r="B432" s="49"/>
      <c r="C432" s="31" t="s">
        <v>3</v>
      </c>
      <c r="D432" s="27"/>
      <c r="E432" s="23"/>
      <c r="F432" s="23"/>
      <c r="G432" s="23"/>
      <c r="H432" s="23"/>
      <c r="I432" s="23"/>
      <c r="J432" s="43"/>
      <c r="K432" s="43"/>
      <c r="L432" s="43"/>
      <c r="M432" s="43"/>
      <c r="N432" s="53"/>
      <c r="O432" s="43"/>
      <c r="P432" s="43"/>
      <c r="Q432" s="43"/>
      <c r="R432" s="43"/>
      <c r="S432" s="51"/>
    </row>
    <row r="433" spans="1:19" s="18" customFormat="1" ht="18.75" customHeight="1" x14ac:dyDescent="0.25">
      <c r="A433" s="37" t="s">
        <v>23</v>
      </c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</row>
    <row r="434" spans="1:19" s="18" customFormat="1" ht="21" customHeight="1" x14ac:dyDescent="0.25">
      <c r="A434" s="38"/>
      <c r="B434" s="48" t="s">
        <v>581</v>
      </c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</row>
    <row r="435" spans="1:19" s="18" customFormat="1" ht="24" customHeight="1" x14ac:dyDescent="0.25">
      <c r="A435" s="38"/>
      <c r="B435" s="49" t="s">
        <v>244</v>
      </c>
      <c r="C435" s="50" t="s">
        <v>838</v>
      </c>
      <c r="D435" s="50"/>
      <c r="E435" s="50"/>
      <c r="F435" s="50"/>
      <c r="G435" s="50"/>
      <c r="H435" s="50"/>
      <c r="I435" s="50"/>
      <c r="J435" s="43" t="s">
        <v>15</v>
      </c>
      <c r="K435" s="43" t="s">
        <v>828</v>
      </c>
      <c r="L435" s="43" t="s">
        <v>855</v>
      </c>
      <c r="M435" s="43" t="s">
        <v>469</v>
      </c>
      <c r="N435" s="53" t="s">
        <v>856</v>
      </c>
      <c r="O435" s="43" t="s">
        <v>12</v>
      </c>
      <c r="P435" s="43" t="s">
        <v>13</v>
      </c>
      <c r="Q435" s="43" t="s">
        <v>44</v>
      </c>
      <c r="R435" s="43"/>
      <c r="S435" s="51"/>
    </row>
    <row r="436" spans="1:19" s="18" customFormat="1" ht="18" customHeight="1" x14ac:dyDescent="0.25">
      <c r="A436" s="38"/>
      <c r="B436" s="49"/>
      <c r="C436" s="31" t="s">
        <v>6</v>
      </c>
      <c r="D436" s="27">
        <f>SUM(D437:D440)</f>
        <v>900</v>
      </c>
      <c r="E436" s="23">
        <f t="shared" ref="E436" si="97">SUM(E437:E440)</f>
        <v>900</v>
      </c>
      <c r="F436" s="23"/>
      <c r="G436" s="23"/>
      <c r="H436" s="23"/>
      <c r="I436" s="23"/>
      <c r="J436" s="43"/>
      <c r="K436" s="43"/>
      <c r="L436" s="43"/>
      <c r="M436" s="43"/>
      <c r="N436" s="53"/>
      <c r="O436" s="43"/>
      <c r="P436" s="43"/>
      <c r="Q436" s="43"/>
      <c r="R436" s="43"/>
      <c r="S436" s="51"/>
    </row>
    <row r="437" spans="1:19" s="18" customFormat="1" ht="18" customHeight="1" x14ac:dyDescent="0.25">
      <c r="A437" s="38"/>
      <c r="B437" s="49"/>
      <c r="C437" s="31" t="s">
        <v>0</v>
      </c>
      <c r="D437" s="27"/>
      <c r="E437" s="23"/>
      <c r="F437" s="23"/>
      <c r="G437" s="23"/>
      <c r="H437" s="23"/>
      <c r="I437" s="23"/>
      <c r="J437" s="43"/>
      <c r="K437" s="43"/>
      <c r="L437" s="43"/>
      <c r="M437" s="43"/>
      <c r="N437" s="53"/>
      <c r="O437" s="43"/>
      <c r="P437" s="43"/>
      <c r="Q437" s="43"/>
      <c r="R437" s="43"/>
      <c r="S437" s="51"/>
    </row>
    <row r="438" spans="1:19" s="18" customFormat="1" ht="18" customHeight="1" x14ac:dyDescent="0.25">
      <c r="A438" s="38"/>
      <c r="B438" s="49"/>
      <c r="C438" s="31" t="s">
        <v>1</v>
      </c>
      <c r="D438" s="27">
        <f t="shared" ref="D438" si="98">SUM(E438:I438)</f>
        <v>900</v>
      </c>
      <c r="E438" s="23">
        <f>3000-2100</f>
        <v>900</v>
      </c>
      <c r="F438" s="23"/>
      <c r="G438" s="23"/>
      <c r="H438" s="23"/>
      <c r="I438" s="23"/>
      <c r="J438" s="43"/>
      <c r="K438" s="43"/>
      <c r="L438" s="43"/>
      <c r="M438" s="43"/>
      <c r="N438" s="53"/>
      <c r="O438" s="43"/>
      <c r="P438" s="43"/>
      <c r="Q438" s="43"/>
      <c r="R438" s="43"/>
      <c r="S438" s="51"/>
    </row>
    <row r="439" spans="1:19" s="18" customFormat="1" ht="18" customHeight="1" x14ac:dyDescent="0.25">
      <c r="A439" s="38"/>
      <c r="B439" s="49"/>
      <c r="C439" s="31" t="s">
        <v>2</v>
      </c>
      <c r="D439" s="27"/>
      <c r="E439" s="23"/>
      <c r="F439" s="23"/>
      <c r="G439" s="23"/>
      <c r="H439" s="23"/>
      <c r="I439" s="23"/>
      <c r="J439" s="43"/>
      <c r="K439" s="43"/>
      <c r="L439" s="43"/>
      <c r="M439" s="43"/>
      <c r="N439" s="53"/>
      <c r="O439" s="43"/>
      <c r="P439" s="43"/>
      <c r="Q439" s="43"/>
      <c r="R439" s="43"/>
      <c r="S439" s="51"/>
    </row>
    <row r="440" spans="1:19" s="18" customFormat="1" ht="18" customHeight="1" x14ac:dyDescent="0.25">
      <c r="A440" s="38"/>
      <c r="B440" s="49"/>
      <c r="C440" s="31" t="s">
        <v>3</v>
      </c>
      <c r="D440" s="27"/>
      <c r="E440" s="23"/>
      <c r="F440" s="23"/>
      <c r="G440" s="23"/>
      <c r="H440" s="23"/>
      <c r="I440" s="23"/>
      <c r="J440" s="43"/>
      <c r="K440" s="43"/>
      <c r="L440" s="43"/>
      <c r="M440" s="43"/>
      <c r="N440" s="53"/>
      <c r="O440" s="43"/>
      <c r="P440" s="43"/>
      <c r="Q440" s="43"/>
      <c r="R440" s="43"/>
      <c r="S440" s="51"/>
    </row>
    <row r="441" spans="1:19" ht="18.75" customHeight="1" x14ac:dyDescent="0.25">
      <c r="A441" s="37" t="s">
        <v>23</v>
      </c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</row>
    <row r="442" spans="1:19" ht="21" customHeight="1" x14ac:dyDescent="0.25">
      <c r="A442" s="38"/>
      <c r="B442" s="48" t="s">
        <v>581</v>
      </c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</row>
    <row r="443" spans="1:19" ht="18.75" customHeight="1" x14ac:dyDescent="0.25">
      <c r="A443" s="38"/>
      <c r="B443" s="49" t="s">
        <v>245</v>
      </c>
      <c r="C443" s="41" t="s">
        <v>954</v>
      </c>
      <c r="D443" s="41"/>
      <c r="E443" s="41"/>
      <c r="F443" s="41"/>
      <c r="G443" s="41"/>
      <c r="H443" s="41"/>
      <c r="I443" s="41"/>
      <c r="J443" s="43" t="s">
        <v>15</v>
      </c>
      <c r="K443" s="43" t="s">
        <v>828</v>
      </c>
      <c r="L443" s="43" t="s">
        <v>349</v>
      </c>
      <c r="M443" s="43" t="s">
        <v>469</v>
      </c>
      <c r="N443" s="53" t="s">
        <v>472</v>
      </c>
      <c r="O443" s="43" t="s">
        <v>12</v>
      </c>
      <c r="P443" s="43" t="s">
        <v>13</v>
      </c>
      <c r="Q443" s="43" t="s">
        <v>44</v>
      </c>
      <c r="R443" s="43"/>
      <c r="S443" s="51" t="s">
        <v>759</v>
      </c>
    </row>
    <row r="444" spans="1:19" ht="18" customHeight="1" x14ac:dyDescent="0.25">
      <c r="A444" s="38"/>
      <c r="B444" s="49"/>
      <c r="C444" s="31" t="s">
        <v>6</v>
      </c>
      <c r="D444" s="27">
        <f>SUM(D445:D448)</f>
        <v>8787.7799999999988</v>
      </c>
      <c r="E444" s="23">
        <f t="shared" ref="E444" si="99">SUM(E445:E448)</f>
        <v>8787.7799999999988</v>
      </c>
      <c r="F444" s="23"/>
      <c r="G444" s="23"/>
      <c r="H444" s="23"/>
      <c r="I444" s="23"/>
      <c r="J444" s="43"/>
      <c r="K444" s="43"/>
      <c r="L444" s="43"/>
      <c r="M444" s="43"/>
      <c r="N444" s="53"/>
      <c r="O444" s="43"/>
      <c r="P444" s="43"/>
      <c r="Q444" s="43"/>
      <c r="R444" s="43"/>
      <c r="S444" s="51"/>
    </row>
    <row r="445" spans="1:19" ht="18" customHeight="1" x14ac:dyDescent="0.25">
      <c r="A445" s="38"/>
      <c r="B445" s="49"/>
      <c r="C445" s="31" t="s">
        <v>0</v>
      </c>
      <c r="D445" s="27"/>
      <c r="E445" s="23"/>
      <c r="F445" s="23"/>
      <c r="G445" s="23"/>
      <c r="H445" s="23"/>
      <c r="I445" s="23"/>
      <c r="J445" s="43"/>
      <c r="K445" s="43"/>
      <c r="L445" s="43"/>
      <c r="M445" s="43"/>
      <c r="N445" s="53"/>
      <c r="O445" s="43"/>
      <c r="P445" s="43"/>
      <c r="Q445" s="43"/>
      <c r="R445" s="43"/>
      <c r="S445" s="51"/>
    </row>
    <row r="446" spans="1:19" ht="18" customHeight="1" x14ac:dyDescent="0.25">
      <c r="A446" s="38"/>
      <c r="B446" s="49"/>
      <c r="C446" s="31" t="s">
        <v>1</v>
      </c>
      <c r="D446" s="27">
        <f t="shared" ref="D446:D447" si="100">SUM(E446:I446)</f>
        <v>4030</v>
      </c>
      <c r="E446" s="23">
        <f>19029-14999</f>
        <v>4030</v>
      </c>
      <c r="F446" s="23"/>
      <c r="G446" s="23"/>
      <c r="H446" s="23"/>
      <c r="I446" s="23"/>
      <c r="J446" s="43"/>
      <c r="K446" s="43"/>
      <c r="L446" s="43"/>
      <c r="M446" s="43"/>
      <c r="N446" s="53"/>
      <c r="O446" s="43"/>
      <c r="P446" s="43"/>
      <c r="Q446" s="43"/>
      <c r="R446" s="43"/>
      <c r="S446" s="51"/>
    </row>
    <row r="447" spans="1:19" ht="18" customHeight="1" x14ac:dyDescent="0.25">
      <c r="A447" s="38"/>
      <c r="B447" s="49"/>
      <c r="C447" s="31" t="s">
        <v>2</v>
      </c>
      <c r="D447" s="27">
        <f t="shared" si="100"/>
        <v>4757.78</v>
      </c>
      <c r="E447" s="23">
        <v>4757.78</v>
      </c>
      <c r="F447" s="23"/>
      <c r="G447" s="23"/>
      <c r="H447" s="23"/>
      <c r="I447" s="23"/>
      <c r="J447" s="43"/>
      <c r="K447" s="43"/>
      <c r="L447" s="43"/>
      <c r="M447" s="43"/>
      <c r="N447" s="53"/>
      <c r="O447" s="43"/>
      <c r="P447" s="43"/>
      <c r="Q447" s="43"/>
      <c r="R447" s="43"/>
      <c r="S447" s="51"/>
    </row>
    <row r="448" spans="1:19" ht="18" customHeight="1" x14ac:dyDescent="0.25">
      <c r="A448" s="38"/>
      <c r="B448" s="49"/>
      <c r="C448" s="31" t="s">
        <v>3</v>
      </c>
      <c r="D448" s="27"/>
      <c r="E448" s="23"/>
      <c r="F448" s="23"/>
      <c r="G448" s="23"/>
      <c r="H448" s="23"/>
      <c r="I448" s="23"/>
      <c r="J448" s="43"/>
      <c r="K448" s="43"/>
      <c r="L448" s="43"/>
      <c r="M448" s="43"/>
      <c r="N448" s="53"/>
      <c r="O448" s="43"/>
      <c r="P448" s="43"/>
      <c r="Q448" s="43"/>
      <c r="R448" s="43"/>
      <c r="S448" s="51"/>
    </row>
    <row r="449" spans="1:19" s="18" customFormat="1" ht="18.75" customHeight="1" x14ac:dyDescent="0.25">
      <c r="A449" s="37" t="s">
        <v>23</v>
      </c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</row>
    <row r="450" spans="1:19" s="18" customFormat="1" ht="21" customHeight="1" x14ac:dyDescent="0.25">
      <c r="A450" s="38"/>
      <c r="B450" s="48" t="s">
        <v>581</v>
      </c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</row>
    <row r="451" spans="1:19" s="18" customFormat="1" ht="22.5" customHeight="1" x14ac:dyDescent="0.25">
      <c r="A451" s="38"/>
      <c r="B451" s="49" t="s">
        <v>246</v>
      </c>
      <c r="C451" s="41" t="s">
        <v>953</v>
      </c>
      <c r="D451" s="41"/>
      <c r="E451" s="41"/>
      <c r="F451" s="41"/>
      <c r="G451" s="41"/>
      <c r="H451" s="41"/>
      <c r="I451" s="41"/>
      <c r="J451" s="43" t="s">
        <v>15</v>
      </c>
      <c r="K451" s="43" t="s">
        <v>828</v>
      </c>
      <c r="L451" s="43" t="s">
        <v>857</v>
      </c>
      <c r="M451" s="43" t="s">
        <v>471</v>
      </c>
      <c r="N451" s="53" t="s">
        <v>856</v>
      </c>
      <c r="O451" s="43" t="s">
        <v>12</v>
      </c>
      <c r="P451" s="43" t="s">
        <v>21</v>
      </c>
      <c r="Q451" s="43" t="s">
        <v>44</v>
      </c>
      <c r="R451" s="43"/>
      <c r="S451" s="51"/>
    </row>
    <row r="452" spans="1:19" s="18" customFormat="1" ht="18" customHeight="1" x14ac:dyDescent="0.25">
      <c r="A452" s="38"/>
      <c r="B452" s="49"/>
      <c r="C452" s="31" t="s">
        <v>6</v>
      </c>
      <c r="D452" s="27">
        <f>SUM(D453:D456)</f>
        <v>1400</v>
      </c>
      <c r="E452" s="23">
        <f t="shared" ref="E452" si="101">SUM(E453:E456)</f>
        <v>1400</v>
      </c>
      <c r="F452" s="23"/>
      <c r="G452" s="23"/>
      <c r="H452" s="23"/>
      <c r="I452" s="23"/>
      <c r="J452" s="43"/>
      <c r="K452" s="43"/>
      <c r="L452" s="43"/>
      <c r="M452" s="43"/>
      <c r="N452" s="53"/>
      <c r="O452" s="43"/>
      <c r="P452" s="43"/>
      <c r="Q452" s="43"/>
      <c r="R452" s="43"/>
      <c r="S452" s="51"/>
    </row>
    <row r="453" spans="1:19" s="18" customFormat="1" ht="18" customHeight="1" x14ac:dyDescent="0.25">
      <c r="A453" s="38"/>
      <c r="B453" s="49"/>
      <c r="C453" s="31" t="s">
        <v>0</v>
      </c>
      <c r="D453" s="27"/>
      <c r="E453" s="23"/>
      <c r="F453" s="23"/>
      <c r="G453" s="23"/>
      <c r="H453" s="23"/>
      <c r="I453" s="23"/>
      <c r="J453" s="43"/>
      <c r="K453" s="43"/>
      <c r="L453" s="43"/>
      <c r="M453" s="43"/>
      <c r="N453" s="53"/>
      <c r="O453" s="43"/>
      <c r="P453" s="43"/>
      <c r="Q453" s="43"/>
      <c r="R453" s="43"/>
      <c r="S453" s="51"/>
    </row>
    <row r="454" spans="1:19" s="18" customFormat="1" ht="18" customHeight="1" x14ac:dyDescent="0.25">
      <c r="A454" s="38"/>
      <c r="B454" s="49"/>
      <c r="C454" s="31" t="s">
        <v>1</v>
      </c>
      <c r="D454" s="27">
        <f t="shared" ref="D454" si="102">SUM(E454:I454)</f>
        <v>1400</v>
      </c>
      <c r="E454" s="23">
        <f>3000-1600</f>
        <v>1400</v>
      </c>
      <c r="F454" s="23"/>
      <c r="G454" s="23"/>
      <c r="H454" s="23"/>
      <c r="I454" s="23"/>
      <c r="J454" s="43"/>
      <c r="K454" s="43"/>
      <c r="L454" s="43"/>
      <c r="M454" s="43"/>
      <c r="N454" s="53"/>
      <c r="O454" s="43"/>
      <c r="P454" s="43"/>
      <c r="Q454" s="43"/>
      <c r="R454" s="43"/>
      <c r="S454" s="51"/>
    </row>
    <row r="455" spans="1:19" s="18" customFormat="1" ht="18" customHeight="1" x14ac:dyDescent="0.25">
      <c r="A455" s="38"/>
      <c r="B455" s="49"/>
      <c r="C455" s="31" t="s">
        <v>2</v>
      </c>
      <c r="D455" s="27"/>
      <c r="E455" s="23"/>
      <c r="F455" s="23"/>
      <c r="G455" s="23"/>
      <c r="H455" s="23"/>
      <c r="I455" s="23"/>
      <c r="J455" s="43"/>
      <c r="K455" s="43"/>
      <c r="L455" s="43"/>
      <c r="M455" s="43"/>
      <c r="N455" s="53"/>
      <c r="O455" s="43"/>
      <c r="P455" s="43"/>
      <c r="Q455" s="43"/>
      <c r="R455" s="43"/>
      <c r="S455" s="51"/>
    </row>
    <row r="456" spans="1:19" s="18" customFormat="1" ht="18" customHeight="1" x14ac:dyDescent="0.25">
      <c r="A456" s="38"/>
      <c r="B456" s="49"/>
      <c r="C456" s="31" t="s">
        <v>3</v>
      </c>
      <c r="D456" s="27"/>
      <c r="E456" s="23"/>
      <c r="F456" s="23"/>
      <c r="G456" s="23"/>
      <c r="H456" s="23"/>
      <c r="I456" s="23"/>
      <c r="J456" s="43"/>
      <c r="K456" s="43"/>
      <c r="L456" s="43"/>
      <c r="M456" s="43"/>
      <c r="N456" s="53"/>
      <c r="O456" s="43"/>
      <c r="P456" s="43"/>
      <c r="Q456" s="43"/>
      <c r="R456" s="43"/>
      <c r="S456" s="51"/>
    </row>
    <row r="457" spans="1:19" ht="18.75" customHeight="1" x14ac:dyDescent="0.25">
      <c r="A457" s="37" t="s">
        <v>23</v>
      </c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</row>
    <row r="458" spans="1:19" ht="21" customHeight="1" x14ac:dyDescent="0.25">
      <c r="A458" s="38"/>
      <c r="B458" s="48" t="s">
        <v>581</v>
      </c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</row>
    <row r="459" spans="1:19" ht="36" customHeight="1" x14ac:dyDescent="0.25">
      <c r="A459" s="38"/>
      <c r="B459" s="49" t="s">
        <v>247</v>
      </c>
      <c r="C459" s="50" t="s">
        <v>896</v>
      </c>
      <c r="D459" s="50"/>
      <c r="E459" s="50"/>
      <c r="F459" s="50"/>
      <c r="G459" s="50"/>
      <c r="H459" s="50"/>
      <c r="I459" s="50"/>
      <c r="J459" s="43" t="s">
        <v>15</v>
      </c>
      <c r="K459" s="43" t="s">
        <v>821</v>
      </c>
      <c r="L459" s="43" t="s">
        <v>350</v>
      </c>
      <c r="M459" s="43" t="s">
        <v>423</v>
      </c>
      <c r="N459" s="53" t="s">
        <v>450</v>
      </c>
      <c r="O459" s="43" t="s">
        <v>17</v>
      </c>
      <c r="P459" s="43" t="s">
        <v>18</v>
      </c>
      <c r="Q459" s="43" t="s">
        <v>44</v>
      </c>
      <c r="R459" s="43"/>
      <c r="S459" s="51" t="s">
        <v>760</v>
      </c>
    </row>
    <row r="460" spans="1:19" ht="18" customHeight="1" x14ac:dyDescent="0.25">
      <c r="A460" s="38"/>
      <c r="B460" s="49"/>
      <c r="C460" s="31" t="s">
        <v>6</v>
      </c>
      <c r="D460" s="27">
        <f>SUM(D461:D464)</f>
        <v>10000</v>
      </c>
      <c r="E460" s="23">
        <f t="shared" ref="E460" si="103">SUM(E461:E464)</f>
        <v>10000</v>
      </c>
      <c r="F460" s="23"/>
      <c r="G460" s="23"/>
      <c r="H460" s="23"/>
      <c r="I460" s="23"/>
      <c r="J460" s="43"/>
      <c r="K460" s="43"/>
      <c r="L460" s="43"/>
      <c r="M460" s="43"/>
      <c r="N460" s="53"/>
      <c r="O460" s="43"/>
      <c r="P460" s="43"/>
      <c r="Q460" s="43"/>
      <c r="R460" s="43"/>
      <c r="S460" s="51"/>
    </row>
    <row r="461" spans="1:19" ht="18" customHeight="1" x14ac:dyDescent="0.25">
      <c r="A461" s="38"/>
      <c r="B461" s="49"/>
      <c r="C461" s="31" t="s">
        <v>0</v>
      </c>
      <c r="D461" s="27"/>
      <c r="E461" s="23"/>
      <c r="F461" s="23"/>
      <c r="G461" s="23"/>
      <c r="H461" s="23"/>
      <c r="I461" s="23"/>
      <c r="J461" s="43"/>
      <c r="K461" s="43"/>
      <c r="L461" s="43"/>
      <c r="M461" s="43"/>
      <c r="N461" s="53"/>
      <c r="O461" s="43"/>
      <c r="P461" s="43"/>
      <c r="Q461" s="43"/>
      <c r="R461" s="43"/>
      <c r="S461" s="51"/>
    </row>
    <row r="462" spans="1:19" ht="18" customHeight="1" x14ac:dyDescent="0.25">
      <c r="A462" s="38"/>
      <c r="B462" s="49"/>
      <c r="C462" s="31" t="s">
        <v>1</v>
      </c>
      <c r="D462" s="27">
        <f t="shared" ref="D462" si="104">SUM(E462:I462)</f>
        <v>10000</v>
      </c>
      <c r="E462" s="23">
        <f>51980.33-41980.33</f>
        <v>10000</v>
      </c>
      <c r="F462" s="23"/>
      <c r="G462" s="23"/>
      <c r="H462" s="23"/>
      <c r="I462" s="23"/>
      <c r="J462" s="43"/>
      <c r="K462" s="43"/>
      <c r="L462" s="43"/>
      <c r="M462" s="43"/>
      <c r="N462" s="53"/>
      <c r="O462" s="43"/>
      <c r="P462" s="43"/>
      <c r="Q462" s="43"/>
      <c r="R462" s="43"/>
      <c r="S462" s="51"/>
    </row>
    <row r="463" spans="1:19" ht="18" customHeight="1" x14ac:dyDescent="0.25">
      <c r="A463" s="38"/>
      <c r="B463" s="49"/>
      <c r="C463" s="31" t="s">
        <v>2</v>
      </c>
      <c r="D463" s="27"/>
      <c r="E463" s="23"/>
      <c r="F463" s="23"/>
      <c r="G463" s="23"/>
      <c r="H463" s="23"/>
      <c r="I463" s="23"/>
      <c r="J463" s="43"/>
      <c r="K463" s="43"/>
      <c r="L463" s="43"/>
      <c r="M463" s="43"/>
      <c r="N463" s="53"/>
      <c r="O463" s="43"/>
      <c r="P463" s="43"/>
      <c r="Q463" s="43"/>
      <c r="R463" s="43"/>
      <c r="S463" s="51"/>
    </row>
    <row r="464" spans="1:19" ht="18" customHeight="1" x14ac:dyDescent="0.25">
      <c r="A464" s="38"/>
      <c r="B464" s="49"/>
      <c r="C464" s="31" t="s">
        <v>3</v>
      </c>
      <c r="D464" s="27"/>
      <c r="E464" s="23"/>
      <c r="F464" s="23"/>
      <c r="G464" s="23"/>
      <c r="H464" s="23"/>
      <c r="I464" s="23"/>
      <c r="J464" s="43"/>
      <c r="K464" s="43"/>
      <c r="L464" s="43"/>
      <c r="M464" s="43"/>
      <c r="N464" s="53"/>
      <c r="O464" s="43"/>
      <c r="P464" s="43"/>
      <c r="Q464" s="43"/>
      <c r="R464" s="43"/>
      <c r="S464" s="51"/>
    </row>
    <row r="465" spans="1:19" ht="18.75" customHeight="1" x14ac:dyDescent="0.25">
      <c r="A465" s="37" t="s">
        <v>23</v>
      </c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</row>
    <row r="466" spans="1:19" ht="21" customHeight="1" x14ac:dyDescent="0.25">
      <c r="A466" s="38"/>
      <c r="B466" s="48" t="s">
        <v>581</v>
      </c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</row>
    <row r="467" spans="1:19" ht="18.75" customHeight="1" x14ac:dyDescent="0.25">
      <c r="A467" s="38"/>
      <c r="B467" s="49" t="s">
        <v>248</v>
      </c>
      <c r="C467" s="50" t="s">
        <v>118</v>
      </c>
      <c r="D467" s="50"/>
      <c r="E467" s="50"/>
      <c r="F467" s="50"/>
      <c r="G467" s="50"/>
      <c r="H467" s="50"/>
      <c r="I467" s="50"/>
      <c r="J467" s="43" t="s">
        <v>15</v>
      </c>
      <c r="K467" s="43" t="s">
        <v>821</v>
      </c>
      <c r="L467" s="43" t="s">
        <v>351</v>
      </c>
      <c r="M467" s="43" t="s">
        <v>423</v>
      </c>
      <c r="N467" s="53" t="s">
        <v>635</v>
      </c>
      <c r="O467" s="43" t="s">
        <v>17</v>
      </c>
      <c r="P467" s="43" t="s">
        <v>13</v>
      </c>
      <c r="Q467" s="43" t="s">
        <v>44</v>
      </c>
      <c r="R467" s="43"/>
      <c r="S467" s="51"/>
    </row>
    <row r="468" spans="1:19" ht="18" customHeight="1" x14ac:dyDescent="0.25">
      <c r="A468" s="38"/>
      <c r="B468" s="49"/>
      <c r="C468" s="31" t="s">
        <v>6</v>
      </c>
      <c r="D468" s="27">
        <f>SUM(D469:D472)</f>
        <v>4333.2371000000003</v>
      </c>
      <c r="E468" s="23">
        <f t="shared" ref="E468" si="105">SUM(E469:E472)</f>
        <v>4333.2371000000003</v>
      </c>
      <c r="F468" s="23"/>
      <c r="G468" s="23"/>
      <c r="H468" s="23"/>
      <c r="I468" s="23"/>
      <c r="J468" s="43"/>
      <c r="K468" s="43"/>
      <c r="L468" s="43"/>
      <c r="M468" s="43"/>
      <c r="N468" s="53"/>
      <c r="O468" s="43"/>
      <c r="P468" s="43"/>
      <c r="Q468" s="43"/>
      <c r="R468" s="43"/>
      <c r="S468" s="51"/>
    </row>
    <row r="469" spans="1:19" ht="18" customHeight="1" x14ac:dyDescent="0.25">
      <c r="A469" s="38"/>
      <c r="B469" s="49"/>
      <c r="C469" s="31" t="s">
        <v>0</v>
      </c>
      <c r="D469" s="27"/>
      <c r="E469" s="23"/>
      <c r="F469" s="23"/>
      <c r="G469" s="23"/>
      <c r="H469" s="23"/>
      <c r="I469" s="23"/>
      <c r="J469" s="43"/>
      <c r="K469" s="43"/>
      <c r="L469" s="43"/>
      <c r="M469" s="43"/>
      <c r="N469" s="53"/>
      <c r="O469" s="43"/>
      <c r="P469" s="43"/>
      <c r="Q469" s="43"/>
      <c r="R469" s="43"/>
      <c r="S469" s="51"/>
    </row>
    <row r="470" spans="1:19" ht="18" customHeight="1" x14ac:dyDescent="0.25">
      <c r="A470" s="38"/>
      <c r="B470" s="49"/>
      <c r="C470" s="31" t="s">
        <v>1</v>
      </c>
      <c r="D470" s="27">
        <f t="shared" ref="D470" si="106">SUM(E470:I470)</f>
        <v>4333.2371000000003</v>
      </c>
      <c r="E470" s="23">
        <f>5034-700.7629</f>
        <v>4333.2371000000003</v>
      </c>
      <c r="F470" s="23"/>
      <c r="G470" s="23"/>
      <c r="H470" s="23"/>
      <c r="I470" s="23"/>
      <c r="J470" s="43"/>
      <c r="K470" s="43"/>
      <c r="L470" s="43"/>
      <c r="M470" s="43"/>
      <c r="N470" s="53"/>
      <c r="O470" s="43"/>
      <c r="P470" s="43"/>
      <c r="Q470" s="43"/>
      <c r="R470" s="43"/>
      <c r="S470" s="51"/>
    </row>
    <row r="471" spans="1:19" ht="18" customHeight="1" x14ac:dyDescent="0.25">
      <c r="A471" s="38"/>
      <c r="B471" s="49"/>
      <c r="C471" s="31" t="s">
        <v>2</v>
      </c>
      <c r="D471" s="27"/>
      <c r="E471" s="23"/>
      <c r="F471" s="23"/>
      <c r="G471" s="23"/>
      <c r="H471" s="23"/>
      <c r="I471" s="23"/>
      <c r="J471" s="43"/>
      <c r="K471" s="43"/>
      <c r="L471" s="43"/>
      <c r="M471" s="43"/>
      <c r="N471" s="53"/>
      <c r="O471" s="43"/>
      <c r="P471" s="43"/>
      <c r="Q471" s="43"/>
      <c r="R471" s="43"/>
      <c r="S471" s="51"/>
    </row>
    <row r="472" spans="1:19" ht="18" customHeight="1" x14ac:dyDescent="0.25">
      <c r="A472" s="38"/>
      <c r="B472" s="49"/>
      <c r="C472" s="31" t="s">
        <v>3</v>
      </c>
      <c r="D472" s="27"/>
      <c r="E472" s="23"/>
      <c r="F472" s="23"/>
      <c r="G472" s="23"/>
      <c r="H472" s="23"/>
      <c r="I472" s="23"/>
      <c r="J472" s="43"/>
      <c r="K472" s="43"/>
      <c r="L472" s="43"/>
      <c r="M472" s="43"/>
      <c r="N472" s="53"/>
      <c r="O472" s="43"/>
      <c r="P472" s="43"/>
      <c r="Q472" s="43"/>
      <c r="R472" s="43"/>
      <c r="S472" s="51"/>
    </row>
    <row r="473" spans="1:19" ht="18.75" customHeight="1" x14ac:dyDescent="0.25">
      <c r="A473" s="37" t="s">
        <v>23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</row>
    <row r="474" spans="1:19" ht="21" customHeight="1" x14ac:dyDescent="0.25">
      <c r="A474" s="38"/>
      <c r="B474" s="48" t="s">
        <v>581</v>
      </c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</row>
    <row r="475" spans="1:19" ht="18.75" customHeight="1" x14ac:dyDescent="0.25">
      <c r="A475" s="38"/>
      <c r="B475" s="49" t="s">
        <v>249</v>
      </c>
      <c r="C475" s="50" t="s">
        <v>262</v>
      </c>
      <c r="D475" s="50"/>
      <c r="E475" s="50"/>
      <c r="F475" s="50"/>
      <c r="G475" s="50"/>
      <c r="H475" s="50"/>
      <c r="I475" s="50"/>
      <c r="J475" s="43" t="s">
        <v>15</v>
      </c>
      <c r="K475" s="43" t="s">
        <v>821</v>
      </c>
      <c r="L475" s="43" t="s">
        <v>352</v>
      </c>
      <c r="M475" s="43" t="s">
        <v>423</v>
      </c>
      <c r="N475" s="53" t="s">
        <v>636</v>
      </c>
      <c r="O475" s="43" t="s">
        <v>17</v>
      </c>
      <c r="P475" s="43" t="s">
        <v>13</v>
      </c>
      <c r="Q475" s="43" t="s">
        <v>44</v>
      </c>
      <c r="R475" s="43"/>
      <c r="S475" s="51"/>
    </row>
    <row r="476" spans="1:19" ht="18" customHeight="1" x14ac:dyDescent="0.25">
      <c r="A476" s="38"/>
      <c r="B476" s="49"/>
      <c r="C476" s="31" t="s">
        <v>6</v>
      </c>
      <c r="D476" s="27">
        <f>SUM(D477:D480)</f>
        <v>5630</v>
      </c>
      <c r="E476" s="23">
        <f t="shared" ref="E476" si="107">SUM(E477:E480)</f>
        <v>5630</v>
      </c>
      <c r="F476" s="23"/>
      <c r="G476" s="23"/>
      <c r="H476" s="23"/>
      <c r="I476" s="23"/>
      <c r="J476" s="43"/>
      <c r="K476" s="43"/>
      <c r="L476" s="43"/>
      <c r="M476" s="43"/>
      <c r="N476" s="53"/>
      <c r="O476" s="43"/>
      <c r="P476" s="43"/>
      <c r="Q476" s="43"/>
      <c r="R476" s="43"/>
      <c r="S476" s="51"/>
    </row>
    <row r="477" spans="1:19" ht="18" customHeight="1" x14ac:dyDescent="0.25">
      <c r="A477" s="38"/>
      <c r="B477" s="49"/>
      <c r="C477" s="31" t="s">
        <v>0</v>
      </c>
      <c r="D477" s="27"/>
      <c r="E477" s="23"/>
      <c r="F477" s="23"/>
      <c r="G477" s="23"/>
      <c r="H477" s="23"/>
      <c r="I477" s="23"/>
      <c r="J477" s="43"/>
      <c r="K477" s="43"/>
      <c r="L477" s="43"/>
      <c r="M477" s="43"/>
      <c r="N477" s="53"/>
      <c r="O477" s="43"/>
      <c r="P477" s="43"/>
      <c r="Q477" s="43"/>
      <c r="R477" s="43"/>
      <c r="S477" s="51"/>
    </row>
    <row r="478" spans="1:19" ht="18" customHeight="1" x14ac:dyDescent="0.25">
      <c r="A478" s="38"/>
      <c r="B478" s="49"/>
      <c r="C478" s="31" t="s">
        <v>1</v>
      </c>
      <c r="D478" s="27">
        <f t="shared" ref="D478" si="108">SUM(E478:I478)</f>
        <v>5630</v>
      </c>
      <c r="E478" s="23">
        <v>5630</v>
      </c>
      <c r="F478" s="23"/>
      <c r="G478" s="23"/>
      <c r="H478" s="23"/>
      <c r="I478" s="23"/>
      <c r="J478" s="43"/>
      <c r="K478" s="43"/>
      <c r="L478" s="43"/>
      <c r="M478" s="43"/>
      <c r="N478" s="53"/>
      <c r="O478" s="43"/>
      <c r="P478" s="43"/>
      <c r="Q478" s="43"/>
      <c r="R478" s="43"/>
      <c r="S478" s="51"/>
    </row>
    <row r="479" spans="1:19" ht="18" customHeight="1" x14ac:dyDescent="0.25">
      <c r="A479" s="38"/>
      <c r="B479" s="49"/>
      <c r="C479" s="31" t="s">
        <v>2</v>
      </c>
      <c r="D479" s="27"/>
      <c r="E479" s="23"/>
      <c r="F479" s="23"/>
      <c r="G479" s="23"/>
      <c r="H479" s="23"/>
      <c r="I479" s="23"/>
      <c r="J479" s="43"/>
      <c r="K479" s="43"/>
      <c r="L479" s="43"/>
      <c r="M479" s="43"/>
      <c r="N479" s="53"/>
      <c r="O479" s="43"/>
      <c r="P479" s="43"/>
      <c r="Q479" s="43"/>
      <c r="R479" s="43"/>
      <c r="S479" s="51"/>
    </row>
    <row r="480" spans="1:19" ht="18" customHeight="1" x14ac:dyDescent="0.25">
      <c r="A480" s="38"/>
      <c r="B480" s="49"/>
      <c r="C480" s="31" t="s">
        <v>3</v>
      </c>
      <c r="D480" s="27"/>
      <c r="E480" s="23"/>
      <c r="F480" s="23"/>
      <c r="G480" s="23"/>
      <c r="H480" s="23"/>
      <c r="I480" s="23"/>
      <c r="J480" s="43"/>
      <c r="K480" s="43"/>
      <c r="L480" s="43"/>
      <c r="M480" s="43"/>
      <c r="N480" s="53"/>
      <c r="O480" s="43"/>
      <c r="P480" s="43"/>
      <c r="Q480" s="43"/>
      <c r="R480" s="43"/>
      <c r="S480" s="51"/>
    </row>
    <row r="481" spans="1:19" ht="18.75" customHeight="1" x14ac:dyDescent="0.25">
      <c r="A481" s="37" t="s">
        <v>23</v>
      </c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</row>
    <row r="482" spans="1:19" ht="21" customHeight="1" x14ac:dyDescent="0.25">
      <c r="A482" s="38"/>
      <c r="B482" s="48" t="s">
        <v>581</v>
      </c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</row>
    <row r="483" spans="1:19" ht="18.75" customHeight="1" x14ac:dyDescent="0.25">
      <c r="A483" s="38"/>
      <c r="B483" s="49" t="s">
        <v>250</v>
      </c>
      <c r="C483" s="50" t="s">
        <v>148</v>
      </c>
      <c r="D483" s="50"/>
      <c r="E483" s="50"/>
      <c r="F483" s="50"/>
      <c r="G483" s="50"/>
      <c r="H483" s="50"/>
      <c r="I483" s="50"/>
      <c r="J483" s="43" t="s">
        <v>20</v>
      </c>
      <c r="K483" s="43" t="s">
        <v>821</v>
      </c>
      <c r="L483" s="43" t="s">
        <v>353</v>
      </c>
      <c r="M483" s="43" t="s">
        <v>423</v>
      </c>
      <c r="N483" s="53" t="s">
        <v>451</v>
      </c>
      <c r="O483" s="43" t="s">
        <v>17</v>
      </c>
      <c r="P483" s="43" t="s">
        <v>13</v>
      </c>
      <c r="Q483" s="43" t="s">
        <v>9</v>
      </c>
      <c r="R483" s="43"/>
      <c r="S483" s="51" t="s">
        <v>761</v>
      </c>
    </row>
    <row r="484" spans="1:19" ht="18" customHeight="1" x14ac:dyDescent="0.25">
      <c r="A484" s="38"/>
      <c r="B484" s="49"/>
      <c r="C484" s="31" t="s">
        <v>6</v>
      </c>
      <c r="D484" s="27">
        <f>SUM(D485:D488)</f>
        <v>232740.01701000001</v>
      </c>
      <c r="E484" s="23">
        <f t="shared" ref="E484" si="109">SUM(E485:E488)</f>
        <v>232740.01701000001</v>
      </c>
      <c r="F484" s="23"/>
      <c r="G484" s="23"/>
      <c r="H484" s="23"/>
      <c r="I484" s="23"/>
      <c r="J484" s="43"/>
      <c r="K484" s="43"/>
      <c r="L484" s="43"/>
      <c r="M484" s="43"/>
      <c r="N484" s="53"/>
      <c r="O484" s="43"/>
      <c r="P484" s="43"/>
      <c r="Q484" s="43"/>
      <c r="R484" s="43"/>
      <c r="S484" s="51"/>
    </row>
    <row r="485" spans="1:19" ht="18" customHeight="1" x14ac:dyDescent="0.25">
      <c r="A485" s="38"/>
      <c r="B485" s="49"/>
      <c r="C485" s="31" t="s">
        <v>0</v>
      </c>
      <c r="D485" s="27">
        <f>E485</f>
        <v>187305.39194</v>
      </c>
      <c r="E485" s="23">
        <v>187305.39194</v>
      </c>
      <c r="F485" s="23"/>
      <c r="G485" s="23"/>
      <c r="H485" s="23"/>
      <c r="I485" s="23"/>
      <c r="J485" s="43"/>
      <c r="K485" s="43"/>
      <c r="L485" s="43"/>
      <c r="M485" s="43"/>
      <c r="N485" s="53"/>
      <c r="O485" s="43"/>
      <c r="P485" s="43"/>
      <c r="Q485" s="43"/>
      <c r="R485" s="43"/>
      <c r="S485" s="51"/>
    </row>
    <row r="486" spans="1:19" ht="18" customHeight="1" x14ac:dyDescent="0.25">
      <c r="A486" s="38"/>
      <c r="B486" s="49"/>
      <c r="C486" s="31" t="s">
        <v>1</v>
      </c>
      <c r="D486" s="27">
        <f t="shared" ref="D486" si="110">SUM(E486:I486)</f>
        <v>45434.625070000002</v>
      </c>
      <c r="E486" s="23">
        <v>45434.625070000002</v>
      </c>
      <c r="F486" s="23"/>
      <c r="G486" s="23"/>
      <c r="H486" s="23"/>
      <c r="I486" s="23"/>
      <c r="J486" s="43"/>
      <c r="K486" s="43"/>
      <c r="L486" s="43"/>
      <c r="M486" s="43"/>
      <c r="N486" s="53"/>
      <c r="O486" s="43"/>
      <c r="P486" s="43"/>
      <c r="Q486" s="43"/>
      <c r="R486" s="43"/>
      <c r="S486" s="51"/>
    </row>
    <row r="487" spans="1:19" ht="18" customHeight="1" x14ac:dyDescent="0.25">
      <c r="A487" s="38"/>
      <c r="B487" s="49"/>
      <c r="C487" s="31" t="s">
        <v>2</v>
      </c>
      <c r="D487" s="27"/>
      <c r="E487" s="23"/>
      <c r="F487" s="23"/>
      <c r="G487" s="23"/>
      <c r="H487" s="23"/>
      <c r="I487" s="23"/>
      <c r="J487" s="43"/>
      <c r="K487" s="43"/>
      <c r="L487" s="43"/>
      <c r="M487" s="43"/>
      <c r="N487" s="53"/>
      <c r="O487" s="43"/>
      <c r="P487" s="43"/>
      <c r="Q487" s="43"/>
      <c r="R487" s="43"/>
      <c r="S487" s="51"/>
    </row>
    <row r="488" spans="1:19" ht="18" customHeight="1" x14ac:dyDescent="0.25">
      <c r="A488" s="38"/>
      <c r="B488" s="49"/>
      <c r="C488" s="31" t="s">
        <v>3</v>
      </c>
      <c r="D488" s="27"/>
      <c r="E488" s="23"/>
      <c r="F488" s="23"/>
      <c r="G488" s="23"/>
      <c r="H488" s="23"/>
      <c r="I488" s="23"/>
      <c r="J488" s="43"/>
      <c r="K488" s="43"/>
      <c r="L488" s="43"/>
      <c r="M488" s="43"/>
      <c r="N488" s="53"/>
      <c r="O488" s="43"/>
      <c r="P488" s="43"/>
      <c r="Q488" s="43"/>
      <c r="R488" s="43"/>
      <c r="S488" s="51"/>
    </row>
    <row r="489" spans="1:19" ht="18.75" customHeight="1" x14ac:dyDescent="0.25">
      <c r="A489" s="37" t="s">
        <v>23</v>
      </c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</row>
    <row r="490" spans="1:19" ht="21" customHeight="1" x14ac:dyDescent="0.25">
      <c r="A490" s="38"/>
      <c r="B490" s="48" t="s">
        <v>581</v>
      </c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</row>
    <row r="491" spans="1:19" ht="18.75" customHeight="1" x14ac:dyDescent="0.25">
      <c r="A491" s="38"/>
      <c r="B491" s="49" t="s">
        <v>251</v>
      </c>
      <c r="C491" s="50" t="s">
        <v>149</v>
      </c>
      <c r="D491" s="50"/>
      <c r="E491" s="50"/>
      <c r="F491" s="50"/>
      <c r="G491" s="50"/>
      <c r="H491" s="50"/>
      <c r="I491" s="50"/>
      <c r="J491" s="43" t="s">
        <v>16</v>
      </c>
      <c r="K491" s="43" t="s">
        <v>821</v>
      </c>
      <c r="L491" s="43" t="s">
        <v>354</v>
      </c>
      <c r="M491" s="43" t="s">
        <v>423</v>
      </c>
      <c r="N491" s="53" t="s">
        <v>452</v>
      </c>
      <c r="O491" s="43" t="s">
        <v>17</v>
      </c>
      <c r="P491" s="43" t="s">
        <v>13</v>
      </c>
      <c r="Q491" s="43" t="s">
        <v>9</v>
      </c>
      <c r="R491" s="43"/>
      <c r="S491" s="51" t="s">
        <v>761</v>
      </c>
    </row>
    <row r="492" spans="1:19" ht="18" customHeight="1" x14ac:dyDescent="0.25">
      <c r="A492" s="38"/>
      <c r="B492" s="49"/>
      <c r="C492" s="31" t="s">
        <v>6</v>
      </c>
      <c r="D492" s="27">
        <f>SUM(D493:D496)</f>
        <v>619372.15577000007</v>
      </c>
      <c r="E492" s="23">
        <f t="shared" ref="E492" si="111">SUM(E493:E496)</f>
        <v>619372.15577000007</v>
      </c>
      <c r="F492" s="23"/>
      <c r="G492" s="23"/>
      <c r="H492" s="23"/>
      <c r="I492" s="23"/>
      <c r="J492" s="43"/>
      <c r="K492" s="43"/>
      <c r="L492" s="43"/>
      <c r="M492" s="43"/>
      <c r="N492" s="53"/>
      <c r="O492" s="43"/>
      <c r="P492" s="43"/>
      <c r="Q492" s="43"/>
      <c r="R492" s="43"/>
      <c r="S492" s="51"/>
    </row>
    <row r="493" spans="1:19" ht="18" customHeight="1" x14ac:dyDescent="0.25">
      <c r="A493" s="38"/>
      <c r="B493" s="49"/>
      <c r="C493" s="31" t="s">
        <v>0</v>
      </c>
      <c r="D493" s="27">
        <f>E493</f>
        <v>567119.82446000003</v>
      </c>
      <c r="E493" s="23">
        <v>567119.82446000003</v>
      </c>
      <c r="F493" s="23"/>
      <c r="G493" s="23"/>
      <c r="H493" s="23"/>
      <c r="I493" s="23"/>
      <c r="J493" s="43"/>
      <c r="K493" s="43"/>
      <c r="L493" s="43"/>
      <c r="M493" s="43"/>
      <c r="N493" s="53"/>
      <c r="O493" s="43"/>
      <c r="P493" s="43"/>
      <c r="Q493" s="43"/>
      <c r="R493" s="43"/>
      <c r="S493" s="51"/>
    </row>
    <row r="494" spans="1:19" ht="18" customHeight="1" x14ac:dyDescent="0.25">
      <c r="A494" s="38"/>
      <c r="B494" s="49"/>
      <c r="C494" s="31" t="s">
        <v>1</v>
      </c>
      <c r="D494" s="27">
        <f t="shared" ref="D494" si="112">SUM(E494:I494)</f>
        <v>52252.331310000001</v>
      </c>
      <c r="E494" s="23">
        <v>52252.331310000001</v>
      </c>
      <c r="F494" s="23"/>
      <c r="G494" s="23"/>
      <c r="H494" s="23"/>
      <c r="I494" s="23"/>
      <c r="J494" s="43"/>
      <c r="K494" s="43"/>
      <c r="L494" s="43"/>
      <c r="M494" s="43"/>
      <c r="N494" s="53"/>
      <c r="O494" s="43"/>
      <c r="P494" s="43"/>
      <c r="Q494" s="43"/>
      <c r="R494" s="43"/>
      <c r="S494" s="51"/>
    </row>
    <row r="495" spans="1:19" ht="18" customHeight="1" x14ac:dyDescent="0.25">
      <c r="A495" s="38"/>
      <c r="B495" s="49"/>
      <c r="C495" s="31" t="s">
        <v>2</v>
      </c>
      <c r="D495" s="27"/>
      <c r="E495" s="23"/>
      <c r="F495" s="23"/>
      <c r="G495" s="23"/>
      <c r="H495" s="23"/>
      <c r="I495" s="23"/>
      <c r="J495" s="43"/>
      <c r="K495" s="43"/>
      <c r="L495" s="43"/>
      <c r="M495" s="43"/>
      <c r="N495" s="53"/>
      <c r="O495" s="43"/>
      <c r="P495" s="43"/>
      <c r="Q495" s="43"/>
      <c r="R495" s="43"/>
      <c r="S495" s="51"/>
    </row>
    <row r="496" spans="1:19" ht="18" customHeight="1" x14ac:dyDescent="0.25">
      <c r="A496" s="38"/>
      <c r="B496" s="49"/>
      <c r="C496" s="31" t="s">
        <v>3</v>
      </c>
      <c r="D496" s="27"/>
      <c r="E496" s="23"/>
      <c r="F496" s="23"/>
      <c r="G496" s="23"/>
      <c r="H496" s="23"/>
      <c r="I496" s="23"/>
      <c r="J496" s="43"/>
      <c r="K496" s="43"/>
      <c r="L496" s="43"/>
      <c r="M496" s="43"/>
      <c r="N496" s="53"/>
      <c r="O496" s="43"/>
      <c r="P496" s="43"/>
      <c r="Q496" s="43"/>
      <c r="R496" s="43"/>
      <c r="S496" s="51"/>
    </row>
    <row r="497" spans="1:21" ht="18.75" customHeight="1" x14ac:dyDescent="0.25">
      <c r="A497" s="37" t="s">
        <v>23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</row>
    <row r="498" spans="1:21" ht="21" customHeight="1" x14ac:dyDescent="0.25">
      <c r="A498" s="38"/>
      <c r="B498" s="48" t="s">
        <v>581</v>
      </c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</row>
    <row r="499" spans="1:21" ht="18.75" customHeight="1" x14ac:dyDescent="0.25">
      <c r="A499" s="38"/>
      <c r="B499" s="49" t="s">
        <v>252</v>
      </c>
      <c r="C499" s="50" t="s">
        <v>119</v>
      </c>
      <c r="D499" s="50"/>
      <c r="E499" s="50"/>
      <c r="F499" s="50"/>
      <c r="G499" s="50"/>
      <c r="H499" s="50"/>
      <c r="I499" s="50"/>
      <c r="J499" s="43" t="s">
        <v>15</v>
      </c>
      <c r="K499" s="43" t="s">
        <v>821</v>
      </c>
      <c r="L499" s="43" t="s">
        <v>355</v>
      </c>
      <c r="M499" s="43" t="s">
        <v>423</v>
      </c>
      <c r="N499" s="53" t="s">
        <v>453</v>
      </c>
      <c r="O499" s="43" t="s">
        <v>17</v>
      </c>
      <c r="P499" s="43" t="s">
        <v>13</v>
      </c>
      <c r="Q499" s="43" t="s">
        <v>44</v>
      </c>
      <c r="R499" s="43"/>
      <c r="S499" s="51"/>
    </row>
    <row r="500" spans="1:21" ht="18" customHeight="1" x14ac:dyDescent="0.25">
      <c r="A500" s="38"/>
      <c r="B500" s="49"/>
      <c r="C500" s="31" t="s">
        <v>6</v>
      </c>
      <c r="D500" s="27">
        <f>SUM(D501:D504)</f>
        <v>5824.5</v>
      </c>
      <c r="E500" s="23">
        <f t="shared" ref="E500" si="113">SUM(E501:E504)</f>
        <v>5824.5</v>
      </c>
      <c r="F500" s="23"/>
      <c r="G500" s="23"/>
      <c r="H500" s="23"/>
      <c r="I500" s="23"/>
      <c r="J500" s="43"/>
      <c r="K500" s="43"/>
      <c r="L500" s="43"/>
      <c r="M500" s="43"/>
      <c r="N500" s="53"/>
      <c r="O500" s="43"/>
      <c r="P500" s="43"/>
      <c r="Q500" s="43"/>
      <c r="R500" s="43"/>
      <c r="S500" s="51"/>
    </row>
    <row r="501" spans="1:21" ht="18" customHeight="1" x14ac:dyDescent="0.25">
      <c r="A501" s="38"/>
      <c r="B501" s="49"/>
      <c r="C501" s="31" t="s">
        <v>0</v>
      </c>
      <c r="D501" s="27"/>
      <c r="E501" s="23"/>
      <c r="F501" s="23"/>
      <c r="G501" s="23"/>
      <c r="H501" s="23"/>
      <c r="I501" s="23"/>
      <c r="J501" s="43"/>
      <c r="K501" s="43"/>
      <c r="L501" s="43"/>
      <c r="M501" s="43"/>
      <c r="N501" s="53"/>
      <c r="O501" s="43"/>
      <c r="P501" s="43"/>
      <c r="Q501" s="43"/>
      <c r="R501" s="43"/>
      <c r="S501" s="51"/>
    </row>
    <row r="502" spans="1:21" ht="18" customHeight="1" x14ac:dyDescent="0.25">
      <c r="A502" s="38"/>
      <c r="B502" s="49"/>
      <c r="C502" s="31" t="s">
        <v>1</v>
      </c>
      <c r="D502" s="27">
        <f t="shared" ref="D502" si="114">SUM(E502:I502)</f>
        <v>5824.5</v>
      </c>
      <c r="E502" s="23">
        <v>5824.5</v>
      </c>
      <c r="F502" s="23"/>
      <c r="G502" s="23"/>
      <c r="H502" s="23"/>
      <c r="I502" s="23"/>
      <c r="J502" s="43"/>
      <c r="K502" s="43"/>
      <c r="L502" s="43"/>
      <c r="M502" s="43"/>
      <c r="N502" s="53"/>
      <c r="O502" s="43"/>
      <c r="P502" s="43"/>
      <c r="Q502" s="43"/>
      <c r="R502" s="43"/>
      <c r="S502" s="51"/>
    </row>
    <row r="503" spans="1:21" ht="18" customHeight="1" x14ac:dyDescent="0.25">
      <c r="A503" s="38"/>
      <c r="B503" s="49"/>
      <c r="C503" s="31" t="s">
        <v>2</v>
      </c>
      <c r="D503" s="27"/>
      <c r="E503" s="23"/>
      <c r="F503" s="23"/>
      <c r="G503" s="23"/>
      <c r="H503" s="23"/>
      <c r="I503" s="23"/>
      <c r="J503" s="43"/>
      <c r="K503" s="43"/>
      <c r="L503" s="43"/>
      <c r="M503" s="43"/>
      <c r="N503" s="53"/>
      <c r="O503" s="43"/>
      <c r="P503" s="43"/>
      <c r="Q503" s="43"/>
      <c r="R503" s="43"/>
      <c r="S503" s="51"/>
    </row>
    <row r="504" spans="1:21" ht="18" customHeight="1" x14ac:dyDescent="0.25">
      <c r="A504" s="38"/>
      <c r="B504" s="49"/>
      <c r="C504" s="31" t="s">
        <v>3</v>
      </c>
      <c r="D504" s="27"/>
      <c r="E504" s="23"/>
      <c r="F504" s="23"/>
      <c r="G504" s="23"/>
      <c r="H504" s="23"/>
      <c r="I504" s="23"/>
      <c r="J504" s="43"/>
      <c r="K504" s="43"/>
      <c r="L504" s="43"/>
      <c r="M504" s="43"/>
      <c r="N504" s="53"/>
      <c r="O504" s="43"/>
      <c r="P504" s="43"/>
      <c r="Q504" s="43"/>
      <c r="R504" s="43"/>
      <c r="S504" s="51"/>
    </row>
    <row r="505" spans="1:21" ht="18.75" customHeight="1" x14ac:dyDescent="0.25">
      <c r="A505" s="37" t="s">
        <v>23</v>
      </c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</row>
    <row r="506" spans="1:21" ht="21" customHeight="1" x14ac:dyDescent="0.25">
      <c r="A506" s="38"/>
      <c r="B506" s="48" t="s">
        <v>581</v>
      </c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</row>
    <row r="507" spans="1:21" ht="18.75" customHeight="1" x14ac:dyDescent="0.25">
      <c r="A507" s="38"/>
      <c r="B507" s="49" t="s">
        <v>253</v>
      </c>
      <c r="C507" s="50" t="s">
        <v>150</v>
      </c>
      <c r="D507" s="50"/>
      <c r="E507" s="50"/>
      <c r="F507" s="50"/>
      <c r="G507" s="50"/>
      <c r="H507" s="50"/>
      <c r="I507" s="50"/>
      <c r="J507" s="43" t="s">
        <v>15</v>
      </c>
      <c r="K507" s="43" t="s">
        <v>821</v>
      </c>
      <c r="L507" s="43" t="s">
        <v>356</v>
      </c>
      <c r="M507" s="43" t="s">
        <v>423</v>
      </c>
      <c r="N507" s="53" t="s">
        <v>458</v>
      </c>
      <c r="O507" s="43" t="s">
        <v>17</v>
      </c>
      <c r="P507" s="43" t="s">
        <v>18</v>
      </c>
      <c r="Q507" s="43" t="s">
        <v>44</v>
      </c>
      <c r="R507" s="43"/>
      <c r="S507" s="51"/>
    </row>
    <row r="508" spans="1:21" ht="18" customHeight="1" x14ac:dyDescent="0.25">
      <c r="A508" s="38"/>
      <c r="B508" s="49"/>
      <c r="C508" s="31" t="s">
        <v>6</v>
      </c>
      <c r="D508" s="27">
        <f>SUM(D509:D512)</f>
        <v>27800</v>
      </c>
      <c r="E508" s="23">
        <f t="shared" ref="E508" si="115">SUM(E509:E512)</f>
        <v>27800</v>
      </c>
      <c r="F508" s="23"/>
      <c r="G508" s="23"/>
      <c r="H508" s="23"/>
      <c r="I508" s="23"/>
      <c r="J508" s="43"/>
      <c r="K508" s="43"/>
      <c r="L508" s="43"/>
      <c r="M508" s="43"/>
      <c r="N508" s="53"/>
      <c r="O508" s="43"/>
      <c r="P508" s="43"/>
      <c r="Q508" s="43"/>
      <c r="R508" s="43"/>
      <c r="S508" s="51"/>
    </row>
    <row r="509" spans="1:21" ht="18" customHeight="1" x14ac:dyDescent="0.25">
      <c r="A509" s="38"/>
      <c r="B509" s="49"/>
      <c r="C509" s="31" t="s">
        <v>0</v>
      </c>
      <c r="D509" s="27"/>
      <c r="E509" s="23"/>
      <c r="F509" s="23"/>
      <c r="G509" s="23"/>
      <c r="H509" s="23"/>
      <c r="I509" s="23"/>
      <c r="J509" s="43"/>
      <c r="K509" s="43"/>
      <c r="L509" s="43"/>
      <c r="M509" s="43"/>
      <c r="N509" s="53"/>
      <c r="O509" s="43"/>
      <c r="P509" s="43"/>
      <c r="Q509" s="43"/>
      <c r="R509" s="43"/>
      <c r="S509" s="51"/>
    </row>
    <row r="510" spans="1:21" ht="18" customHeight="1" x14ac:dyDescent="0.25">
      <c r="A510" s="38"/>
      <c r="B510" s="49"/>
      <c r="C510" s="31" t="s">
        <v>1</v>
      </c>
      <c r="D510" s="27">
        <f t="shared" ref="D510" si="116">SUM(E510:I510)</f>
        <v>27800</v>
      </c>
      <c r="E510" s="23">
        <v>27800</v>
      </c>
      <c r="F510" s="23"/>
      <c r="G510" s="23"/>
      <c r="H510" s="23"/>
      <c r="I510" s="23"/>
      <c r="J510" s="43"/>
      <c r="K510" s="43"/>
      <c r="L510" s="43"/>
      <c r="M510" s="43"/>
      <c r="N510" s="53"/>
      <c r="O510" s="43"/>
      <c r="P510" s="43"/>
      <c r="Q510" s="43"/>
      <c r="R510" s="43"/>
      <c r="S510" s="51"/>
    </row>
    <row r="511" spans="1:21" ht="18" customHeight="1" x14ac:dyDescent="0.25">
      <c r="A511" s="38"/>
      <c r="B511" s="49"/>
      <c r="C511" s="31" t="s">
        <v>2</v>
      </c>
      <c r="D511" s="27"/>
      <c r="E511" s="23"/>
      <c r="F511" s="23"/>
      <c r="G511" s="23"/>
      <c r="H511" s="23"/>
      <c r="I511" s="23"/>
      <c r="J511" s="43"/>
      <c r="K511" s="43"/>
      <c r="L511" s="43"/>
      <c r="M511" s="43"/>
      <c r="N511" s="53"/>
      <c r="O511" s="43"/>
      <c r="P511" s="43"/>
      <c r="Q511" s="43"/>
      <c r="R511" s="43"/>
      <c r="S511" s="51"/>
    </row>
    <row r="512" spans="1:21" ht="18" customHeight="1" x14ac:dyDescent="0.25">
      <c r="A512" s="38"/>
      <c r="B512" s="49"/>
      <c r="C512" s="31" t="s">
        <v>3</v>
      </c>
      <c r="D512" s="27"/>
      <c r="E512" s="23"/>
      <c r="F512" s="23"/>
      <c r="G512" s="23"/>
      <c r="H512" s="23"/>
      <c r="I512" s="23"/>
      <c r="J512" s="43"/>
      <c r="K512" s="43"/>
      <c r="L512" s="43"/>
      <c r="M512" s="43"/>
      <c r="N512" s="53"/>
      <c r="O512" s="43"/>
      <c r="P512" s="43"/>
      <c r="Q512" s="43"/>
      <c r="R512" s="43"/>
      <c r="S512" s="51"/>
      <c r="U512" s="17"/>
    </row>
    <row r="513" spans="1:19" ht="18.75" customHeight="1" x14ac:dyDescent="0.25">
      <c r="A513" s="37" t="s">
        <v>23</v>
      </c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</row>
    <row r="514" spans="1:19" ht="21" customHeight="1" x14ac:dyDescent="0.25">
      <c r="A514" s="38"/>
      <c r="B514" s="48" t="s">
        <v>579</v>
      </c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</row>
    <row r="515" spans="1:19" ht="18.75" customHeight="1" x14ac:dyDescent="0.25">
      <c r="A515" s="38"/>
      <c r="B515" s="49" t="s">
        <v>254</v>
      </c>
      <c r="C515" s="50" t="s">
        <v>55</v>
      </c>
      <c r="D515" s="50"/>
      <c r="E515" s="50"/>
      <c r="F515" s="50"/>
      <c r="G515" s="50"/>
      <c r="H515" s="50"/>
      <c r="I515" s="50"/>
      <c r="J515" s="43" t="s">
        <v>15</v>
      </c>
      <c r="K515" s="43" t="s">
        <v>821</v>
      </c>
      <c r="L515" s="43" t="s">
        <v>358</v>
      </c>
      <c r="M515" s="43" t="s">
        <v>423</v>
      </c>
      <c r="N515" s="53" t="s">
        <v>454</v>
      </c>
      <c r="O515" s="43" t="s">
        <v>17</v>
      </c>
      <c r="P515" s="43" t="s">
        <v>13</v>
      </c>
      <c r="Q515" s="43" t="s">
        <v>44</v>
      </c>
      <c r="R515" s="43"/>
      <c r="S515" s="51"/>
    </row>
    <row r="516" spans="1:19" ht="18" customHeight="1" x14ac:dyDescent="0.25">
      <c r="A516" s="38"/>
      <c r="B516" s="49"/>
      <c r="C516" s="31" t="s">
        <v>6</v>
      </c>
      <c r="D516" s="27">
        <f>SUM(D517:D520)</f>
        <v>75</v>
      </c>
      <c r="E516" s="23">
        <f>E517+E518+E519</f>
        <v>75</v>
      </c>
      <c r="F516" s="23"/>
      <c r="G516" s="23"/>
      <c r="H516" s="23"/>
      <c r="I516" s="23"/>
      <c r="J516" s="43"/>
      <c r="K516" s="43"/>
      <c r="L516" s="43"/>
      <c r="M516" s="43"/>
      <c r="N516" s="53"/>
      <c r="O516" s="43"/>
      <c r="P516" s="43"/>
      <c r="Q516" s="43"/>
      <c r="R516" s="43"/>
      <c r="S516" s="51"/>
    </row>
    <row r="517" spans="1:19" ht="18" customHeight="1" x14ac:dyDescent="0.25">
      <c r="A517" s="38"/>
      <c r="B517" s="49"/>
      <c r="C517" s="31" t="s">
        <v>0</v>
      </c>
      <c r="D517" s="27"/>
      <c r="E517" s="23"/>
      <c r="F517" s="23"/>
      <c r="G517" s="23"/>
      <c r="H517" s="23"/>
      <c r="I517" s="23"/>
      <c r="J517" s="43"/>
      <c r="K517" s="43"/>
      <c r="L517" s="43"/>
      <c r="M517" s="43"/>
      <c r="N517" s="53"/>
      <c r="O517" s="43"/>
      <c r="P517" s="43"/>
      <c r="Q517" s="43"/>
      <c r="R517" s="43"/>
      <c r="S517" s="51"/>
    </row>
    <row r="518" spans="1:19" ht="18" customHeight="1" x14ac:dyDescent="0.25">
      <c r="A518" s="38"/>
      <c r="B518" s="49"/>
      <c r="C518" s="31" t="s">
        <v>1</v>
      </c>
      <c r="D518" s="27">
        <f t="shared" ref="D518" si="117">SUM(E518:I518)</f>
        <v>75</v>
      </c>
      <c r="E518" s="23">
        <f>15000-14925</f>
        <v>75</v>
      </c>
      <c r="F518" s="23"/>
      <c r="G518" s="23"/>
      <c r="H518" s="23"/>
      <c r="I518" s="23"/>
      <c r="J518" s="43"/>
      <c r="K518" s="43"/>
      <c r="L518" s="43"/>
      <c r="M518" s="43"/>
      <c r="N518" s="53"/>
      <c r="O518" s="43"/>
      <c r="P518" s="43"/>
      <c r="Q518" s="43"/>
      <c r="R518" s="43"/>
      <c r="S518" s="51"/>
    </row>
    <row r="519" spans="1:19" ht="18" customHeight="1" x14ac:dyDescent="0.25">
      <c r="A519" s="38"/>
      <c r="B519" s="49"/>
      <c r="C519" s="31" t="s">
        <v>2</v>
      </c>
      <c r="D519" s="27"/>
      <c r="E519" s="23"/>
      <c r="F519" s="23"/>
      <c r="G519" s="23"/>
      <c r="H519" s="23"/>
      <c r="I519" s="23"/>
      <c r="J519" s="43"/>
      <c r="K519" s="43"/>
      <c r="L519" s="43"/>
      <c r="M519" s="43"/>
      <c r="N519" s="53"/>
      <c r="O519" s="43"/>
      <c r="P519" s="43"/>
      <c r="Q519" s="43"/>
      <c r="R519" s="43"/>
      <c r="S519" s="51"/>
    </row>
    <row r="520" spans="1:19" ht="18" customHeight="1" x14ac:dyDescent="0.25">
      <c r="A520" s="38"/>
      <c r="B520" s="49"/>
      <c r="C520" s="31" t="s">
        <v>3</v>
      </c>
      <c r="D520" s="27"/>
      <c r="E520" s="23"/>
      <c r="F520" s="23"/>
      <c r="G520" s="23"/>
      <c r="H520" s="23"/>
      <c r="I520" s="23"/>
      <c r="J520" s="43"/>
      <c r="K520" s="43"/>
      <c r="L520" s="43"/>
      <c r="M520" s="43"/>
      <c r="N520" s="53"/>
      <c r="O520" s="43"/>
      <c r="P520" s="43"/>
      <c r="Q520" s="43"/>
      <c r="R520" s="43"/>
      <c r="S520" s="51"/>
    </row>
    <row r="521" spans="1:19" ht="18.75" customHeight="1" x14ac:dyDescent="0.25">
      <c r="A521" s="37" t="s">
        <v>23</v>
      </c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</row>
    <row r="522" spans="1:19" ht="21" customHeight="1" x14ac:dyDescent="0.25">
      <c r="A522" s="38"/>
      <c r="B522" s="48" t="s">
        <v>579</v>
      </c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</row>
    <row r="523" spans="1:19" ht="18.75" customHeight="1" x14ac:dyDescent="0.25">
      <c r="A523" s="38"/>
      <c r="B523" s="49" t="s">
        <v>255</v>
      </c>
      <c r="C523" s="50" t="s">
        <v>52</v>
      </c>
      <c r="D523" s="50"/>
      <c r="E523" s="50"/>
      <c r="F523" s="50"/>
      <c r="G523" s="50"/>
      <c r="H523" s="50"/>
      <c r="I523" s="50"/>
      <c r="J523" s="43" t="s">
        <v>15</v>
      </c>
      <c r="K523" s="43" t="s">
        <v>821</v>
      </c>
      <c r="L523" s="43" t="s">
        <v>358</v>
      </c>
      <c r="M523" s="43" t="s">
        <v>423</v>
      </c>
      <c r="N523" s="53" t="s">
        <v>580</v>
      </c>
      <c r="O523" s="43" t="s">
        <v>17</v>
      </c>
      <c r="P523" s="43" t="s">
        <v>13</v>
      </c>
      <c r="Q523" s="43" t="s">
        <v>44</v>
      </c>
      <c r="R523" s="43"/>
      <c r="S523" s="51"/>
    </row>
    <row r="524" spans="1:19" ht="18" customHeight="1" x14ac:dyDescent="0.25">
      <c r="A524" s="38"/>
      <c r="B524" s="49"/>
      <c r="C524" s="31" t="s">
        <v>6</v>
      </c>
      <c r="D524" s="27">
        <f>SUM(D525:D528)</f>
        <v>69.805479999999079</v>
      </c>
      <c r="E524" s="23">
        <f>E525+E526+E527</f>
        <v>69.805479999999079</v>
      </c>
      <c r="F524" s="23"/>
      <c r="G524" s="23"/>
      <c r="H524" s="23"/>
      <c r="I524" s="23"/>
      <c r="J524" s="43"/>
      <c r="K524" s="43"/>
      <c r="L524" s="43"/>
      <c r="M524" s="43"/>
      <c r="N524" s="53"/>
      <c r="O524" s="43"/>
      <c r="P524" s="43"/>
      <c r="Q524" s="43"/>
      <c r="R524" s="43"/>
      <c r="S524" s="51"/>
    </row>
    <row r="525" spans="1:19" ht="18" customHeight="1" x14ac:dyDescent="0.25">
      <c r="A525" s="38"/>
      <c r="B525" s="49"/>
      <c r="C525" s="31" t="s">
        <v>0</v>
      </c>
      <c r="D525" s="27"/>
      <c r="E525" s="23"/>
      <c r="F525" s="23"/>
      <c r="G525" s="23"/>
      <c r="H525" s="23"/>
      <c r="I525" s="23"/>
      <c r="J525" s="43"/>
      <c r="K525" s="43"/>
      <c r="L525" s="43"/>
      <c r="M525" s="43"/>
      <c r="N525" s="53"/>
      <c r="O525" s="43"/>
      <c r="P525" s="43"/>
      <c r="Q525" s="43"/>
      <c r="R525" s="43"/>
      <c r="S525" s="51"/>
    </row>
    <row r="526" spans="1:19" ht="18" customHeight="1" x14ac:dyDescent="0.25">
      <c r="A526" s="38"/>
      <c r="B526" s="49"/>
      <c r="C526" s="31" t="s">
        <v>1</v>
      </c>
      <c r="D526" s="27">
        <f t="shared" ref="D526" si="118">SUM(E526:I526)</f>
        <v>69.805479999999079</v>
      </c>
      <c r="E526" s="23">
        <f>25000-24930.19452</f>
        <v>69.805479999999079</v>
      </c>
      <c r="F526" s="23"/>
      <c r="G526" s="23"/>
      <c r="H526" s="23"/>
      <c r="I526" s="23"/>
      <c r="J526" s="43"/>
      <c r="K526" s="43"/>
      <c r="L526" s="43"/>
      <c r="M526" s="43"/>
      <c r="N526" s="53"/>
      <c r="O526" s="43"/>
      <c r="P526" s="43"/>
      <c r="Q526" s="43"/>
      <c r="R526" s="43"/>
      <c r="S526" s="51"/>
    </row>
    <row r="527" spans="1:19" ht="18" customHeight="1" x14ac:dyDescent="0.25">
      <c r="A527" s="38"/>
      <c r="B527" s="49"/>
      <c r="C527" s="31" t="s">
        <v>2</v>
      </c>
      <c r="D527" s="27"/>
      <c r="E527" s="23"/>
      <c r="F527" s="23"/>
      <c r="G527" s="23"/>
      <c r="H527" s="23"/>
      <c r="I527" s="23"/>
      <c r="J527" s="43"/>
      <c r="K527" s="43"/>
      <c r="L527" s="43"/>
      <c r="M527" s="43"/>
      <c r="N527" s="53"/>
      <c r="O527" s="43"/>
      <c r="P527" s="43"/>
      <c r="Q527" s="43"/>
      <c r="R527" s="43"/>
      <c r="S527" s="51"/>
    </row>
    <row r="528" spans="1:19" ht="18" customHeight="1" x14ac:dyDescent="0.25">
      <c r="A528" s="38"/>
      <c r="B528" s="49"/>
      <c r="C528" s="31" t="s">
        <v>3</v>
      </c>
      <c r="D528" s="27"/>
      <c r="E528" s="23"/>
      <c r="F528" s="23"/>
      <c r="G528" s="23"/>
      <c r="H528" s="23"/>
      <c r="I528" s="23"/>
      <c r="J528" s="43"/>
      <c r="K528" s="43"/>
      <c r="L528" s="43"/>
      <c r="M528" s="43"/>
      <c r="N528" s="53"/>
      <c r="O528" s="43"/>
      <c r="P528" s="43"/>
      <c r="Q528" s="43"/>
      <c r="R528" s="43"/>
      <c r="S528" s="51"/>
    </row>
    <row r="529" spans="1:19" ht="18.75" customHeight="1" x14ac:dyDescent="0.25">
      <c r="A529" s="37" t="s">
        <v>23</v>
      </c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</row>
    <row r="530" spans="1:19" ht="21" customHeight="1" x14ac:dyDescent="0.25">
      <c r="A530" s="38"/>
      <c r="B530" s="48" t="s">
        <v>579</v>
      </c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</row>
    <row r="531" spans="1:19" ht="18.75" customHeight="1" x14ac:dyDescent="0.25">
      <c r="A531" s="38"/>
      <c r="B531" s="49" t="s">
        <v>256</v>
      </c>
      <c r="C531" s="50" t="s">
        <v>53</v>
      </c>
      <c r="D531" s="50"/>
      <c r="E531" s="50"/>
      <c r="F531" s="50"/>
      <c r="G531" s="50"/>
      <c r="H531" s="50"/>
      <c r="I531" s="50"/>
      <c r="J531" s="43" t="s">
        <v>15</v>
      </c>
      <c r="K531" s="43" t="s">
        <v>821</v>
      </c>
      <c r="L531" s="43" t="s">
        <v>358</v>
      </c>
      <c r="M531" s="43" t="s">
        <v>423</v>
      </c>
      <c r="N531" s="53" t="s">
        <v>580</v>
      </c>
      <c r="O531" s="62" t="s">
        <v>17</v>
      </c>
      <c r="P531" s="43" t="s">
        <v>13</v>
      </c>
      <c r="Q531" s="43" t="s">
        <v>44</v>
      </c>
      <c r="R531" s="43"/>
      <c r="S531" s="51"/>
    </row>
    <row r="532" spans="1:19" ht="18" customHeight="1" x14ac:dyDescent="0.25">
      <c r="A532" s="38"/>
      <c r="B532" s="49"/>
      <c r="C532" s="31" t="s">
        <v>6</v>
      </c>
      <c r="D532" s="27">
        <f>SUM(D533:D536)</f>
        <v>75</v>
      </c>
      <c r="E532" s="23">
        <f>E533+E534+E535</f>
        <v>75</v>
      </c>
      <c r="F532" s="23"/>
      <c r="G532" s="23"/>
      <c r="H532" s="23"/>
      <c r="I532" s="23"/>
      <c r="J532" s="43"/>
      <c r="K532" s="43"/>
      <c r="L532" s="43"/>
      <c r="M532" s="43"/>
      <c r="N532" s="53"/>
      <c r="O532" s="63"/>
      <c r="P532" s="43"/>
      <c r="Q532" s="43"/>
      <c r="R532" s="43"/>
      <c r="S532" s="51"/>
    </row>
    <row r="533" spans="1:19" ht="18" customHeight="1" x14ac:dyDescent="0.25">
      <c r="A533" s="38"/>
      <c r="B533" s="49"/>
      <c r="C533" s="31" t="s">
        <v>0</v>
      </c>
      <c r="D533" s="27"/>
      <c r="E533" s="23"/>
      <c r="F533" s="23"/>
      <c r="G533" s="23"/>
      <c r="H533" s="23"/>
      <c r="I533" s="23"/>
      <c r="J533" s="43"/>
      <c r="K533" s="43"/>
      <c r="L533" s="43"/>
      <c r="M533" s="43"/>
      <c r="N533" s="53"/>
      <c r="O533" s="63"/>
      <c r="P533" s="43"/>
      <c r="Q533" s="43"/>
      <c r="R533" s="43"/>
      <c r="S533" s="51"/>
    </row>
    <row r="534" spans="1:19" ht="18" customHeight="1" x14ac:dyDescent="0.25">
      <c r="A534" s="38"/>
      <c r="B534" s="49"/>
      <c r="C534" s="31" t="s">
        <v>1</v>
      </c>
      <c r="D534" s="27">
        <f t="shared" ref="D534" si="119">SUM(E534:I534)</f>
        <v>75</v>
      </c>
      <c r="E534" s="25">
        <f>15799.467-15724.467</f>
        <v>75</v>
      </c>
      <c r="F534" s="23"/>
      <c r="G534" s="23"/>
      <c r="H534" s="23"/>
      <c r="I534" s="23"/>
      <c r="J534" s="43"/>
      <c r="K534" s="43"/>
      <c r="L534" s="43"/>
      <c r="M534" s="43"/>
      <c r="N534" s="53"/>
      <c r="O534" s="63"/>
      <c r="P534" s="43"/>
      <c r="Q534" s="43"/>
      <c r="R534" s="43"/>
      <c r="S534" s="51"/>
    </row>
    <row r="535" spans="1:19" ht="18" customHeight="1" x14ac:dyDescent="0.25">
      <c r="A535" s="38"/>
      <c r="B535" s="49"/>
      <c r="C535" s="31" t="s">
        <v>2</v>
      </c>
      <c r="D535" s="27"/>
      <c r="E535" s="23"/>
      <c r="F535" s="23"/>
      <c r="G535" s="23"/>
      <c r="H535" s="23"/>
      <c r="I535" s="23"/>
      <c r="J535" s="43"/>
      <c r="K535" s="43"/>
      <c r="L535" s="43"/>
      <c r="M535" s="43"/>
      <c r="N535" s="53"/>
      <c r="O535" s="63"/>
      <c r="P535" s="43"/>
      <c r="Q535" s="43"/>
      <c r="R535" s="43"/>
      <c r="S535" s="51"/>
    </row>
    <row r="536" spans="1:19" ht="18" customHeight="1" x14ac:dyDescent="0.25">
      <c r="A536" s="38"/>
      <c r="B536" s="49"/>
      <c r="C536" s="31" t="s">
        <v>3</v>
      </c>
      <c r="D536" s="27"/>
      <c r="E536" s="23"/>
      <c r="F536" s="23"/>
      <c r="G536" s="23"/>
      <c r="H536" s="23"/>
      <c r="I536" s="23"/>
      <c r="J536" s="43"/>
      <c r="K536" s="43"/>
      <c r="L536" s="43"/>
      <c r="M536" s="43"/>
      <c r="N536" s="53"/>
      <c r="O536" s="64"/>
      <c r="P536" s="43"/>
      <c r="Q536" s="43"/>
      <c r="R536" s="43"/>
      <c r="S536" s="51"/>
    </row>
    <row r="537" spans="1:19" ht="18.75" customHeight="1" x14ac:dyDescent="0.25">
      <c r="A537" s="37" t="s">
        <v>23</v>
      </c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</row>
    <row r="538" spans="1:19" ht="21" customHeight="1" x14ac:dyDescent="0.25">
      <c r="A538" s="38"/>
      <c r="B538" s="48" t="s">
        <v>579</v>
      </c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</row>
    <row r="539" spans="1:19" ht="18.75" customHeight="1" x14ac:dyDescent="0.25">
      <c r="A539" s="38"/>
      <c r="B539" s="49" t="s">
        <v>257</v>
      </c>
      <c r="C539" s="50" t="s">
        <v>858</v>
      </c>
      <c r="D539" s="50"/>
      <c r="E539" s="50"/>
      <c r="F539" s="50"/>
      <c r="G539" s="50"/>
      <c r="H539" s="50"/>
      <c r="I539" s="50"/>
      <c r="J539" s="43" t="s">
        <v>16</v>
      </c>
      <c r="K539" s="43" t="s">
        <v>828</v>
      </c>
      <c r="L539" s="43"/>
      <c r="M539" s="43" t="s">
        <v>469</v>
      </c>
      <c r="N539" s="53" t="s">
        <v>455</v>
      </c>
      <c r="O539" s="43" t="s">
        <v>12</v>
      </c>
      <c r="P539" s="43" t="s">
        <v>13</v>
      </c>
      <c r="Q539" s="43" t="s">
        <v>9</v>
      </c>
      <c r="R539" s="43"/>
      <c r="S539" s="51"/>
    </row>
    <row r="540" spans="1:19" ht="18" customHeight="1" x14ac:dyDescent="0.25">
      <c r="A540" s="38"/>
      <c r="B540" s="49"/>
      <c r="C540" s="31" t="s">
        <v>6</v>
      </c>
      <c r="D540" s="27">
        <f>SUM(D541:D544)</f>
        <v>6334</v>
      </c>
      <c r="E540" s="23">
        <f t="shared" ref="E540" si="120">SUM(E541:E544)</f>
        <v>6334</v>
      </c>
      <c r="F540" s="23"/>
      <c r="G540" s="23"/>
      <c r="H540" s="23"/>
      <c r="I540" s="23"/>
      <c r="J540" s="43"/>
      <c r="K540" s="43"/>
      <c r="L540" s="43"/>
      <c r="M540" s="43"/>
      <c r="N540" s="53"/>
      <c r="O540" s="43"/>
      <c r="P540" s="43"/>
      <c r="Q540" s="43"/>
      <c r="R540" s="43"/>
      <c r="S540" s="51"/>
    </row>
    <row r="541" spans="1:19" ht="18" customHeight="1" x14ac:dyDescent="0.25">
      <c r="A541" s="38"/>
      <c r="B541" s="49"/>
      <c r="C541" s="31" t="s">
        <v>0</v>
      </c>
      <c r="D541" s="27"/>
      <c r="E541" s="23"/>
      <c r="F541" s="23"/>
      <c r="G541" s="23"/>
      <c r="H541" s="23"/>
      <c r="I541" s="23"/>
      <c r="J541" s="43"/>
      <c r="K541" s="43"/>
      <c r="L541" s="43"/>
      <c r="M541" s="43"/>
      <c r="N541" s="53"/>
      <c r="O541" s="43"/>
      <c r="P541" s="43"/>
      <c r="Q541" s="43"/>
      <c r="R541" s="43"/>
      <c r="S541" s="51"/>
    </row>
    <row r="542" spans="1:19" ht="18" customHeight="1" x14ac:dyDescent="0.25">
      <c r="A542" s="38"/>
      <c r="B542" s="49"/>
      <c r="C542" s="31" t="s">
        <v>1</v>
      </c>
      <c r="D542" s="27">
        <f t="shared" ref="D542" si="121">SUM(E542:I542)</f>
        <v>6334</v>
      </c>
      <c r="E542" s="23">
        <v>6334</v>
      </c>
      <c r="F542" s="23"/>
      <c r="G542" s="23"/>
      <c r="H542" s="23"/>
      <c r="I542" s="23"/>
      <c r="J542" s="43"/>
      <c r="K542" s="43"/>
      <c r="L542" s="43"/>
      <c r="M542" s="43"/>
      <c r="N542" s="53"/>
      <c r="O542" s="43"/>
      <c r="P542" s="43"/>
      <c r="Q542" s="43"/>
      <c r="R542" s="43"/>
      <c r="S542" s="51"/>
    </row>
    <row r="543" spans="1:19" ht="18" customHeight="1" x14ac:dyDescent="0.25">
      <c r="A543" s="38"/>
      <c r="B543" s="49"/>
      <c r="C543" s="31" t="s">
        <v>2</v>
      </c>
      <c r="D543" s="27"/>
      <c r="E543" s="23"/>
      <c r="F543" s="23"/>
      <c r="G543" s="23"/>
      <c r="H543" s="23"/>
      <c r="I543" s="23"/>
      <c r="J543" s="43"/>
      <c r="K543" s="43"/>
      <c r="L543" s="43"/>
      <c r="M543" s="43"/>
      <c r="N543" s="53"/>
      <c r="O543" s="43"/>
      <c r="P543" s="43"/>
      <c r="Q543" s="43"/>
      <c r="R543" s="43"/>
      <c r="S543" s="51"/>
    </row>
    <row r="544" spans="1:19" ht="18" customHeight="1" x14ac:dyDescent="0.25">
      <c r="A544" s="38"/>
      <c r="B544" s="49"/>
      <c r="C544" s="31" t="s">
        <v>3</v>
      </c>
      <c r="D544" s="27"/>
      <c r="E544" s="23"/>
      <c r="F544" s="23"/>
      <c r="G544" s="23"/>
      <c r="H544" s="23"/>
      <c r="I544" s="23"/>
      <c r="J544" s="43"/>
      <c r="K544" s="43"/>
      <c r="L544" s="43"/>
      <c r="M544" s="43"/>
      <c r="N544" s="53"/>
      <c r="O544" s="43"/>
      <c r="P544" s="43"/>
      <c r="Q544" s="43"/>
      <c r="R544" s="43"/>
      <c r="S544" s="51"/>
    </row>
    <row r="545" spans="1:19" ht="18.75" customHeight="1" x14ac:dyDescent="0.25">
      <c r="A545" s="37" t="s">
        <v>23</v>
      </c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</row>
    <row r="546" spans="1:19" ht="21" customHeight="1" x14ac:dyDescent="0.25">
      <c r="A546" s="38"/>
      <c r="B546" s="48" t="s">
        <v>579</v>
      </c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</row>
    <row r="547" spans="1:19" ht="18.75" customHeight="1" x14ac:dyDescent="0.25">
      <c r="A547" s="38"/>
      <c r="B547" s="49" t="s">
        <v>258</v>
      </c>
      <c r="C547" s="50" t="s">
        <v>620</v>
      </c>
      <c r="D547" s="50"/>
      <c r="E547" s="50"/>
      <c r="F547" s="50"/>
      <c r="G547" s="50"/>
      <c r="H547" s="50"/>
      <c r="I547" s="50"/>
      <c r="J547" s="43" t="s">
        <v>16</v>
      </c>
      <c r="K547" s="43" t="s">
        <v>828</v>
      </c>
      <c r="L547" s="43"/>
      <c r="M547" s="43" t="s">
        <v>469</v>
      </c>
      <c r="N547" s="53" t="s">
        <v>456</v>
      </c>
      <c r="O547" s="43" t="s">
        <v>12</v>
      </c>
      <c r="P547" s="43" t="s">
        <v>13</v>
      </c>
      <c r="Q547" s="43" t="s">
        <v>9</v>
      </c>
      <c r="R547" s="43"/>
      <c r="S547" s="51"/>
    </row>
    <row r="548" spans="1:19" ht="18" customHeight="1" x14ac:dyDescent="0.25">
      <c r="A548" s="38"/>
      <c r="B548" s="49"/>
      <c r="C548" s="31" t="s">
        <v>6</v>
      </c>
      <c r="D548" s="27">
        <f>SUM(D549:D552)</f>
        <v>60361.292999999998</v>
      </c>
      <c r="E548" s="23">
        <f t="shared" ref="E548" si="122">SUM(E549:E552)</f>
        <v>60361.292999999998</v>
      </c>
      <c r="F548" s="23"/>
      <c r="G548" s="23"/>
      <c r="H548" s="23"/>
      <c r="I548" s="23"/>
      <c r="J548" s="43"/>
      <c r="K548" s="43"/>
      <c r="L548" s="43"/>
      <c r="M548" s="43"/>
      <c r="N548" s="53"/>
      <c r="O548" s="43"/>
      <c r="P548" s="43"/>
      <c r="Q548" s="43"/>
      <c r="R548" s="43"/>
      <c r="S548" s="51"/>
    </row>
    <row r="549" spans="1:19" ht="18" customHeight="1" x14ac:dyDescent="0.25">
      <c r="A549" s="38"/>
      <c r="B549" s="49"/>
      <c r="C549" s="31" t="s">
        <v>0</v>
      </c>
      <c r="D549" s="27"/>
      <c r="E549" s="23"/>
      <c r="F549" s="23"/>
      <c r="G549" s="23"/>
      <c r="H549" s="23"/>
      <c r="I549" s="23"/>
      <c r="J549" s="43"/>
      <c r="K549" s="43"/>
      <c r="L549" s="43"/>
      <c r="M549" s="43"/>
      <c r="N549" s="53"/>
      <c r="O549" s="43"/>
      <c r="P549" s="43"/>
      <c r="Q549" s="43"/>
      <c r="R549" s="43"/>
      <c r="S549" s="51"/>
    </row>
    <row r="550" spans="1:19" ht="18" customHeight="1" x14ac:dyDescent="0.25">
      <c r="A550" s="38"/>
      <c r="B550" s="49"/>
      <c r="C550" s="31" t="s">
        <v>1</v>
      </c>
      <c r="D550" s="27">
        <f t="shared" ref="D550" si="123">SUM(E550:I550)</f>
        <v>60361.292999999998</v>
      </c>
      <c r="E550" s="23">
        <v>60361.292999999998</v>
      </c>
      <c r="F550" s="23"/>
      <c r="G550" s="23"/>
      <c r="H550" s="23"/>
      <c r="I550" s="23"/>
      <c r="J550" s="43"/>
      <c r="K550" s="43"/>
      <c r="L550" s="43"/>
      <c r="M550" s="43"/>
      <c r="N550" s="53"/>
      <c r="O550" s="43"/>
      <c r="P550" s="43"/>
      <c r="Q550" s="43"/>
      <c r="R550" s="43"/>
      <c r="S550" s="51"/>
    </row>
    <row r="551" spans="1:19" ht="18" customHeight="1" x14ac:dyDescent="0.25">
      <c r="A551" s="38"/>
      <c r="B551" s="49"/>
      <c r="C551" s="31" t="s">
        <v>2</v>
      </c>
      <c r="D551" s="27"/>
      <c r="E551" s="23"/>
      <c r="F551" s="23"/>
      <c r="G551" s="23"/>
      <c r="H551" s="23"/>
      <c r="I551" s="23"/>
      <c r="J551" s="43"/>
      <c r="K551" s="43"/>
      <c r="L551" s="43"/>
      <c r="M551" s="43"/>
      <c r="N551" s="53"/>
      <c r="O551" s="43"/>
      <c r="P551" s="43"/>
      <c r="Q551" s="43"/>
      <c r="R551" s="43"/>
      <c r="S551" s="51"/>
    </row>
    <row r="552" spans="1:19" ht="18" customHeight="1" x14ac:dyDescent="0.25">
      <c r="A552" s="38"/>
      <c r="B552" s="49"/>
      <c r="C552" s="31" t="s">
        <v>3</v>
      </c>
      <c r="D552" s="27"/>
      <c r="E552" s="23"/>
      <c r="F552" s="23"/>
      <c r="G552" s="23"/>
      <c r="H552" s="23"/>
      <c r="I552" s="23"/>
      <c r="J552" s="43"/>
      <c r="K552" s="43"/>
      <c r="L552" s="43"/>
      <c r="M552" s="43"/>
      <c r="N552" s="53"/>
      <c r="O552" s="43"/>
      <c r="P552" s="43"/>
      <c r="Q552" s="43"/>
      <c r="R552" s="43"/>
      <c r="S552" s="51"/>
    </row>
    <row r="553" spans="1:19" ht="18.75" customHeight="1" x14ac:dyDescent="0.25">
      <c r="A553" s="37" t="s">
        <v>23</v>
      </c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</row>
    <row r="554" spans="1:19" ht="21" customHeight="1" x14ac:dyDescent="0.25">
      <c r="A554" s="38"/>
      <c r="B554" s="48" t="s">
        <v>639</v>
      </c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</row>
    <row r="555" spans="1:19" ht="18.75" customHeight="1" x14ac:dyDescent="0.25">
      <c r="A555" s="38"/>
      <c r="B555" s="49" t="s">
        <v>415</v>
      </c>
      <c r="C555" s="50" t="s">
        <v>640</v>
      </c>
      <c r="D555" s="50"/>
      <c r="E555" s="50"/>
      <c r="F555" s="50"/>
      <c r="G555" s="50"/>
      <c r="H555" s="50"/>
      <c r="I555" s="50"/>
      <c r="J555" s="43" t="s">
        <v>15</v>
      </c>
      <c r="K555" s="43" t="s">
        <v>828</v>
      </c>
      <c r="L555" s="43"/>
      <c r="M555" s="43" t="s">
        <v>479</v>
      </c>
      <c r="N555" s="53" t="s">
        <v>897</v>
      </c>
      <c r="O555" s="43" t="s">
        <v>38</v>
      </c>
      <c r="P555" s="43" t="s">
        <v>459</v>
      </c>
      <c r="Q555" s="43" t="s">
        <v>44</v>
      </c>
      <c r="R555" s="43"/>
      <c r="S555" s="51"/>
    </row>
    <row r="556" spans="1:19" ht="18" customHeight="1" x14ac:dyDescent="0.25">
      <c r="A556" s="38"/>
      <c r="B556" s="49"/>
      <c r="C556" s="31" t="s">
        <v>6</v>
      </c>
      <c r="D556" s="27">
        <f>SUM(D557:D560)</f>
        <v>11474.723620000001</v>
      </c>
      <c r="E556" s="23">
        <f t="shared" ref="E556" si="124">SUM(E557:E560)</f>
        <v>11474.723620000001</v>
      </c>
      <c r="F556" s="23"/>
      <c r="G556" s="23"/>
      <c r="H556" s="23"/>
      <c r="I556" s="23"/>
      <c r="J556" s="43"/>
      <c r="K556" s="43"/>
      <c r="L556" s="43"/>
      <c r="M556" s="43"/>
      <c r="N556" s="53"/>
      <c r="O556" s="43"/>
      <c r="P556" s="43"/>
      <c r="Q556" s="43"/>
      <c r="R556" s="43"/>
      <c r="S556" s="51"/>
    </row>
    <row r="557" spans="1:19" ht="18" customHeight="1" x14ac:dyDescent="0.25">
      <c r="A557" s="38"/>
      <c r="B557" s="49"/>
      <c r="C557" s="31" t="s">
        <v>0</v>
      </c>
      <c r="D557" s="27"/>
      <c r="E557" s="23"/>
      <c r="F557" s="23"/>
      <c r="G557" s="23"/>
      <c r="H557" s="23"/>
      <c r="I557" s="23"/>
      <c r="J557" s="43"/>
      <c r="K557" s="43"/>
      <c r="L557" s="43"/>
      <c r="M557" s="43"/>
      <c r="N557" s="53"/>
      <c r="O557" s="43"/>
      <c r="P557" s="43"/>
      <c r="Q557" s="43"/>
      <c r="R557" s="43"/>
      <c r="S557" s="51"/>
    </row>
    <row r="558" spans="1:19" ht="18" customHeight="1" x14ac:dyDescent="0.25">
      <c r="A558" s="38"/>
      <c r="B558" s="49"/>
      <c r="C558" s="31" t="s">
        <v>1</v>
      </c>
      <c r="D558" s="27">
        <f t="shared" ref="D558" si="125">SUM(E558:I558)</f>
        <v>11474.723620000001</v>
      </c>
      <c r="E558" s="23">
        <f>5411.72362+6063</f>
        <v>11474.723620000001</v>
      </c>
      <c r="F558" s="23"/>
      <c r="G558" s="23"/>
      <c r="H558" s="23"/>
      <c r="I558" s="23"/>
      <c r="J558" s="43"/>
      <c r="K558" s="43"/>
      <c r="L558" s="43"/>
      <c r="M558" s="43"/>
      <c r="N558" s="53"/>
      <c r="O558" s="43"/>
      <c r="P558" s="43"/>
      <c r="Q558" s="43"/>
      <c r="R558" s="43"/>
      <c r="S558" s="51"/>
    </row>
    <row r="559" spans="1:19" ht="18" customHeight="1" x14ac:dyDescent="0.25">
      <c r="A559" s="38"/>
      <c r="B559" s="49"/>
      <c r="C559" s="31" t="s">
        <v>2</v>
      </c>
      <c r="D559" s="27"/>
      <c r="E559" s="23"/>
      <c r="F559" s="23"/>
      <c r="G559" s="23"/>
      <c r="H559" s="23"/>
      <c r="I559" s="23"/>
      <c r="J559" s="43"/>
      <c r="K559" s="43"/>
      <c r="L559" s="43"/>
      <c r="M559" s="43"/>
      <c r="N559" s="53"/>
      <c r="O559" s="43"/>
      <c r="P559" s="43"/>
      <c r="Q559" s="43"/>
      <c r="R559" s="43"/>
      <c r="S559" s="51"/>
    </row>
    <row r="560" spans="1:19" ht="18" customHeight="1" x14ac:dyDescent="0.25">
      <c r="A560" s="38"/>
      <c r="B560" s="49"/>
      <c r="C560" s="31" t="s">
        <v>3</v>
      </c>
      <c r="D560" s="27"/>
      <c r="E560" s="23"/>
      <c r="F560" s="23"/>
      <c r="G560" s="23"/>
      <c r="H560" s="23"/>
      <c r="I560" s="23"/>
      <c r="J560" s="43"/>
      <c r="K560" s="43"/>
      <c r="L560" s="43"/>
      <c r="M560" s="43"/>
      <c r="N560" s="53"/>
      <c r="O560" s="43"/>
      <c r="P560" s="43"/>
      <c r="Q560" s="43"/>
      <c r="R560" s="43"/>
      <c r="S560" s="51"/>
    </row>
    <row r="561" spans="1:19" ht="18.75" customHeight="1" x14ac:dyDescent="0.25">
      <c r="A561" s="37" t="s">
        <v>23</v>
      </c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</row>
    <row r="562" spans="1:19" ht="21" customHeight="1" x14ac:dyDescent="0.25">
      <c r="A562" s="38"/>
      <c r="B562" s="48" t="s">
        <v>579</v>
      </c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</row>
    <row r="563" spans="1:19" ht="18.75" customHeight="1" x14ac:dyDescent="0.25">
      <c r="A563" s="38"/>
      <c r="B563" s="49" t="s">
        <v>621</v>
      </c>
      <c r="C563" s="50" t="s">
        <v>859</v>
      </c>
      <c r="D563" s="50"/>
      <c r="E563" s="50"/>
      <c r="F563" s="50"/>
      <c r="G563" s="50"/>
      <c r="H563" s="50"/>
      <c r="I563" s="50"/>
      <c r="J563" s="43" t="s">
        <v>15</v>
      </c>
      <c r="K563" s="43" t="s">
        <v>828</v>
      </c>
      <c r="L563" s="43"/>
      <c r="M563" s="43" t="s">
        <v>469</v>
      </c>
      <c r="N563" s="53" t="s">
        <v>898</v>
      </c>
      <c r="O563" s="43" t="s">
        <v>38</v>
      </c>
      <c r="P563" s="43" t="s">
        <v>13</v>
      </c>
      <c r="Q563" s="43" t="s">
        <v>44</v>
      </c>
      <c r="R563" s="43"/>
      <c r="S563" s="51"/>
    </row>
    <row r="564" spans="1:19" ht="18" customHeight="1" x14ac:dyDescent="0.25">
      <c r="A564" s="38"/>
      <c r="B564" s="49"/>
      <c r="C564" s="31" t="s">
        <v>6</v>
      </c>
      <c r="D564" s="27">
        <f>SUM(D565:D568)</f>
        <v>10358.66</v>
      </c>
      <c r="E564" s="23">
        <f t="shared" ref="E564" si="126">SUM(E565:E568)</f>
        <v>10358.66</v>
      </c>
      <c r="F564" s="23"/>
      <c r="G564" s="23"/>
      <c r="H564" s="23"/>
      <c r="I564" s="23"/>
      <c r="J564" s="43"/>
      <c r="K564" s="43"/>
      <c r="L564" s="43"/>
      <c r="M564" s="43"/>
      <c r="N564" s="53"/>
      <c r="O564" s="43"/>
      <c r="P564" s="43"/>
      <c r="Q564" s="43"/>
      <c r="R564" s="43"/>
      <c r="S564" s="51"/>
    </row>
    <row r="565" spans="1:19" ht="18" customHeight="1" x14ac:dyDescent="0.25">
      <c r="A565" s="38"/>
      <c r="B565" s="49"/>
      <c r="C565" s="31" t="s">
        <v>0</v>
      </c>
      <c r="D565" s="27"/>
      <c r="E565" s="23"/>
      <c r="F565" s="23"/>
      <c r="G565" s="23"/>
      <c r="H565" s="23"/>
      <c r="I565" s="23"/>
      <c r="J565" s="43"/>
      <c r="K565" s="43"/>
      <c r="L565" s="43"/>
      <c r="M565" s="43"/>
      <c r="N565" s="53"/>
      <c r="O565" s="43"/>
      <c r="P565" s="43"/>
      <c r="Q565" s="43"/>
      <c r="R565" s="43"/>
      <c r="S565" s="51"/>
    </row>
    <row r="566" spans="1:19" ht="18" customHeight="1" x14ac:dyDescent="0.25">
      <c r="A566" s="38"/>
      <c r="B566" s="49"/>
      <c r="C566" s="31" t="s">
        <v>1</v>
      </c>
      <c r="D566" s="27">
        <f t="shared" ref="D566" si="127">SUM(E566:I566)</f>
        <v>10358.66</v>
      </c>
      <c r="E566" s="23">
        <v>10358.66</v>
      </c>
      <c r="F566" s="23"/>
      <c r="G566" s="23"/>
      <c r="H566" s="23"/>
      <c r="I566" s="23"/>
      <c r="J566" s="43"/>
      <c r="K566" s="43"/>
      <c r="L566" s="43"/>
      <c r="M566" s="43"/>
      <c r="N566" s="53"/>
      <c r="O566" s="43"/>
      <c r="P566" s="43"/>
      <c r="Q566" s="43"/>
      <c r="R566" s="43"/>
      <c r="S566" s="51"/>
    </row>
    <row r="567" spans="1:19" ht="18" customHeight="1" x14ac:dyDescent="0.25">
      <c r="A567" s="38"/>
      <c r="B567" s="49"/>
      <c r="C567" s="31" t="s">
        <v>2</v>
      </c>
      <c r="D567" s="27"/>
      <c r="E567" s="23"/>
      <c r="F567" s="23"/>
      <c r="G567" s="23"/>
      <c r="H567" s="23"/>
      <c r="I567" s="23"/>
      <c r="J567" s="43"/>
      <c r="K567" s="43"/>
      <c r="L567" s="43"/>
      <c r="M567" s="43"/>
      <c r="N567" s="53"/>
      <c r="O567" s="43"/>
      <c r="P567" s="43"/>
      <c r="Q567" s="43"/>
      <c r="R567" s="43"/>
      <c r="S567" s="51"/>
    </row>
    <row r="568" spans="1:19" ht="18" customHeight="1" x14ac:dyDescent="0.25">
      <c r="A568" s="38"/>
      <c r="B568" s="49"/>
      <c r="C568" s="31" t="s">
        <v>3</v>
      </c>
      <c r="D568" s="27"/>
      <c r="E568" s="23"/>
      <c r="F568" s="23"/>
      <c r="G568" s="23"/>
      <c r="H568" s="23"/>
      <c r="I568" s="23"/>
      <c r="J568" s="43"/>
      <c r="K568" s="43"/>
      <c r="L568" s="43"/>
      <c r="M568" s="43"/>
      <c r="N568" s="53"/>
      <c r="O568" s="43"/>
      <c r="P568" s="43"/>
      <c r="Q568" s="43"/>
      <c r="R568" s="43"/>
      <c r="S568" s="51"/>
    </row>
    <row r="569" spans="1:19" ht="18.75" customHeight="1" x14ac:dyDescent="0.25">
      <c r="A569" s="37" t="s">
        <v>23</v>
      </c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</row>
    <row r="570" spans="1:19" ht="21" customHeight="1" x14ac:dyDescent="0.25">
      <c r="A570" s="38"/>
      <c r="B570" s="48" t="s">
        <v>579</v>
      </c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</row>
    <row r="571" spans="1:19" ht="18.75" customHeight="1" x14ac:dyDescent="0.25">
      <c r="A571" s="38"/>
      <c r="B571" s="49" t="s">
        <v>622</v>
      </c>
      <c r="C571" s="50" t="s">
        <v>624</v>
      </c>
      <c r="D571" s="50"/>
      <c r="E571" s="50"/>
      <c r="F571" s="50"/>
      <c r="G571" s="50"/>
      <c r="H571" s="50"/>
      <c r="I571" s="50"/>
      <c r="J571" s="43" t="s">
        <v>15</v>
      </c>
      <c r="K571" s="43" t="s">
        <v>828</v>
      </c>
      <c r="L571" s="43" t="s">
        <v>860</v>
      </c>
      <c r="M571" s="43" t="s">
        <v>625</v>
      </c>
      <c r="N571" s="53" t="s">
        <v>905</v>
      </c>
      <c r="O571" s="43" t="s">
        <v>38</v>
      </c>
      <c r="P571" s="43" t="s">
        <v>22</v>
      </c>
      <c r="Q571" s="43" t="s">
        <v>44</v>
      </c>
      <c r="R571" s="43"/>
      <c r="S571" s="51"/>
    </row>
    <row r="572" spans="1:19" ht="18" customHeight="1" x14ac:dyDescent="0.25">
      <c r="A572" s="38"/>
      <c r="B572" s="49"/>
      <c r="C572" s="31" t="s">
        <v>6</v>
      </c>
      <c r="D572" s="27">
        <f>SUM(D573:D576)</f>
        <v>7828.47559</v>
      </c>
      <c r="E572" s="23">
        <f t="shared" ref="E572" si="128">SUM(E573:E576)</f>
        <v>7828.47559</v>
      </c>
      <c r="F572" s="23"/>
      <c r="G572" s="23"/>
      <c r="H572" s="23"/>
      <c r="I572" s="23"/>
      <c r="J572" s="43"/>
      <c r="K572" s="43"/>
      <c r="L572" s="43"/>
      <c r="M572" s="43"/>
      <c r="N572" s="53"/>
      <c r="O572" s="43"/>
      <c r="P572" s="43"/>
      <c r="Q572" s="43"/>
      <c r="R572" s="43"/>
      <c r="S572" s="51"/>
    </row>
    <row r="573" spans="1:19" ht="18" customHeight="1" x14ac:dyDescent="0.25">
      <c r="A573" s="38"/>
      <c r="B573" s="49"/>
      <c r="C573" s="31" t="s">
        <v>0</v>
      </c>
      <c r="D573" s="27"/>
      <c r="E573" s="23"/>
      <c r="F573" s="23"/>
      <c r="G573" s="23"/>
      <c r="H573" s="23"/>
      <c r="I573" s="23"/>
      <c r="J573" s="43"/>
      <c r="K573" s="43"/>
      <c r="L573" s="43"/>
      <c r="M573" s="43"/>
      <c r="N573" s="53"/>
      <c r="O573" s="43"/>
      <c r="P573" s="43"/>
      <c r="Q573" s="43"/>
      <c r="R573" s="43"/>
      <c r="S573" s="51"/>
    </row>
    <row r="574" spans="1:19" ht="18" customHeight="1" x14ac:dyDescent="0.25">
      <c r="A574" s="38"/>
      <c r="B574" s="49"/>
      <c r="C574" s="31" t="s">
        <v>1</v>
      </c>
      <c r="D574" s="27">
        <f t="shared" ref="D574" si="129">SUM(E574:I574)</f>
        <v>7828.47559</v>
      </c>
      <c r="E574" s="23">
        <f>6331.80059+1496.675</f>
        <v>7828.47559</v>
      </c>
      <c r="F574" s="23"/>
      <c r="G574" s="23"/>
      <c r="H574" s="23"/>
      <c r="I574" s="23"/>
      <c r="J574" s="43"/>
      <c r="K574" s="43"/>
      <c r="L574" s="43"/>
      <c r="M574" s="43"/>
      <c r="N574" s="53"/>
      <c r="O574" s="43"/>
      <c r="P574" s="43"/>
      <c r="Q574" s="43"/>
      <c r="R574" s="43"/>
      <c r="S574" s="51"/>
    </row>
    <row r="575" spans="1:19" ht="18" customHeight="1" x14ac:dyDescent="0.25">
      <c r="A575" s="38"/>
      <c r="B575" s="49"/>
      <c r="C575" s="31" t="s">
        <v>2</v>
      </c>
      <c r="D575" s="27"/>
      <c r="E575" s="23"/>
      <c r="F575" s="23"/>
      <c r="G575" s="23"/>
      <c r="H575" s="23"/>
      <c r="I575" s="23"/>
      <c r="J575" s="43"/>
      <c r="K575" s="43"/>
      <c r="L575" s="43"/>
      <c r="M575" s="43"/>
      <c r="N575" s="53"/>
      <c r="O575" s="43"/>
      <c r="P575" s="43"/>
      <c r="Q575" s="43"/>
      <c r="R575" s="43"/>
      <c r="S575" s="51"/>
    </row>
    <row r="576" spans="1:19" ht="18" customHeight="1" x14ac:dyDescent="0.25">
      <c r="A576" s="38"/>
      <c r="B576" s="49"/>
      <c r="C576" s="31" t="s">
        <v>3</v>
      </c>
      <c r="D576" s="27"/>
      <c r="E576" s="23"/>
      <c r="F576" s="23"/>
      <c r="G576" s="23"/>
      <c r="H576" s="23"/>
      <c r="I576" s="23"/>
      <c r="J576" s="43"/>
      <c r="K576" s="43"/>
      <c r="L576" s="43"/>
      <c r="M576" s="43"/>
      <c r="N576" s="53"/>
      <c r="O576" s="43"/>
      <c r="P576" s="43"/>
      <c r="Q576" s="43"/>
      <c r="R576" s="43"/>
      <c r="S576" s="51"/>
    </row>
    <row r="577" spans="1:19" ht="18.75" customHeight="1" x14ac:dyDescent="0.25">
      <c r="A577" s="37" t="s">
        <v>23</v>
      </c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</row>
    <row r="578" spans="1:19" ht="21" customHeight="1" x14ac:dyDescent="0.25">
      <c r="A578" s="38"/>
      <c r="B578" s="48" t="s">
        <v>579</v>
      </c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</row>
    <row r="579" spans="1:19" ht="30.75" customHeight="1" x14ac:dyDescent="0.25">
      <c r="A579" s="38"/>
      <c r="B579" s="49" t="s">
        <v>623</v>
      </c>
      <c r="C579" s="50" t="s">
        <v>931</v>
      </c>
      <c r="D579" s="50"/>
      <c r="E579" s="50"/>
      <c r="F579" s="50"/>
      <c r="G579" s="50"/>
      <c r="H579" s="50"/>
      <c r="I579" s="50"/>
      <c r="J579" s="43" t="s">
        <v>15</v>
      </c>
      <c r="K579" s="43" t="s">
        <v>828</v>
      </c>
      <c r="L579" s="43"/>
      <c r="M579" s="43" t="s">
        <v>627</v>
      </c>
      <c r="N579" s="53" t="s">
        <v>906</v>
      </c>
      <c r="O579" s="43" t="s">
        <v>38</v>
      </c>
      <c r="P579" s="43" t="s">
        <v>21</v>
      </c>
      <c r="Q579" s="43" t="s">
        <v>44</v>
      </c>
      <c r="R579" s="43"/>
      <c r="S579" s="51"/>
    </row>
    <row r="580" spans="1:19" ht="18" customHeight="1" x14ac:dyDescent="0.25">
      <c r="A580" s="38"/>
      <c r="B580" s="49"/>
      <c r="C580" s="31" t="s">
        <v>6</v>
      </c>
      <c r="D580" s="27">
        <f>SUM(D581:D584)</f>
        <v>18292.749</v>
      </c>
      <c r="E580" s="23">
        <f t="shared" ref="E580" si="130">SUM(E581:E584)</f>
        <v>18292.749</v>
      </c>
      <c r="F580" s="23"/>
      <c r="G580" s="23"/>
      <c r="H580" s="23"/>
      <c r="I580" s="23"/>
      <c r="J580" s="43"/>
      <c r="K580" s="43"/>
      <c r="L580" s="43"/>
      <c r="M580" s="43"/>
      <c r="N580" s="53"/>
      <c r="O580" s="43"/>
      <c r="P580" s="43"/>
      <c r="Q580" s="43"/>
      <c r="R580" s="43"/>
      <c r="S580" s="51"/>
    </row>
    <row r="581" spans="1:19" ht="18" customHeight="1" x14ac:dyDescent="0.25">
      <c r="A581" s="38"/>
      <c r="B581" s="49"/>
      <c r="C581" s="31" t="s">
        <v>0</v>
      </c>
      <c r="D581" s="27"/>
      <c r="E581" s="23"/>
      <c r="F581" s="23"/>
      <c r="G581" s="23"/>
      <c r="H581" s="23"/>
      <c r="I581" s="23"/>
      <c r="J581" s="43"/>
      <c r="K581" s="43"/>
      <c r="L581" s="43"/>
      <c r="M581" s="43"/>
      <c r="N581" s="53"/>
      <c r="O581" s="43"/>
      <c r="P581" s="43"/>
      <c r="Q581" s="43"/>
      <c r="R581" s="43"/>
      <c r="S581" s="51"/>
    </row>
    <row r="582" spans="1:19" ht="18" customHeight="1" x14ac:dyDescent="0.25">
      <c r="A582" s="38"/>
      <c r="B582" s="49"/>
      <c r="C582" s="31" t="s">
        <v>1</v>
      </c>
      <c r="D582" s="27">
        <f t="shared" ref="D582" si="131">SUM(E582:I582)</f>
        <v>18292.749</v>
      </c>
      <c r="E582" s="23">
        <f>11710.945+6581.804</f>
        <v>18292.749</v>
      </c>
      <c r="F582" s="23"/>
      <c r="G582" s="23"/>
      <c r="H582" s="23"/>
      <c r="I582" s="23"/>
      <c r="J582" s="43"/>
      <c r="K582" s="43"/>
      <c r="L582" s="43"/>
      <c r="M582" s="43"/>
      <c r="N582" s="53"/>
      <c r="O582" s="43"/>
      <c r="P582" s="43"/>
      <c r="Q582" s="43"/>
      <c r="R582" s="43"/>
      <c r="S582" s="51"/>
    </row>
    <row r="583" spans="1:19" ht="18" customHeight="1" x14ac:dyDescent="0.25">
      <c r="A583" s="38"/>
      <c r="B583" s="49"/>
      <c r="C583" s="31" t="s">
        <v>2</v>
      </c>
      <c r="D583" s="27"/>
      <c r="E583" s="23"/>
      <c r="F583" s="23"/>
      <c r="G583" s="23"/>
      <c r="H583" s="23"/>
      <c r="I583" s="23"/>
      <c r="J583" s="43"/>
      <c r="K583" s="43"/>
      <c r="L583" s="43"/>
      <c r="M583" s="43"/>
      <c r="N583" s="53"/>
      <c r="O583" s="43"/>
      <c r="P583" s="43"/>
      <c r="Q583" s="43"/>
      <c r="R583" s="43"/>
      <c r="S583" s="51"/>
    </row>
    <row r="584" spans="1:19" ht="18" customHeight="1" x14ac:dyDescent="0.25">
      <c r="A584" s="38"/>
      <c r="B584" s="49"/>
      <c r="C584" s="31" t="s">
        <v>3</v>
      </c>
      <c r="D584" s="27"/>
      <c r="E584" s="23"/>
      <c r="F584" s="23"/>
      <c r="G584" s="23"/>
      <c r="H584" s="23"/>
      <c r="I584" s="23"/>
      <c r="J584" s="43"/>
      <c r="K584" s="43"/>
      <c r="L584" s="43"/>
      <c r="M584" s="43"/>
      <c r="N584" s="53"/>
      <c r="O584" s="43"/>
      <c r="P584" s="43"/>
      <c r="Q584" s="43"/>
      <c r="R584" s="43"/>
      <c r="S584" s="51"/>
    </row>
    <row r="585" spans="1:19" ht="18.75" customHeight="1" x14ac:dyDescent="0.25">
      <c r="A585" s="37" t="s">
        <v>23</v>
      </c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</row>
    <row r="586" spans="1:19" ht="21" customHeight="1" x14ac:dyDescent="0.25">
      <c r="A586" s="38"/>
      <c r="B586" s="48" t="s">
        <v>579</v>
      </c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</row>
    <row r="587" spans="1:19" ht="20.25" customHeight="1" x14ac:dyDescent="0.25">
      <c r="A587" s="38"/>
      <c r="B587" s="49" t="s">
        <v>626</v>
      </c>
      <c r="C587" s="50" t="s">
        <v>629</v>
      </c>
      <c r="D587" s="50"/>
      <c r="E587" s="50"/>
      <c r="F587" s="50"/>
      <c r="G587" s="50"/>
      <c r="H587" s="50"/>
      <c r="I587" s="50"/>
      <c r="J587" s="43" t="s">
        <v>15</v>
      </c>
      <c r="K587" s="43" t="s">
        <v>828</v>
      </c>
      <c r="L587" s="43"/>
      <c r="M587" s="43" t="s">
        <v>630</v>
      </c>
      <c r="N587" s="53" t="s">
        <v>907</v>
      </c>
      <c r="O587" s="43" t="s">
        <v>38</v>
      </c>
      <c r="P587" s="43" t="s">
        <v>21</v>
      </c>
      <c r="Q587" s="43" t="s">
        <v>44</v>
      </c>
      <c r="R587" s="43"/>
      <c r="S587" s="51"/>
    </row>
    <row r="588" spans="1:19" ht="18" customHeight="1" x14ac:dyDescent="0.25">
      <c r="A588" s="38"/>
      <c r="B588" s="49"/>
      <c r="C588" s="31" t="s">
        <v>6</v>
      </c>
      <c r="D588" s="27">
        <f>SUM(D589:D592)</f>
        <v>17871.87</v>
      </c>
      <c r="E588" s="23">
        <f t="shared" ref="E588" si="132">SUM(E589:E592)</f>
        <v>17871.87</v>
      </c>
      <c r="F588" s="23"/>
      <c r="G588" s="23"/>
      <c r="H588" s="23"/>
      <c r="I588" s="23"/>
      <c r="J588" s="43"/>
      <c r="K588" s="43"/>
      <c r="L588" s="43"/>
      <c r="M588" s="43"/>
      <c r="N588" s="53"/>
      <c r="O588" s="43"/>
      <c r="P588" s="43"/>
      <c r="Q588" s="43"/>
      <c r="R588" s="43"/>
      <c r="S588" s="51"/>
    </row>
    <row r="589" spans="1:19" ht="18" customHeight="1" x14ac:dyDescent="0.25">
      <c r="A589" s="38"/>
      <c r="B589" s="49"/>
      <c r="C589" s="31" t="s">
        <v>0</v>
      </c>
      <c r="D589" s="27"/>
      <c r="E589" s="23"/>
      <c r="F589" s="23"/>
      <c r="G589" s="23"/>
      <c r="H589" s="23"/>
      <c r="I589" s="23"/>
      <c r="J589" s="43"/>
      <c r="K589" s="43"/>
      <c r="L589" s="43"/>
      <c r="M589" s="43"/>
      <c r="N589" s="53"/>
      <c r="O589" s="43"/>
      <c r="P589" s="43"/>
      <c r="Q589" s="43"/>
      <c r="R589" s="43"/>
      <c r="S589" s="51"/>
    </row>
    <row r="590" spans="1:19" ht="18" customHeight="1" x14ac:dyDescent="0.25">
      <c r="A590" s="38"/>
      <c r="B590" s="49"/>
      <c r="C590" s="31" t="s">
        <v>1</v>
      </c>
      <c r="D590" s="27">
        <f t="shared" ref="D590" si="133">SUM(E590:I590)</f>
        <v>17871.87</v>
      </c>
      <c r="E590" s="23">
        <f>15142.436+2729.434</f>
        <v>17871.87</v>
      </c>
      <c r="F590" s="23"/>
      <c r="G590" s="23"/>
      <c r="H590" s="23"/>
      <c r="I590" s="23"/>
      <c r="J590" s="43"/>
      <c r="K590" s="43"/>
      <c r="L590" s="43"/>
      <c r="M590" s="43"/>
      <c r="N590" s="53"/>
      <c r="O590" s="43"/>
      <c r="P590" s="43"/>
      <c r="Q590" s="43"/>
      <c r="R590" s="43"/>
      <c r="S590" s="51"/>
    </row>
    <row r="591" spans="1:19" ht="18" customHeight="1" x14ac:dyDescent="0.25">
      <c r="A591" s="38"/>
      <c r="B591" s="49"/>
      <c r="C591" s="31" t="s">
        <v>2</v>
      </c>
      <c r="D591" s="27"/>
      <c r="E591" s="23"/>
      <c r="F591" s="23"/>
      <c r="G591" s="23"/>
      <c r="H591" s="23"/>
      <c r="I591" s="23"/>
      <c r="J591" s="43"/>
      <c r="K591" s="43"/>
      <c r="L591" s="43"/>
      <c r="M591" s="43"/>
      <c r="N591" s="53"/>
      <c r="O591" s="43"/>
      <c r="P591" s="43"/>
      <c r="Q591" s="43"/>
      <c r="R591" s="43"/>
      <c r="S591" s="51"/>
    </row>
    <row r="592" spans="1:19" ht="18" customHeight="1" x14ac:dyDescent="0.25">
      <c r="A592" s="38"/>
      <c r="B592" s="49"/>
      <c r="C592" s="31" t="s">
        <v>3</v>
      </c>
      <c r="D592" s="27"/>
      <c r="E592" s="23"/>
      <c r="F592" s="23"/>
      <c r="G592" s="23"/>
      <c r="H592" s="23"/>
      <c r="I592" s="23"/>
      <c r="J592" s="43"/>
      <c r="K592" s="43"/>
      <c r="L592" s="43"/>
      <c r="M592" s="43"/>
      <c r="N592" s="53"/>
      <c r="O592" s="43"/>
      <c r="P592" s="43"/>
      <c r="Q592" s="43"/>
      <c r="R592" s="43"/>
      <c r="S592" s="51"/>
    </row>
    <row r="593" spans="1:19" ht="18.75" customHeight="1" x14ac:dyDescent="0.25">
      <c r="A593" s="37" t="s">
        <v>23</v>
      </c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</row>
    <row r="594" spans="1:19" ht="21" customHeight="1" x14ac:dyDescent="0.25">
      <c r="A594" s="38"/>
      <c r="B594" s="48" t="s">
        <v>579</v>
      </c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</row>
    <row r="595" spans="1:19" ht="33.75" customHeight="1" x14ac:dyDescent="0.25">
      <c r="A595" s="38"/>
      <c r="B595" s="49" t="s">
        <v>628</v>
      </c>
      <c r="C595" s="50" t="s">
        <v>932</v>
      </c>
      <c r="D595" s="50"/>
      <c r="E595" s="50"/>
      <c r="F595" s="50"/>
      <c r="G595" s="50"/>
      <c r="H595" s="50"/>
      <c r="I595" s="50"/>
      <c r="J595" s="43" t="s">
        <v>15</v>
      </c>
      <c r="K595" s="43" t="s">
        <v>828</v>
      </c>
      <c r="L595" s="43"/>
      <c r="M595" s="43" t="s">
        <v>632</v>
      </c>
      <c r="N595" s="53" t="s">
        <v>908</v>
      </c>
      <c r="O595" s="43" t="s">
        <v>38</v>
      </c>
      <c r="P595" s="43" t="s">
        <v>21</v>
      </c>
      <c r="Q595" s="43" t="s">
        <v>44</v>
      </c>
      <c r="R595" s="43"/>
      <c r="S595" s="51"/>
    </row>
    <row r="596" spans="1:19" ht="18" customHeight="1" x14ac:dyDescent="0.25">
      <c r="A596" s="38"/>
      <c r="B596" s="49"/>
      <c r="C596" s="31" t="s">
        <v>6</v>
      </c>
      <c r="D596" s="27">
        <f>SUM(D597:D600)</f>
        <v>45115.578000000001</v>
      </c>
      <c r="E596" s="23">
        <f t="shared" ref="E596" si="134">SUM(E597:E600)</f>
        <v>45115.578000000001</v>
      </c>
      <c r="F596" s="23"/>
      <c r="G596" s="23"/>
      <c r="H596" s="23"/>
      <c r="I596" s="23"/>
      <c r="J596" s="43"/>
      <c r="K596" s="43"/>
      <c r="L596" s="43"/>
      <c r="M596" s="43"/>
      <c r="N596" s="53"/>
      <c r="O596" s="43"/>
      <c r="P596" s="43"/>
      <c r="Q596" s="43"/>
      <c r="R596" s="43"/>
      <c r="S596" s="51"/>
    </row>
    <row r="597" spans="1:19" ht="18" customHeight="1" x14ac:dyDescent="0.25">
      <c r="A597" s="38"/>
      <c r="B597" s="49"/>
      <c r="C597" s="31" t="s">
        <v>0</v>
      </c>
      <c r="D597" s="27"/>
      <c r="E597" s="23"/>
      <c r="F597" s="23"/>
      <c r="G597" s="23"/>
      <c r="H597" s="23"/>
      <c r="I597" s="23"/>
      <c r="J597" s="43"/>
      <c r="K597" s="43"/>
      <c r="L597" s="43"/>
      <c r="M597" s="43"/>
      <c r="N597" s="53"/>
      <c r="O597" s="43"/>
      <c r="P597" s="43"/>
      <c r="Q597" s="43"/>
      <c r="R597" s="43"/>
      <c r="S597" s="51"/>
    </row>
    <row r="598" spans="1:19" ht="18" customHeight="1" x14ac:dyDescent="0.25">
      <c r="A598" s="38"/>
      <c r="B598" s="49"/>
      <c r="C598" s="31" t="s">
        <v>1</v>
      </c>
      <c r="D598" s="27">
        <f t="shared" ref="D598" si="135">SUM(E598:I598)</f>
        <v>45115.578000000001</v>
      </c>
      <c r="E598" s="23">
        <f>29665.944+15449.634</f>
        <v>45115.578000000001</v>
      </c>
      <c r="F598" s="23"/>
      <c r="G598" s="23"/>
      <c r="H598" s="23"/>
      <c r="I598" s="23"/>
      <c r="J598" s="43"/>
      <c r="K598" s="43"/>
      <c r="L598" s="43"/>
      <c r="M598" s="43"/>
      <c r="N598" s="53"/>
      <c r="O598" s="43"/>
      <c r="P598" s="43"/>
      <c r="Q598" s="43"/>
      <c r="R598" s="43"/>
      <c r="S598" s="51"/>
    </row>
    <row r="599" spans="1:19" ht="18" customHeight="1" x14ac:dyDescent="0.25">
      <c r="A599" s="38"/>
      <c r="B599" s="49"/>
      <c r="C599" s="31" t="s">
        <v>2</v>
      </c>
      <c r="D599" s="27"/>
      <c r="E599" s="23"/>
      <c r="F599" s="23"/>
      <c r="G599" s="23"/>
      <c r="H599" s="23"/>
      <c r="I599" s="23"/>
      <c r="J599" s="43"/>
      <c r="K599" s="43"/>
      <c r="L599" s="43"/>
      <c r="M599" s="43"/>
      <c r="N599" s="53"/>
      <c r="O599" s="43"/>
      <c r="P599" s="43"/>
      <c r="Q599" s="43"/>
      <c r="R599" s="43"/>
      <c r="S599" s="51"/>
    </row>
    <row r="600" spans="1:19" ht="18" customHeight="1" x14ac:dyDescent="0.25">
      <c r="A600" s="38"/>
      <c r="B600" s="49"/>
      <c r="C600" s="31" t="s">
        <v>3</v>
      </c>
      <c r="D600" s="27"/>
      <c r="E600" s="23"/>
      <c r="F600" s="23"/>
      <c r="G600" s="23"/>
      <c r="H600" s="23"/>
      <c r="I600" s="23"/>
      <c r="J600" s="43"/>
      <c r="K600" s="43"/>
      <c r="L600" s="43"/>
      <c r="M600" s="43"/>
      <c r="N600" s="53"/>
      <c r="O600" s="43"/>
      <c r="P600" s="43"/>
      <c r="Q600" s="43"/>
      <c r="R600" s="43"/>
      <c r="S600" s="51"/>
    </row>
    <row r="601" spans="1:19" ht="18.75" customHeight="1" x14ac:dyDescent="0.25">
      <c r="A601" s="37" t="s">
        <v>23</v>
      </c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</row>
    <row r="602" spans="1:19" ht="21" customHeight="1" x14ac:dyDescent="0.25">
      <c r="A602" s="38"/>
      <c r="B602" s="48" t="s">
        <v>579</v>
      </c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</row>
    <row r="603" spans="1:19" ht="18.75" customHeight="1" x14ac:dyDescent="0.25">
      <c r="A603" s="38"/>
      <c r="B603" s="49" t="s">
        <v>631</v>
      </c>
      <c r="C603" s="50" t="s">
        <v>634</v>
      </c>
      <c r="D603" s="50"/>
      <c r="E603" s="50"/>
      <c r="F603" s="50"/>
      <c r="G603" s="50"/>
      <c r="H603" s="50"/>
      <c r="I603" s="50"/>
      <c r="J603" s="43" t="s">
        <v>15</v>
      </c>
      <c r="K603" s="43" t="s">
        <v>828</v>
      </c>
      <c r="L603" s="43"/>
      <c r="M603" s="43" t="s">
        <v>630</v>
      </c>
      <c r="N603" s="53" t="s">
        <v>909</v>
      </c>
      <c r="O603" s="43" t="s">
        <v>38</v>
      </c>
      <c r="P603" s="43" t="s">
        <v>21</v>
      </c>
      <c r="Q603" s="43" t="s">
        <v>44</v>
      </c>
      <c r="R603" s="43"/>
      <c r="S603" s="51"/>
    </row>
    <row r="604" spans="1:19" ht="18" customHeight="1" x14ac:dyDescent="0.25">
      <c r="A604" s="38"/>
      <c r="B604" s="49"/>
      <c r="C604" s="31" t="s">
        <v>6</v>
      </c>
      <c r="D604" s="27">
        <f>SUM(D605:D608)</f>
        <v>19987.285</v>
      </c>
      <c r="E604" s="23">
        <f t="shared" ref="E604" si="136">SUM(E605:E608)</f>
        <v>19987.285</v>
      </c>
      <c r="F604" s="23"/>
      <c r="G604" s="23"/>
      <c r="H604" s="23"/>
      <c r="I604" s="23"/>
      <c r="J604" s="43"/>
      <c r="K604" s="43"/>
      <c r="L604" s="43"/>
      <c r="M604" s="43"/>
      <c r="N604" s="53"/>
      <c r="O604" s="43"/>
      <c r="P604" s="43"/>
      <c r="Q604" s="43"/>
      <c r="R604" s="43"/>
      <c r="S604" s="51"/>
    </row>
    <row r="605" spans="1:19" ht="18" customHeight="1" x14ac:dyDescent="0.25">
      <c r="A605" s="38"/>
      <c r="B605" s="49"/>
      <c r="C605" s="31" t="s">
        <v>0</v>
      </c>
      <c r="D605" s="27"/>
      <c r="E605" s="23"/>
      <c r="F605" s="23"/>
      <c r="G605" s="23"/>
      <c r="H605" s="23"/>
      <c r="I605" s="23"/>
      <c r="J605" s="43"/>
      <c r="K605" s="43"/>
      <c r="L605" s="43"/>
      <c r="M605" s="43"/>
      <c r="N605" s="53"/>
      <c r="O605" s="43"/>
      <c r="P605" s="43"/>
      <c r="Q605" s="43"/>
      <c r="R605" s="43"/>
      <c r="S605" s="51"/>
    </row>
    <row r="606" spans="1:19" ht="18" customHeight="1" x14ac:dyDescent="0.25">
      <c r="A606" s="38"/>
      <c r="B606" s="49"/>
      <c r="C606" s="31" t="s">
        <v>1</v>
      </c>
      <c r="D606" s="27">
        <f t="shared" ref="D606" si="137">SUM(E606:I606)</f>
        <v>19987.285</v>
      </c>
      <c r="E606" s="23">
        <v>19987.285</v>
      </c>
      <c r="F606" s="23"/>
      <c r="G606" s="23"/>
      <c r="H606" s="23"/>
      <c r="I606" s="23"/>
      <c r="J606" s="43"/>
      <c r="K606" s="43"/>
      <c r="L606" s="43"/>
      <c r="M606" s="43"/>
      <c r="N606" s="53"/>
      <c r="O606" s="43"/>
      <c r="P606" s="43"/>
      <c r="Q606" s="43"/>
      <c r="R606" s="43"/>
      <c r="S606" s="51"/>
    </row>
    <row r="607" spans="1:19" ht="18" customHeight="1" x14ac:dyDescent="0.25">
      <c r="A607" s="38"/>
      <c r="B607" s="49"/>
      <c r="C607" s="31" t="s">
        <v>2</v>
      </c>
      <c r="D607" s="27"/>
      <c r="E607" s="23"/>
      <c r="F607" s="23"/>
      <c r="G607" s="23"/>
      <c r="H607" s="23"/>
      <c r="I607" s="23"/>
      <c r="J607" s="43"/>
      <c r="K607" s="43"/>
      <c r="L607" s="43"/>
      <c r="M607" s="43"/>
      <c r="N607" s="53"/>
      <c r="O607" s="43"/>
      <c r="P607" s="43"/>
      <c r="Q607" s="43"/>
      <c r="R607" s="43"/>
      <c r="S607" s="51"/>
    </row>
    <row r="608" spans="1:19" ht="18" customHeight="1" x14ac:dyDescent="0.25">
      <c r="A608" s="38"/>
      <c r="B608" s="49"/>
      <c r="C608" s="31" t="s">
        <v>3</v>
      </c>
      <c r="D608" s="27"/>
      <c r="E608" s="23"/>
      <c r="F608" s="23"/>
      <c r="G608" s="23"/>
      <c r="H608" s="23"/>
      <c r="I608" s="23"/>
      <c r="J608" s="43"/>
      <c r="K608" s="43"/>
      <c r="L608" s="43"/>
      <c r="M608" s="43"/>
      <c r="N608" s="53"/>
      <c r="O608" s="43"/>
      <c r="P608" s="43"/>
      <c r="Q608" s="43"/>
      <c r="R608" s="43"/>
      <c r="S608" s="51"/>
    </row>
    <row r="609" spans="1:19" ht="18.75" customHeight="1" x14ac:dyDescent="0.25">
      <c r="A609" s="37" t="s">
        <v>23</v>
      </c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</row>
    <row r="610" spans="1:19" ht="21" customHeight="1" x14ac:dyDescent="0.25">
      <c r="A610" s="38"/>
      <c r="B610" s="48" t="s">
        <v>639</v>
      </c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</row>
    <row r="611" spans="1:19" ht="18.75" customHeight="1" x14ac:dyDescent="0.25">
      <c r="A611" s="38"/>
      <c r="B611" s="49" t="s">
        <v>633</v>
      </c>
      <c r="C611" s="50" t="s">
        <v>641</v>
      </c>
      <c r="D611" s="50"/>
      <c r="E611" s="50"/>
      <c r="F611" s="50"/>
      <c r="G611" s="50"/>
      <c r="H611" s="50"/>
      <c r="I611" s="50"/>
      <c r="J611" s="43" t="s">
        <v>15</v>
      </c>
      <c r="K611" s="43" t="s">
        <v>828</v>
      </c>
      <c r="L611" s="43"/>
      <c r="M611" s="43" t="s">
        <v>913</v>
      </c>
      <c r="N611" s="53" t="s">
        <v>861</v>
      </c>
      <c r="O611" s="43" t="s">
        <v>38</v>
      </c>
      <c r="P611" s="43" t="s">
        <v>803</v>
      </c>
      <c r="Q611" s="43" t="s">
        <v>44</v>
      </c>
      <c r="R611" s="43"/>
      <c r="S611" s="51"/>
    </row>
    <row r="612" spans="1:19" ht="18" customHeight="1" x14ac:dyDescent="0.25">
      <c r="A612" s="38"/>
      <c r="B612" s="49"/>
      <c r="C612" s="31" t="s">
        <v>6</v>
      </c>
      <c r="D612" s="27">
        <f>SUM(D613:D616)</f>
        <v>134864.65935999999</v>
      </c>
      <c r="E612" s="23">
        <f t="shared" ref="E612" si="138">SUM(E613:E616)</f>
        <v>134864.65935999999</v>
      </c>
      <c r="F612" s="23"/>
      <c r="G612" s="23"/>
      <c r="H612" s="23"/>
      <c r="I612" s="23"/>
      <c r="J612" s="43"/>
      <c r="K612" s="43"/>
      <c r="L612" s="43"/>
      <c r="M612" s="43"/>
      <c r="N612" s="53"/>
      <c r="O612" s="43"/>
      <c r="P612" s="43"/>
      <c r="Q612" s="43"/>
      <c r="R612" s="43"/>
      <c r="S612" s="51"/>
    </row>
    <row r="613" spans="1:19" ht="18" customHeight="1" x14ac:dyDescent="0.25">
      <c r="A613" s="38"/>
      <c r="B613" s="49"/>
      <c r="C613" s="31" t="s">
        <v>0</v>
      </c>
      <c r="D613" s="27"/>
      <c r="E613" s="23"/>
      <c r="F613" s="23"/>
      <c r="G613" s="23"/>
      <c r="H613" s="23"/>
      <c r="I613" s="23"/>
      <c r="J613" s="43"/>
      <c r="K613" s="43"/>
      <c r="L613" s="43"/>
      <c r="M613" s="43"/>
      <c r="N613" s="53"/>
      <c r="O613" s="43"/>
      <c r="P613" s="43"/>
      <c r="Q613" s="43"/>
      <c r="R613" s="43"/>
      <c r="S613" s="51"/>
    </row>
    <row r="614" spans="1:19" ht="18" customHeight="1" x14ac:dyDescent="0.25">
      <c r="A614" s="38"/>
      <c r="B614" s="49"/>
      <c r="C614" s="31" t="s">
        <v>1</v>
      </c>
      <c r="D614" s="27">
        <f t="shared" ref="D614" si="139">SUM(E614:I614)</f>
        <v>134864.65935999999</v>
      </c>
      <c r="E614" s="23">
        <f>100423.66807-5543.93945-15.06926+40000</f>
        <v>134864.65935999999</v>
      </c>
      <c r="F614" s="23"/>
      <c r="G614" s="23"/>
      <c r="H614" s="23"/>
      <c r="I614" s="23"/>
      <c r="J614" s="43"/>
      <c r="K614" s="43"/>
      <c r="L614" s="43"/>
      <c r="M614" s="43"/>
      <c r="N614" s="53"/>
      <c r="O614" s="43"/>
      <c r="P614" s="43"/>
      <c r="Q614" s="43"/>
      <c r="R614" s="43"/>
      <c r="S614" s="51"/>
    </row>
    <row r="615" spans="1:19" ht="18" customHeight="1" x14ac:dyDescent="0.25">
      <c r="A615" s="38"/>
      <c r="B615" s="49"/>
      <c r="C615" s="31" t="s">
        <v>2</v>
      </c>
      <c r="D615" s="27"/>
      <c r="E615" s="23"/>
      <c r="F615" s="23"/>
      <c r="G615" s="23"/>
      <c r="H615" s="23"/>
      <c r="I615" s="23"/>
      <c r="J615" s="43"/>
      <c r="K615" s="43"/>
      <c r="L615" s="43"/>
      <c r="M615" s="43"/>
      <c r="N615" s="53"/>
      <c r="O615" s="43"/>
      <c r="P615" s="43"/>
      <c r="Q615" s="43"/>
      <c r="R615" s="43"/>
      <c r="S615" s="51"/>
    </row>
    <row r="616" spans="1:19" ht="18" customHeight="1" x14ac:dyDescent="0.25">
      <c r="A616" s="38"/>
      <c r="B616" s="49"/>
      <c r="C616" s="31" t="s">
        <v>3</v>
      </c>
      <c r="D616" s="27"/>
      <c r="E616" s="23"/>
      <c r="F616" s="23"/>
      <c r="G616" s="23"/>
      <c r="H616" s="23"/>
      <c r="I616" s="23"/>
      <c r="J616" s="43"/>
      <c r="K616" s="43"/>
      <c r="L616" s="43"/>
      <c r="M616" s="43"/>
      <c r="N616" s="53"/>
      <c r="O616" s="43"/>
      <c r="P616" s="43"/>
      <c r="Q616" s="43"/>
      <c r="R616" s="43"/>
      <c r="S616" s="51"/>
    </row>
    <row r="617" spans="1:19" s="18" customFormat="1" ht="18.75" customHeight="1" x14ac:dyDescent="0.25">
      <c r="A617" s="37" t="s">
        <v>23</v>
      </c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</row>
    <row r="618" spans="1:19" s="18" customFormat="1" ht="21" customHeight="1" x14ac:dyDescent="0.25">
      <c r="A618" s="38"/>
      <c r="B618" s="48" t="s">
        <v>581</v>
      </c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</row>
    <row r="619" spans="1:19" s="18" customFormat="1" ht="36.75" customHeight="1" x14ac:dyDescent="0.25">
      <c r="A619" s="38"/>
      <c r="B619" s="49" t="s">
        <v>839</v>
      </c>
      <c r="C619" s="50" t="s">
        <v>840</v>
      </c>
      <c r="D619" s="50"/>
      <c r="E619" s="50"/>
      <c r="F619" s="50"/>
      <c r="G619" s="50"/>
      <c r="H619" s="50"/>
      <c r="I619" s="50"/>
      <c r="J619" s="43" t="s">
        <v>15</v>
      </c>
      <c r="K619" s="43" t="s">
        <v>821</v>
      </c>
      <c r="L619" s="43" t="s">
        <v>862</v>
      </c>
      <c r="M619" s="43" t="s">
        <v>23</v>
      </c>
      <c r="N619" s="53" t="s">
        <v>856</v>
      </c>
      <c r="O619" s="43" t="s">
        <v>17</v>
      </c>
      <c r="P619" s="43" t="s">
        <v>13</v>
      </c>
      <c r="Q619" s="43" t="s">
        <v>44</v>
      </c>
      <c r="R619" s="43"/>
      <c r="S619" s="51"/>
    </row>
    <row r="620" spans="1:19" s="18" customFormat="1" ht="18" customHeight="1" x14ac:dyDescent="0.25">
      <c r="A620" s="38"/>
      <c r="B620" s="49"/>
      <c r="C620" s="31" t="s">
        <v>6</v>
      </c>
      <c r="D620" s="27">
        <f>SUM(D621:D624)</f>
        <v>2000</v>
      </c>
      <c r="E620" s="23">
        <f t="shared" ref="E620" si="140">SUM(E621:E624)</f>
        <v>2000</v>
      </c>
      <c r="F620" s="23"/>
      <c r="G620" s="23"/>
      <c r="H620" s="23"/>
      <c r="I620" s="23"/>
      <c r="J620" s="43"/>
      <c r="K620" s="43"/>
      <c r="L620" s="43"/>
      <c r="M620" s="43"/>
      <c r="N620" s="53"/>
      <c r="O620" s="43"/>
      <c r="P620" s="43"/>
      <c r="Q620" s="43"/>
      <c r="R620" s="43"/>
      <c r="S620" s="51"/>
    </row>
    <row r="621" spans="1:19" s="18" customFormat="1" ht="18" customHeight="1" x14ac:dyDescent="0.25">
      <c r="A621" s="38"/>
      <c r="B621" s="49"/>
      <c r="C621" s="31" t="s">
        <v>0</v>
      </c>
      <c r="D621" s="27"/>
      <c r="E621" s="23"/>
      <c r="F621" s="23"/>
      <c r="G621" s="23"/>
      <c r="H621" s="23"/>
      <c r="I621" s="23"/>
      <c r="J621" s="43"/>
      <c r="K621" s="43"/>
      <c r="L621" s="43"/>
      <c r="M621" s="43"/>
      <c r="N621" s="53"/>
      <c r="O621" s="43"/>
      <c r="P621" s="43"/>
      <c r="Q621" s="43"/>
      <c r="R621" s="43"/>
      <c r="S621" s="51"/>
    </row>
    <row r="622" spans="1:19" s="18" customFormat="1" ht="18" customHeight="1" x14ac:dyDescent="0.25">
      <c r="A622" s="38"/>
      <c r="B622" s="49"/>
      <c r="C622" s="31" t="s">
        <v>1</v>
      </c>
      <c r="D622" s="27">
        <f t="shared" ref="D622" si="141">SUM(E622:I622)</f>
        <v>2000</v>
      </c>
      <c r="E622" s="23">
        <f>3000-1000</f>
        <v>2000</v>
      </c>
      <c r="F622" s="23"/>
      <c r="G622" s="23"/>
      <c r="H622" s="23"/>
      <c r="I622" s="23"/>
      <c r="J622" s="43"/>
      <c r="K622" s="43"/>
      <c r="L622" s="43"/>
      <c r="M622" s="43"/>
      <c r="N622" s="53"/>
      <c r="O622" s="43"/>
      <c r="P622" s="43"/>
      <c r="Q622" s="43"/>
      <c r="R622" s="43"/>
      <c r="S622" s="51"/>
    </row>
    <row r="623" spans="1:19" s="18" customFormat="1" ht="18" customHeight="1" x14ac:dyDescent="0.25">
      <c r="A623" s="38"/>
      <c r="B623" s="49"/>
      <c r="C623" s="31" t="s">
        <v>2</v>
      </c>
      <c r="D623" s="27"/>
      <c r="E623" s="23"/>
      <c r="F623" s="23"/>
      <c r="G623" s="23"/>
      <c r="H623" s="23"/>
      <c r="I623" s="23"/>
      <c r="J623" s="43"/>
      <c r="K623" s="43"/>
      <c r="L623" s="43"/>
      <c r="M623" s="43"/>
      <c r="N623" s="53"/>
      <c r="O623" s="43"/>
      <c r="P623" s="43"/>
      <c r="Q623" s="43"/>
      <c r="R623" s="43"/>
      <c r="S623" s="51"/>
    </row>
    <row r="624" spans="1:19" s="18" customFormat="1" ht="18" customHeight="1" x14ac:dyDescent="0.25">
      <c r="A624" s="38"/>
      <c r="B624" s="49"/>
      <c r="C624" s="31" t="s">
        <v>3</v>
      </c>
      <c r="D624" s="27"/>
      <c r="E624" s="23"/>
      <c r="F624" s="23"/>
      <c r="G624" s="23"/>
      <c r="H624" s="23"/>
      <c r="I624" s="23"/>
      <c r="J624" s="43"/>
      <c r="K624" s="43"/>
      <c r="L624" s="43"/>
      <c r="M624" s="43"/>
      <c r="N624" s="53"/>
      <c r="O624" s="43"/>
      <c r="P624" s="43"/>
      <c r="Q624" s="43"/>
      <c r="R624" s="43"/>
      <c r="S624" s="51"/>
    </row>
    <row r="625" spans="1:19" ht="15.75" x14ac:dyDescent="0.25">
      <c r="A625" s="37" t="s">
        <v>23</v>
      </c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</row>
    <row r="626" spans="1:19" ht="21.75" customHeight="1" x14ac:dyDescent="0.25">
      <c r="A626" s="38"/>
      <c r="B626" s="48" t="s">
        <v>581</v>
      </c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</row>
    <row r="627" spans="1:19" ht="23.25" customHeight="1" x14ac:dyDescent="0.25">
      <c r="A627" s="38"/>
      <c r="B627" s="49" t="s">
        <v>883</v>
      </c>
      <c r="C627" s="50" t="s">
        <v>884</v>
      </c>
      <c r="D627" s="50"/>
      <c r="E627" s="50"/>
      <c r="F627" s="50"/>
      <c r="G627" s="50"/>
      <c r="H627" s="50"/>
      <c r="I627" s="50"/>
      <c r="J627" s="43" t="s">
        <v>888</v>
      </c>
      <c r="K627" s="43" t="s">
        <v>821</v>
      </c>
      <c r="L627" s="43"/>
      <c r="M627" s="43" t="s">
        <v>423</v>
      </c>
      <c r="N627" s="53"/>
      <c r="O627" s="43" t="s">
        <v>17</v>
      </c>
      <c r="P627" s="43" t="s">
        <v>13</v>
      </c>
      <c r="Q627" s="43" t="s">
        <v>9</v>
      </c>
      <c r="R627" s="43"/>
      <c r="S627" s="51" t="s">
        <v>757</v>
      </c>
    </row>
    <row r="628" spans="1:19" ht="18" customHeight="1" x14ac:dyDescent="0.25">
      <c r="A628" s="38"/>
      <c r="B628" s="49"/>
      <c r="C628" s="31" t="s">
        <v>6</v>
      </c>
      <c r="D628" s="27">
        <f t="shared" ref="D628:E628" si="142">SUM(D629:D632)</f>
        <v>1787580</v>
      </c>
      <c r="E628" s="23">
        <f t="shared" si="142"/>
        <v>661760</v>
      </c>
      <c r="F628" s="23">
        <f>F629</f>
        <v>1125820</v>
      </c>
      <c r="G628" s="23"/>
      <c r="H628" s="23"/>
      <c r="I628" s="23"/>
      <c r="J628" s="43"/>
      <c r="K628" s="43"/>
      <c r="L628" s="43"/>
      <c r="M628" s="43"/>
      <c r="N628" s="53"/>
      <c r="O628" s="43"/>
      <c r="P628" s="43"/>
      <c r="Q628" s="43"/>
      <c r="R628" s="43"/>
      <c r="S628" s="51"/>
    </row>
    <row r="629" spans="1:19" ht="18" customHeight="1" x14ac:dyDescent="0.25">
      <c r="A629" s="38"/>
      <c r="B629" s="49"/>
      <c r="C629" s="31" t="s">
        <v>0</v>
      </c>
      <c r="D629" s="27">
        <f>E629+F629</f>
        <v>1787580</v>
      </c>
      <c r="E629" s="23">
        <v>661760</v>
      </c>
      <c r="F629" s="23">
        <v>1125820</v>
      </c>
      <c r="G629" s="23"/>
      <c r="H629" s="23"/>
      <c r="I629" s="23"/>
      <c r="J629" s="43"/>
      <c r="K629" s="43"/>
      <c r="L629" s="43"/>
      <c r="M629" s="43"/>
      <c r="N629" s="53"/>
      <c r="O629" s="43"/>
      <c r="P629" s="43"/>
      <c r="Q629" s="43"/>
      <c r="R629" s="43"/>
      <c r="S629" s="51"/>
    </row>
    <row r="630" spans="1:19" ht="18" customHeight="1" x14ac:dyDescent="0.25">
      <c r="A630" s="38"/>
      <c r="B630" s="49"/>
      <c r="C630" s="31" t="s">
        <v>1</v>
      </c>
      <c r="D630" s="27"/>
      <c r="E630" s="23"/>
      <c r="F630" s="23"/>
      <c r="G630" s="23"/>
      <c r="H630" s="23"/>
      <c r="I630" s="23"/>
      <c r="J630" s="43"/>
      <c r="K630" s="43"/>
      <c r="L630" s="43"/>
      <c r="M630" s="43"/>
      <c r="N630" s="53"/>
      <c r="O630" s="43"/>
      <c r="P630" s="43"/>
      <c r="Q630" s="43"/>
      <c r="R630" s="43"/>
      <c r="S630" s="51"/>
    </row>
    <row r="631" spans="1:19" ht="18" customHeight="1" x14ac:dyDescent="0.25">
      <c r="A631" s="38"/>
      <c r="B631" s="49"/>
      <c r="C631" s="31" t="s">
        <v>2</v>
      </c>
      <c r="D631" s="27"/>
      <c r="E631" s="23"/>
      <c r="F631" s="23"/>
      <c r="G631" s="23"/>
      <c r="H631" s="23"/>
      <c r="I631" s="23"/>
      <c r="J631" s="43"/>
      <c r="K631" s="43"/>
      <c r="L631" s="43"/>
      <c r="M631" s="43"/>
      <c r="N631" s="53"/>
      <c r="O631" s="43"/>
      <c r="P631" s="43"/>
      <c r="Q631" s="43"/>
      <c r="R631" s="43"/>
      <c r="S631" s="51"/>
    </row>
    <row r="632" spans="1:19" ht="18" customHeight="1" x14ac:dyDescent="0.25">
      <c r="A632" s="38"/>
      <c r="B632" s="49"/>
      <c r="C632" s="31" t="s">
        <v>3</v>
      </c>
      <c r="D632" s="27"/>
      <c r="E632" s="23"/>
      <c r="F632" s="23"/>
      <c r="G632" s="23"/>
      <c r="H632" s="23"/>
      <c r="I632" s="23"/>
      <c r="J632" s="43"/>
      <c r="K632" s="43"/>
      <c r="L632" s="43"/>
      <c r="M632" s="43"/>
      <c r="N632" s="53"/>
      <c r="O632" s="43"/>
      <c r="P632" s="43"/>
      <c r="Q632" s="43"/>
      <c r="R632" s="43"/>
      <c r="S632" s="51"/>
    </row>
    <row r="633" spans="1:19" ht="15.75" x14ac:dyDescent="0.25">
      <c r="A633" s="37" t="s">
        <v>23</v>
      </c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</row>
    <row r="634" spans="1:19" ht="21.75" customHeight="1" x14ac:dyDescent="0.25">
      <c r="A634" s="38"/>
      <c r="B634" s="48" t="s">
        <v>581</v>
      </c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</row>
    <row r="635" spans="1:19" ht="23.25" customHeight="1" x14ac:dyDescent="0.25">
      <c r="A635" s="38"/>
      <c r="B635" s="49" t="s">
        <v>890</v>
      </c>
      <c r="C635" s="50" t="s">
        <v>889</v>
      </c>
      <c r="D635" s="50"/>
      <c r="E635" s="50"/>
      <c r="F635" s="50"/>
      <c r="G635" s="50"/>
      <c r="H635" s="50"/>
      <c r="I635" s="50"/>
      <c r="J635" s="43" t="s">
        <v>16</v>
      </c>
      <c r="K635" s="43" t="s">
        <v>821</v>
      </c>
      <c r="L635" s="43"/>
      <c r="M635" s="43" t="s">
        <v>423</v>
      </c>
      <c r="N635" s="53"/>
      <c r="O635" s="43" t="s">
        <v>17</v>
      </c>
      <c r="P635" s="43" t="s">
        <v>13</v>
      </c>
      <c r="Q635" s="43" t="s">
        <v>9</v>
      </c>
      <c r="R635" s="43"/>
      <c r="S635" s="51"/>
    </row>
    <row r="636" spans="1:19" ht="18" customHeight="1" x14ac:dyDescent="0.25">
      <c r="A636" s="38"/>
      <c r="B636" s="49"/>
      <c r="C636" s="31" t="s">
        <v>6</v>
      </c>
      <c r="D636" s="27">
        <f t="shared" ref="D636:E636" si="143">SUM(D637:D640)</f>
        <v>9286.7788299999993</v>
      </c>
      <c r="E636" s="23">
        <f t="shared" si="143"/>
        <v>9286.7788299999993</v>
      </c>
      <c r="F636" s="23"/>
      <c r="G636" s="23"/>
      <c r="H636" s="23"/>
      <c r="I636" s="23"/>
      <c r="J636" s="43"/>
      <c r="K636" s="43"/>
      <c r="L636" s="43"/>
      <c r="M636" s="43"/>
      <c r="N636" s="53"/>
      <c r="O636" s="43"/>
      <c r="P636" s="43"/>
      <c r="Q636" s="43"/>
      <c r="R636" s="43"/>
      <c r="S636" s="51"/>
    </row>
    <row r="637" spans="1:19" ht="18" customHeight="1" x14ac:dyDescent="0.25">
      <c r="A637" s="38"/>
      <c r="B637" s="49"/>
      <c r="C637" s="31" t="s">
        <v>0</v>
      </c>
      <c r="D637" s="27">
        <f>E637</f>
        <v>9286.7788299999993</v>
      </c>
      <c r="E637" s="23">
        <v>9286.7788299999993</v>
      </c>
      <c r="F637" s="23"/>
      <c r="G637" s="23"/>
      <c r="H637" s="23"/>
      <c r="I637" s="23"/>
      <c r="J637" s="43"/>
      <c r="K637" s="43"/>
      <c r="L637" s="43"/>
      <c r="M637" s="43"/>
      <c r="N637" s="53"/>
      <c r="O637" s="43"/>
      <c r="P637" s="43"/>
      <c r="Q637" s="43"/>
      <c r="R637" s="43"/>
      <c r="S637" s="51"/>
    </row>
    <row r="638" spans="1:19" ht="18" customHeight="1" x14ac:dyDescent="0.25">
      <c r="A638" s="38"/>
      <c r="B638" s="49"/>
      <c r="C638" s="31" t="s">
        <v>1</v>
      </c>
      <c r="D638" s="27"/>
      <c r="E638" s="23"/>
      <c r="F638" s="23"/>
      <c r="G638" s="23"/>
      <c r="H638" s="23"/>
      <c r="I638" s="23"/>
      <c r="J638" s="43"/>
      <c r="K638" s="43"/>
      <c r="L638" s="43"/>
      <c r="M638" s="43"/>
      <c r="N638" s="53"/>
      <c r="O638" s="43"/>
      <c r="P638" s="43"/>
      <c r="Q638" s="43"/>
      <c r="R638" s="43"/>
      <c r="S638" s="51"/>
    </row>
    <row r="639" spans="1:19" ht="18" customHeight="1" x14ac:dyDescent="0.25">
      <c r="A639" s="38"/>
      <c r="B639" s="49"/>
      <c r="C639" s="31" t="s">
        <v>2</v>
      </c>
      <c r="D639" s="27"/>
      <c r="E639" s="23"/>
      <c r="F639" s="23"/>
      <c r="G639" s="23"/>
      <c r="H639" s="23"/>
      <c r="I639" s="23"/>
      <c r="J639" s="43"/>
      <c r="K639" s="43"/>
      <c r="L639" s="43"/>
      <c r="M639" s="43"/>
      <c r="N639" s="53"/>
      <c r="O639" s="43"/>
      <c r="P639" s="43"/>
      <c r="Q639" s="43"/>
      <c r="R639" s="43"/>
      <c r="S639" s="51"/>
    </row>
    <row r="640" spans="1:19" ht="18" customHeight="1" x14ac:dyDescent="0.25">
      <c r="A640" s="38"/>
      <c r="B640" s="49"/>
      <c r="C640" s="31" t="s">
        <v>3</v>
      </c>
      <c r="D640" s="27"/>
      <c r="E640" s="23"/>
      <c r="F640" s="23"/>
      <c r="G640" s="23"/>
      <c r="H640" s="23"/>
      <c r="I640" s="23"/>
      <c r="J640" s="43"/>
      <c r="K640" s="43"/>
      <c r="L640" s="43"/>
      <c r="M640" s="43"/>
      <c r="N640" s="53"/>
      <c r="O640" s="43"/>
      <c r="P640" s="43"/>
      <c r="Q640" s="43"/>
      <c r="R640" s="43"/>
      <c r="S640" s="51"/>
    </row>
    <row r="641" spans="1:19" s="24" customFormat="1" ht="18.75" customHeight="1" x14ac:dyDescent="0.25">
      <c r="A641" s="37" t="s">
        <v>23</v>
      </c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</row>
    <row r="642" spans="1:19" s="24" customFormat="1" ht="21" customHeight="1" x14ac:dyDescent="0.25">
      <c r="A642" s="38"/>
      <c r="B642" s="39" t="s">
        <v>579</v>
      </c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</row>
    <row r="643" spans="1:19" s="24" customFormat="1" ht="18.75" customHeight="1" x14ac:dyDescent="0.25">
      <c r="A643" s="38"/>
      <c r="B643" s="40" t="s">
        <v>957</v>
      </c>
      <c r="C643" s="41" t="s">
        <v>956</v>
      </c>
      <c r="D643" s="41"/>
      <c r="E643" s="41"/>
      <c r="F643" s="41"/>
      <c r="G643" s="41"/>
      <c r="H643" s="41"/>
      <c r="I643" s="41"/>
      <c r="J643" s="42" t="s">
        <v>15</v>
      </c>
      <c r="K643" s="42" t="s">
        <v>828</v>
      </c>
      <c r="L643" s="42"/>
      <c r="M643" s="42" t="s">
        <v>976</v>
      </c>
      <c r="N643" s="44" t="s">
        <v>430</v>
      </c>
      <c r="O643" s="42" t="s">
        <v>12</v>
      </c>
      <c r="P643" s="42" t="s">
        <v>978</v>
      </c>
      <c r="Q643" s="42" t="s">
        <v>44</v>
      </c>
      <c r="R643" s="42" t="s">
        <v>979</v>
      </c>
      <c r="S643" s="42" t="s">
        <v>979</v>
      </c>
    </row>
    <row r="644" spans="1:19" s="24" customFormat="1" ht="18" customHeight="1" x14ac:dyDescent="0.25">
      <c r="A644" s="38"/>
      <c r="B644" s="40"/>
      <c r="C644" s="30" t="s">
        <v>6</v>
      </c>
      <c r="D644" s="29">
        <f>SUM(D645:D648)</f>
        <v>10000</v>
      </c>
      <c r="E644" s="25">
        <f t="shared" ref="E644" si="144">SUM(E645:E648)</f>
        <v>10000</v>
      </c>
      <c r="F644" s="25"/>
      <c r="G644" s="25"/>
      <c r="H644" s="25"/>
      <c r="I644" s="25"/>
      <c r="J644" s="42"/>
      <c r="K644" s="42"/>
      <c r="L644" s="42"/>
      <c r="M644" s="42"/>
      <c r="N644" s="44"/>
      <c r="O644" s="42"/>
      <c r="P644" s="42"/>
      <c r="Q644" s="42"/>
      <c r="R644" s="42"/>
      <c r="S644" s="42"/>
    </row>
    <row r="645" spans="1:19" s="24" customFormat="1" ht="18" customHeight="1" x14ac:dyDescent="0.25">
      <c r="A645" s="38"/>
      <c r="B645" s="40"/>
      <c r="C645" s="30" t="s">
        <v>0</v>
      </c>
      <c r="D645" s="29"/>
      <c r="E645" s="25"/>
      <c r="F645" s="25"/>
      <c r="G645" s="25"/>
      <c r="H645" s="25"/>
      <c r="I645" s="25"/>
      <c r="J645" s="42"/>
      <c r="K645" s="42"/>
      <c r="L645" s="42"/>
      <c r="M645" s="42"/>
      <c r="N645" s="44"/>
      <c r="O645" s="42"/>
      <c r="P645" s="42"/>
      <c r="Q645" s="42"/>
      <c r="R645" s="42"/>
      <c r="S645" s="42"/>
    </row>
    <row r="646" spans="1:19" s="24" customFormat="1" ht="18" customHeight="1" x14ac:dyDescent="0.25">
      <c r="A646" s="38"/>
      <c r="B646" s="40"/>
      <c r="C646" s="30" t="s">
        <v>1</v>
      </c>
      <c r="D646" s="29">
        <f t="shared" ref="D646" si="145">SUM(E646:I646)</f>
        <v>10000</v>
      </c>
      <c r="E646" s="25">
        <v>10000</v>
      </c>
      <c r="F646" s="25"/>
      <c r="G646" s="25"/>
      <c r="H646" s="25"/>
      <c r="I646" s="25"/>
      <c r="J646" s="42"/>
      <c r="K646" s="42"/>
      <c r="L646" s="42"/>
      <c r="M646" s="42"/>
      <c r="N646" s="44"/>
      <c r="O646" s="42"/>
      <c r="P646" s="42"/>
      <c r="Q646" s="42"/>
      <c r="R646" s="42"/>
      <c r="S646" s="42"/>
    </row>
    <row r="647" spans="1:19" s="24" customFormat="1" ht="18" customHeight="1" x14ac:dyDescent="0.25">
      <c r="A647" s="38"/>
      <c r="B647" s="40"/>
      <c r="C647" s="30" t="s">
        <v>2</v>
      </c>
      <c r="D647" s="29"/>
      <c r="E647" s="25"/>
      <c r="F647" s="25"/>
      <c r="G647" s="25"/>
      <c r="H647" s="25"/>
      <c r="I647" s="25"/>
      <c r="J647" s="42"/>
      <c r="K647" s="42"/>
      <c r="L647" s="42"/>
      <c r="M647" s="42"/>
      <c r="N647" s="44"/>
      <c r="O647" s="42"/>
      <c r="P647" s="42"/>
      <c r="Q647" s="42"/>
      <c r="R647" s="42"/>
      <c r="S647" s="42"/>
    </row>
    <row r="648" spans="1:19" s="24" customFormat="1" ht="18" customHeight="1" x14ac:dyDescent="0.25">
      <c r="A648" s="38"/>
      <c r="B648" s="40"/>
      <c r="C648" s="30" t="s">
        <v>3</v>
      </c>
      <c r="D648" s="29"/>
      <c r="E648" s="25"/>
      <c r="F648" s="25"/>
      <c r="G648" s="25"/>
      <c r="H648" s="25"/>
      <c r="I648" s="25"/>
      <c r="J648" s="42"/>
      <c r="K648" s="42"/>
      <c r="L648" s="42"/>
      <c r="M648" s="42"/>
      <c r="N648" s="44"/>
      <c r="O648" s="42"/>
      <c r="P648" s="42"/>
      <c r="Q648" s="42"/>
      <c r="R648" s="42"/>
      <c r="S648" s="42"/>
    </row>
    <row r="649" spans="1:19" ht="15.75" customHeight="1" x14ac:dyDescent="0.25">
      <c r="A649" s="37" t="s">
        <v>23</v>
      </c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</row>
    <row r="650" spans="1:19" ht="21.75" customHeight="1" x14ac:dyDescent="0.25">
      <c r="A650" s="38"/>
      <c r="B650" s="39" t="s">
        <v>581</v>
      </c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</row>
    <row r="651" spans="1:19" ht="23.25" customHeight="1" x14ac:dyDescent="0.25">
      <c r="A651" s="38"/>
      <c r="B651" s="40" t="s">
        <v>958</v>
      </c>
      <c r="C651" s="41" t="s">
        <v>959</v>
      </c>
      <c r="D651" s="41"/>
      <c r="E651" s="41"/>
      <c r="F651" s="41"/>
      <c r="G651" s="41"/>
      <c r="H651" s="41"/>
      <c r="I651" s="41"/>
      <c r="J651" s="42" t="s">
        <v>983</v>
      </c>
      <c r="K651" s="42" t="s">
        <v>828</v>
      </c>
      <c r="L651" s="42" t="s">
        <v>982</v>
      </c>
      <c r="M651" s="42" t="s">
        <v>977</v>
      </c>
      <c r="N651" s="67" t="s">
        <v>981</v>
      </c>
      <c r="O651" s="42" t="s">
        <v>12</v>
      </c>
      <c r="P651" s="42" t="s">
        <v>13</v>
      </c>
      <c r="Q651" s="42" t="s">
        <v>44</v>
      </c>
      <c r="R651" s="42" t="s">
        <v>979</v>
      </c>
      <c r="S651" s="45" t="s">
        <v>980</v>
      </c>
    </row>
    <row r="652" spans="1:19" ht="18" customHeight="1" x14ac:dyDescent="0.25">
      <c r="A652" s="38"/>
      <c r="B652" s="40"/>
      <c r="C652" s="30" t="s">
        <v>6</v>
      </c>
      <c r="D652" s="29">
        <f t="shared" ref="D652:E652" si="146">SUM(D653:D656)</f>
        <v>2400</v>
      </c>
      <c r="E652" s="25">
        <f t="shared" si="146"/>
        <v>2400</v>
      </c>
      <c r="F652" s="25"/>
      <c r="G652" s="25"/>
      <c r="H652" s="25"/>
      <c r="I652" s="25"/>
      <c r="J652" s="42"/>
      <c r="K652" s="42"/>
      <c r="L652" s="42"/>
      <c r="M652" s="42"/>
      <c r="N652" s="67"/>
      <c r="O652" s="42"/>
      <c r="P652" s="42"/>
      <c r="Q652" s="42"/>
      <c r="R652" s="42"/>
      <c r="S652" s="45"/>
    </row>
    <row r="653" spans="1:19" ht="18" customHeight="1" x14ac:dyDescent="0.25">
      <c r="A653" s="38"/>
      <c r="B653" s="40"/>
      <c r="C653" s="30" t="s">
        <v>0</v>
      </c>
      <c r="D653" s="29"/>
      <c r="E653" s="25"/>
      <c r="F653" s="25"/>
      <c r="G653" s="25"/>
      <c r="H653" s="25"/>
      <c r="I653" s="25"/>
      <c r="J653" s="42"/>
      <c r="K653" s="42"/>
      <c r="L653" s="42"/>
      <c r="M653" s="42"/>
      <c r="N653" s="67"/>
      <c r="O653" s="42"/>
      <c r="P653" s="42"/>
      <c r="Q653" s="42"/>
      <c r="R653" s="42"/>
      <c r="S653" s="45"/>
    </row>
    <row r="654" spans="1:19" ht="18" customHeight="1" x14ac:dyDescent="0.25">
      <c r="A654" s="38"/>
      <c r="B654" s="40"/>
      <c r="C654" s="30" t="s">
        <v>1</v>
      </c>
      <c r="D654" s="29">
        <f>E654</f>
        <v>2400</v>
      </c>
      <c r="E654" s="25">
        <v>2400</v>
      </c>
      <c r="F654" s="25"/>
      <c r="G654" s="25"/>
      <c r="H654" s="25"/>
      <c r="I654" s="25"/>
      <c r="J654" s="42"/>
      <c r="K654" s="42"/>
      <c r="L654" s="42"/>
      <c r="M654" s="42"/>
      <c r="N654" s="67"/>
      <c r="O654" s="42"/>
      <c r="P654" s="42"/>
      <c r="Q654" s="42"/>
      <c r="R654" s="42"/>
      <c r="S654" s="45"/>
    </row>
    <row r="655" spans="1:19" ht="18" customHeight="1" x14ac:dyDescent="0.25">
      <c r="A655" s="38"/>
      <c r="B655" s="40"/>
      <c r="C655" s="30" t="s">
        <v>2</v>
      </c>
      <c r="D655" s="29"/>
      <c r="E655" s="25"/>
      <c r="F655" s="25"/>
      <c r="G655" s="25"/>
      <c r="H655" s="25"/>
      <c r="I655" s="25"/>
      <c r="J655" s="42"/>
      <c r="K655" s="42"/>
      <c r="L655" s="42"/>
      <c r="M655" s="42"/>
      <c r="N655" s="67"/>
      <c r="O655" s="42"/>
      <c r="P655" s="42"/>
      <c r="Q655" s="42"/>
      <c r="R655" s="42"/>
      <c r="S655" s="45"/>
    </row>
    <row r="656" spans="1:19" ht="18" customHeight="1" x14ac:dyDescent="0.25">
      <c r="A656" s="38"/>
      <c r="B656" s="40"/>
      <c r="C656" s="30" t="s">
        <v>3</v>
      </c>
      <c r="D656" s="29"/>
      <c r="E656" s="25"/>
      <c r="F656" s="25"/>
      <c r="G656" s="25"/>
      <c r="H656" s="25"/>
      <c r="I656" s="25"/>
      <c r="J656" s="42"/>
      <c r="K656" s="42"/>
      <c r="L656" s="42"/>
      <c r="M656" s="42"/>
      <c r="N656" s="67"/>
      <c r="O656" s="42"/>
      <c r="P656" s="42"/>
      <c r="Q656" s="42"/>
      <c r="R656" s="42"/>
      <c r="S656" s="45"/>
    </row>
    <row r="657" spans="1:19" ht="21" customHeight="1" x14ac:dyDescent="0.25">
      <c r="A657" s="54" t="s">
        <v>259</v>
      </c>
      <c r="B657" s="65" t="s">
        <v>121</v>
      </c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</row>
    <row r="658" spans="1:19" ht="18" customHeight="1" x14ac:dyDescent="0.25">
      <c r="A658" s="54"/>
      <c r="B658" s="56" t="s">
        <v>6</v>
      </c>
      <c r="C658" s="56"/>
      <c r="D658" s="16">
        <f t="shared" ref="D658" si="147">SUM(D659:D662)</f>
        <v>2211542.4404220404</v>
      </c>
      <c r="E658" s="16">
        <f>E666+E674+E682+E690+E698+E706+E714+E722+E730+E738+E746+E754+E762+E770+E778+E786+E794+E802+E810+E818+E826+E834+E842+E850+E858+E866+E874+E882+E890+E898+E906+E914+E922+E930+E938+E946+E954+E962+E970+E978+E986+E994+E1002+E1010+E1018+E1026+E1034+E1042+E1050+E1058+E1066+E1074+E1082+E1090</f>
        <v>1590063.6888620409</v>
      </c>
      <c r="F658" s="16">
        <f t="shared" ref="F658:G658" si="148">F666+F674+F682+F690+F698+F706+F714+F722+F730+F738+F746+F754+F762+F770+F778+F786+F794+F802+F810+F818+F826+F834+F842+F850+F858+F866+F874+F882+F890+F898+F906+F914+F922+F930+F938+F946+F954+F962+F970+F978+F986+F994+F1002+F1010+F1018+F1026+F1034+F1042+F1050+F1058+F1066+F1074+F1082+F1090</f>
        <v>332268.35155999998</v>
      </c>
      <c r="G658" s="16">
        <f t="shared" si="148"/>
        <v>289210.40000000002</v>
      </c>
      <c r="H658" s="16"/>
      <c r="I658" s="16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ht="18" customHeight="1" x14ac:dyDescent="0.25">
      <c r="A659" s="54"/>
      <c r="B659" s="56" t="s">
        <v>0</v>
      </c>
      <c r="C659" s="56"/>
      <c r="D659" s="16">
        <f>SUM(E659:I659)</f>
        <v>286810</v>
      </c>
      <c r="E659" s="16"/>
      <c r="F659" s="16">
        <f t="shared" ref="E659:G662" si="149">F667+F675+F683+F691+F699+F707+F715+F723+F731+F739+F747+F755+F763+F771+F779+F787+F795+F803+F811+F819+F827+F835+F843+F851+F859+F867+F875+F883+F891+F899+F907+F915+F923+F931+F939+F947+F955+F963+F971+F979+F987+F995+F1003+F1011+F1019+F1027+F1035+F1043+F1051+F1059+F1067+F1075+F1083+F1091</f>
        <v>45820</v>
      </c>
      <c r="G659" s="16">
        <f t="shared" si="149"/>
        <v>240990</v>
      </c>
      <c r="H659" s="16"/>
      <c r="I659" s="16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ht="18" customHeight="1" x14ac:dyDescent="0.25">
      <c r="A660" s="54"/>
      <c r="B660" s="56" t="s">
        <v>1</v>
      </c>
      <c r="C660" s="56"/>
      <c r="D660" s="16">
        <f>SUM(E660:I660)</f>
        <v>1430331.8663499998</v>
      </c>
      <c r="E660" s="16">
        <f t="shared" si="149"/>
        <v>1097277.7147899999</v>
      </c>
      <c r="F660" s="16">
        <f t="shared" si="149"/>
        <v>285798.15156000003</v>
      </c>
      <c r="G660" s="16">
        <f t="shared" si="149"/>
        <v>47256</v>
      </c>
      <c r="H660" s="16"/>
      <c r="I660" s="16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ht="18" customHeight="1" x14ac:dyDescent="0.25">
      <c r="A661" s="54"/>
      <c r="B661" s="56" t="s">
        <v>2</v>
      </c>
      <c r="C661" s="56"/>
      <c r="D661" s="16">
        <f>SUM(E661:I661)</f>
        <v>31634.774072040822</v>
      </c>
      <c r="E661" s="16">
        <f t="shared" si="149"/>
        <v>30020.17407204082</v>
      </c>
      <c r="F661" s="16">
        <f t="shared" si="149"/>
        <v>650.20000000000005</v>
      </c>
      <c r="G661" s="16">
        <f t="shared" si="149"/>
        <v>964.4</v>
      </c>
      <c r="H661" s="16"/>
      <c r="I661" s="16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ht="18" customHeight="1" x14ac:dyDescent="0.25">
      <c r="A662" s="54"/>
      <c r="B662" s="56" t="s">
        <v>3</v>
      </c>
      <c r="C662" s="56"/>
      <c r="D662" s="16">
        <f>SUM(E662:I662)</f>
        <v>462765.8</v>
      </c>
      <c r="E662" s="16">
        <f t="shared" si="149"/>
        <v>462765.8</v>
      </c>
      <c r="F662" s="16"/>
      <c r="G662" s="16"/>
      <c r="H662" s="16"/>
      <c r="I662" s="16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ht="18.75" customHeight="1" x14ac:dyDescent="0.25">
      <c r="A663" s="37" t="s">
        <v>78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</row>
    <row r="664" spans="1:19" ht="21" customHeight="1" x14ac:dyDescent="0.25">
      <c r="A664" s="38"/>
      <c r="B664" s="48" t="s">
        <v>578</v>
      </c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</row>
    <row r="665" spans="1:19" ht="18.75" customHeight="1" x14ac:dyDescent="0.25">
      <c r="A665" s="38"/>
      <c r="B665" s="49" t="s">
        <v>263</v>
      </c>
      <c r="C665" s="50" t="s">
        <v>910</v>
      </c>
      <c r="D665" s="50"/>
      <c r="E665" s="50"/>
      <c r="F665" s="50"/>
      <c r="G665" s="50"/>
      <c r="H665" s="50"/>
      <c r="I665" s="50"/>
      <c r="J665" s="43" t="s">
        <v>16</v>
      </c>
      <c r="K665" s="43" t="s">
        <v>828</v>
      </c>
      <c r="L665" s="43" t="s">
        <v>79</v>
      </c>
      <c r="M665" s="43" t="s">
        <v>464</v>
      </c>
      <c r="N665" s="53" t="s">
        <v>474</v>
      </c>
      <c r="O665" s="43" t="s">
        <v>12</v>
      </c>
      <c r="P665" s="43" t="s">
        <v>18</v>
      </c>
      <c r="Q665" s="43" t="s">
        <v>9</v>
      </c>
      <c r="R665" s="43" t="s">
        <v>780</v>
      </c>
      <c r="S665" s="51" t="s">
        <v>762</v>
      </c>
    </row>
    <row r="666" spans="1:19" ht="18" customHeight="1" x14ac:dyDescent="0.25">
      <c r="A666" s="38"/>
      <c r="B666" s="49"/>
      <c r="C666" s="31" t="s">
        <v>6</v>
      </c>
      <c r="D666" s="27">
        <f t="shared" ref="D666:E666" si="150">SUM(D667:D670)</f>
        <v>56153.959000000003</v>
      </c>
      <c r="E666" s="23">
        <f t="shared" si="150"/>
        <v>56153.959000000003</v>
      </c>
      <c r="F666" s="23"/>
      <c r="G666" s="23"/>
      <c r="H666" s="23"/>
      <c r="I666" s="23"/>
      <c r="J666" s="43"/>
      <c r="K666" s="43"/>
      <c r="L666" s="43"/>
      <c r="M666" s="43"/>
      <c r="N666" s="53"/>
      <c r="O666" s="43"/>
      <c r="P666" s="43"/>
      <c r="Q666" s="43"/>
      <c r="R666" s="43"/>
      <c r="S666" s="51"/>
    </row>
    <row r="667" spans="1:19" ht="18" customHeight="1" x14ac:dyDescent="0.25">
      <c r="A667" s="38"/>
      <c r="B667" s="49"/>
      <c r="C667" s="31" t="s">
        <v>0</v>
      </c>
      <c r="D667" s="27"/>
      <c r="E667" s="23"/>
      <c r="F667" s="23"/>
      <c r="G667" s="23"/>
      <c r="H667" s="23"/>
      <c r="I667" s="23"/>
      <c r="J667" s="43"/>
      <c r="K667" s="43"/>
      <c r="L667" s="43"/>
      <c r="M667" s="43"/>
      <c r="N667" s="53"/>
      <c r="O667" s="43"/>
      <c r="P667" s="43"/>
      <c r="Q667" s="43"/>
      <c r="R667" s="43"/>
      <c r="S667" s="51"/>
    </row>
    <row r="668" spans="1:19" ht="18" customHeight="1" x14ac:dyDescent="0.25">
      <c r="A668" s="38"/>
      <c r="B668" s="49"/>
      <c r="C668" s="31" t="s">
        <v>1</v>
      </c>
      <c r="D668" s="27">
        <f t="shared" ref="D668:D669" si="151">SUM(E668:I668)</f>
        <v>54126.728999999999</v>
      </c>
      <c r="E668" s="23">
        <f>99334.25-45207.521</f>
        <v>54126.728999999999</v>
      </c>
      <c r="F668" s="23"/>
      <c r="G668" s="23"/>
      <c r="H668" s="23"/>
      <c r="I668" s="23"/>
      <c r="J668" s="43"/>
      <c r="K668" s="43"/>
      <c r="L668" s="43"/>
      <c r="M668" s="43"/>
      <c r="N668" s="53"/>
      <c r="O668" s="43"/>
      <c r="P668" s="43"/>
      <c r="Q668" s="43"/>
      <c r="R668" s="43"/>
      <c r="S668" s="51"/>
    </row>
    <row r="669" spans="1:19" ht="18" customHeight="1" x14ac:dyDescent="0.25">
      <c r="A669" s="38"/>
      <c r="B669" s="49"/>
      <c r="C669" s="31" t="s">
        <v>2</v>
      </c>
      <c r="D669" s="27">
        <f t="shared" si="151"/>
        <v>2027.23</v>
      </c>
      <c r="E669" s="23">
        <v>2027.23</v>
      </c>
      <c r="F669" s="23"/>
      <c r="G669" s="23"/>
      <c r="H669" s="23"/>
      <c r="I669" s="23"/>
      <c r="J669" s="43"/>
      <c r="K669" s="43"/>
      <c r="L669" s="43"/>
      <c r="M669" s="43"/>
      <c r="N669" s="53"/>
      <c r="O669" s="43"/>
      <c r="P669" s="43"/>
      <c r="Q669" s="43"/>
      <c r="R669" s="43"/>
      <c r="S669" s="51"/>
    </row>
    <row r="670" spans="1:19" ht="18" customHeight="1" x14ac:dyDescent="0.25">
      <c r="A670" s="38"/>
      <c r="B670" s="49"/>
      <c r="C670" s="31" t="s">
        <v>3</v>
      </c>
      <c r="D670" s="27"/>
      <c r="E670" s="23"/>
      <c r="F670" s="23"/>
      <c r="G670" s="23"/>
      <c r="H670" s="23"/>
      <c r="I670" s="23"/>
      <c r="J670" s="43"/>
      <c r="K670" s="43"/>
      <c r="L670" s="43"/>
      <c r="M670" s="43"/>
      <c r="N670" s="53"/>
      <c r="O670" s="43"/>
      <c r="P670" s="43"/>
      <c r="Q670" s="43"/>
      <c r="R670" s="43"/>
      <c r="S670" s="51"/>
    </row>
    <row r="671" spans="1:19" ht="18.75" customHeight="1" x14ac:dyDescent="0.25">
      <c r="A671" s="37" t="s">
        <v>78</v>
      </c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</row>
    <row r="672" spans="1:19" ht="21" customHeight="1" x14ac:dyDescent="0.25">
      <c r="A672" s="38"/>
      <c r="B672" s="48" t="s">
        <v>578</v>
      </c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</row>
    <row r="673" spans="1:19" ht="36" customHeight="1" x14ac:dyDescent="0.25">
      <c r="A673" s="38"/>
      <c r="B673" s="49" t="s">
        <v>264</v>
      </c>
      <c r="C673" s="50" t="s">
        <v>642</v>
      </c>
      <c r="D673" s="50"/>
      <c r="E673" s="50"/>
      <c r="F673" s="50"/>
      <c r="G673" s="50"/>
      <c r="H673" s="50"/>
      <c r="I673" s="50"/>
      <c r="J673" s="43" t="s">
        <v>34</v>
      </c>
      <c r="K673" s="43" t="s">
        <v>828</v>
      </c>
      <c r="L673" s="43" t="s">
        <v>33</v>
      </c>
      <c r="M673" s="43" t="s">
        <v>473</v>
      </c>
      <c r="N673" s="53" t="s">
        <v>475</v>
      </c>
      <c r="O673" s="43" t="s">
        <v>12</v>
      </c>
      <c r="P673" s="43" t="s">
        <v>37</v>
      </c>
      <c r="Q673" s="43" t="s">
        <v>9</v>
      </c>
      <c r="R673" s="43" t="s">
        <v>362</v>
      </c>
      <c r="S673" s="51"/>
    </row>
    <row r="674" spans="1:19" ht="18" customHeight="1" x14ac:dyDescent="0.25">
      <c r="A674" s="38"/>
      <c r="B674" s="49"/>
      <c r="C674" s="31" t="s">
        <v>6</v>
      </c>
      <c r="D674" s="27">
        <f t="shared" ref="D674:E674" si="152">SUM(D675:D678)</f>
        <v>246400</v>
      </c>
      <c r="E674" s="23">
        <f t="shared" si="152"/>
        <v>246400</v>
      </c>
      <c r="F674" s="23"/>
      <c r="G674" s="23"/>
      <c r="H674" s="23"/>
      <c r="I674" s="23"/>
      <c r="J674" s="43"/>
      <c r="K674" s="43"/>
      <c r="L674" s="43"/>
      <c r="M674" s="43"/>
      <c r="N674" s="53"/>
      <c r="O674" s="43"/>
      <c r="P674" s="43"/>
      <c r="Q674" s="43"/>
      <c r="R674" s="43"/>
      <c r="S674" s="51"/>
    </row>
    <row r="675" spans="1:19" ht="18" customHeight="1" x14ac:dyDescent="0.25">
      <c r="A675" s="38"/>
      <c r="B675" s="49"/>
      <c r="C675" s="31" t="s">
        <v>0</v>
      </c>
      <c r="D675" s="27"/>
      <c r="E675" s="23"/>
      <c r="F675" s="23"/>
      <c r="G675" s="23"/>
      <c r="H675" s="23"/>
      <c r="I675" s="23"/>
      <c r="J675" s="43"/>
      <c r="K675" s="43"/>
      <c r="L675" s="43"/>
      <c r="M675" s="43"/>
      <c r="N675" s="53"/>
      <c r="O675" s="43"/>
      <c r="P675" s="43"/>
      <c r="Q675" s="43"/>
      <c r="R675" s="43"/>
      <c r="S675" s="51"/>
    </row>
    <row r="676" spans="1:19" ht="18" customHeight="1" x14ac:dyDescent="0.25">
      <c r="A676" s="38"/>
      <c r="B676" s="49"/>
      <c r="C676" s="31" t="s">
        <v>1</v>
      </c>
      <c r="D676" s="27">
        <f t="shared" ref="D676:D677" si="153">SUM(E676:I676)</f>
        <v>241472</v>
      </c>
      <c r="E676" s="23">
        <v>241472</v>
      </c>
      <c r="F676" s="23"/>
      <c r="G676" s="23"/>
      <c r="H676" s="23"/>
      <c r="I676" s="23"/>
      <c r="J676" s="43"/>
      <c r="K676" s="43"/>
      <c r="L676" s="43"/>
      <c r="M676" s="43"/>
      <c r="N676" s="53"/>
      <c r="O676" s="43"/>
      <c r="P676" s="43"/>
      <c r="Q676" s="43"/>
      <c r="R676" s="43"/>
      <c r="S676" s="51"/>
    </row>
    <row r="677" spans="1:19" ht="18" customHeight="1" x14ac:dyDescent="0.25">
      <c r="A677" s="38"/>
      <c r="B677" s="49"/>
      <c r="C677" s="31" t="s">
        <v>2</v>
      </c>
      <c r="D677" s="27">
        <f t="shared" si="153"/>
        <v>4928</v>
      </c>
      <c r="E677" s="23">
        <v>4928</v>
      </c>
      <c r="F677" s="23"/>
      <c r="G677" s="23"/>
      <c r="H677" s="23"/>
      <c r="I677" s="23"/>
      <c r="J677" s="43"/>
      <c r="K677" s="43"/>
      <c r="L677" s="43"/>
      <c r="M677" s="43"/>
      <c r="N677" s="53"/>
      <c r="O677" s="43"/>
      <c r="P677" s="43"/>
      <c r="Q677" s="43"/>
      <c r="R677" s="43"/>
      <c r="S677" s="51"/>
    </row>
    <row r="678" spans="1:19" ht="18" customHeight="1" x14ac:dyDescent="0.25">
      <c r="A678" s="38"/>
      <c r="B678" s="49"/>
      <c r="C678" s="31" t="s">
        <v>3</v>
      </c>
      <c r="D678" s="27"/>
      <c r="E678" s="23"/>
      <c r="F678" s="23"/>
      <c r="G678" s="23"/>
      <c r="H678" s="23"/>
      <c r="I678" s="23"/>
      <c r="J678" s="43"/>
      <c r="K678" s="43"/>
      <c r="L678" s="43"/>
      <c r="M678" s="43"/>
      <c r="N678" s="53"/>
      <c r="O678" s="43"/>
      <c r="P678" s="43"/>
      <c r="Q678" s="43"/>
      <c r="R678" s="43"/>
      <c r="S678" s="51"/>
    </row>
    <row r="679" spans="1:19" ht="18.75" customHeight="1" x14ac:dyDescent="0.25">
      <c r="A679" s="37" t="s">
        <v>78</v>
      </c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</row>
    <row r="680" spans="1:19" ht="21" customHeight="1" x14ac:dyDescent="0.25">
      <c r="A680" s="38"/>
      <c r="B680" s="48" t="s">
        <v>578</v>
      </c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</row>
    <row r="681" spans="1:19" ht="33" customHeight="1" x14ac:dyDescent="0.25">
      <c r="A681" s="38"/>
      <c r="B681" s="49" t="s">
        <v>265</v>
      </c>
      <c r="C681" s="50" t="s">
        <v>643</v>
      </c>
      <c r="D681" s="50"/>
      <c r="E681" s="50"/>
      <c r="F681" s="50"/>
      <c r="G681" s="50"/>
      <c r="H681" s="50"/>
      <c r="I681" s="50"/>
      <c r="J681" s="43" t="s">
        <v>34</v>
      </c>
      <c r="K681" s="43" t="s">
        <v>828</v>
      </c>
      <c r="L681" s="43" t="s">
        <v>33</v>
      </c>
      <c r="M681" s="43" t="s">
        <v>473</v>
      </c>
      <c r="N681" s="53" t="s">
        <v>476</v>
      </c>
      <c r="O681" s="43" t="s">
        <v>12</v>
      </c>
      <c r="P681" s="43" t="s">
        <v>37</v>
      </c>
      <c r="Q681" s="43" t="s">
        <v>9</v>
      </c>
      <c r="R681" s="43" t="s">
        <v>362</v>
      </c>
      <c r="S681" s="51"/>
    </row>
    <row r="682" spans="1:19" ht="18" customHeight="1" x14ac:dyDescent="0.25">
      <c r="A682" s="38"/>
      <c r="B682" s="49"/>
      <c r="C682" s="31" t="s">
        <v>6</v>
      </c>
      <c r="D682" s="27">
        <f t="shared" ref="D682:E682" si="154">SUM(D683:D686)</f>
        <v>277200</v>
      </c>
      <c r="E682" s="23">
        <f t="shared" si="154"/>
        <v>277200</v>
      </c>
      <c r="F682" s="23"/>
      <c r="G682" s="23"/>
      <c r="H682" s="23"/>
      <c r="I682" s="23"/>
      <c r="J682" s="43"/>
      <c r="K682" s="43"/>
      <c r="L682" s="43"/>
      <c r="M682" s="43"/>
      <c r="N682" s="53"/>
      <c r="O682" s="43"/>
      <c r="P682" s="43"/>
      <c r="Q682" s="43"/>
      <c r="R682" s="43"/>
      <c r="S682" s="51"/>
    </row>
    <row r="683" spans="1:19" ht="18" customHeight="1" x14ac:dyDescent="0.25">
      <c r="A683" s="38"/>
      <c r="B683" s="49"/>
      <c r="C683" s="31" t="s">
        <v>0</v>
      </c>
      <c r="D683" s="27"/>
      <c r="E683" s="23"/>
      <c r="F683" s="23"/>
      <c r="G683" s="23"/>
      <c r="H683" s="23"/>
      <c r="I683" s="23"/>
      <c r="J683" s="43"/>
      <c r="K683" s="43"/>
      <c r="L683" s="43"/>
      <c r="M683" s="43"/>
      <c r="N683" s="53"/>
      <c r="O683" s="43"/>
      <c r="P683" s="43"/>
      <c r="Q683" s="43"/>
      <c r="R683" s="43"/>
      <c r="S683" s="51"/>
    </row>
    <row r="684" spans="1:19" ht="18" customHeight="1" x14ac:dyDescent="0.25">
      <c r="A684" s="38"/>
      <c r="B684" s="49"/>
      <c r="C684" s="31" t="s">
        <v>1</v>
      </c>
      <c r="D684" s="27">
        <f t="shared" ref="D684:D685" si="155">SUM(E684:I684)</f>
        <v>271656</v>
      </c>
      <c r="E684" s="23">
        <v>271656</v>
      </c>
      <c r="F684" s="23"/>
      <c r="G684" s="23"/>
      <c r="H684" s="23"/>
      <c r="I684" s="23"/>
      <c r="J684" s="43"/>
      <c r="K684" s="43"/>
      <c r="L684" s="43"/>
      <c r="M684" s="43"/>
      <c r="N684" s="53"/>
      <c r="O684" s="43"/>
      <c r="P684" s="43"/>
      <c r="Q684" s="43"/>
      <c r="R684" s="43"/>
      <c r="S684" s="51"/>
    </row>
    <row r="685" spans="1:19" ht="18" customHeight="1" x14ac:dyDescent="0.25">
      <c r="A685" s="38"/>
      <c r="B685" s="49"/>
      <c r="C685" s="31" t="s">
        <v>2</v>
      </c>
      <c r="D685" s="27">
        <f t="shared" si="155"/>
        <v>5544</v>
      </c>
      <c r="E685" s="23">
        <v>5544</v>
      </c>
      <c r="F685" s="23"/>
      <c r="G685" s="23"/>
      <c r="H685" s="23"/>
      <c r="I685" s="23"/>
      <c r="J685" s="43"/>
      <c r="K685" s="43"/>
      <c r="L685" s="43"/>
      <c r="M685" s="43"/>
      <c r="N685" s="53"/>
      <c r="O685" s="43"/>
      <c r="P685" s="43"/>
      <c r="Q685" s="43"/>
      <c r="R685" s="43"/>
      <c r="S685" s="51"/>
    </row>
    <row r="686" spans="1:19" ht="18" customHeight="1" x14ac:dyDescent="0.25">
      <c r="A686" s="38"/>
      <c r="B686" s="49"/>
      <c r="C686" s="31" t="s">
        <v>3</v>
      </c>
      <c r="D686" s="27"/>
      <c r="E686" s="23"/>
      <c r="F686" s="23"/>
      <c r="G686" s="23"/>
      <c r="H686" s="23"/>
      <c r="I686" s="23"/>
      <c r="J686" s="43"/>
      <c r="K686" s="43"/>
      <c r="L686" s="43"/>
      <c r="M686" s="43"/>
      <c r="N686" s="53"/>
      <c r="O686" s="43"/>
      <c r="P686" s="43"/>
      <c r="Q686" s="43"/>
      <c r="R686" s="43"/>
      <c r="S686" s="51"/>
    </row>
    <row r="687" spans="1:19" ht="18.75" customHeight="1" x14ac:dyDescent="0.25">
      <c r="A687" s="37" t="s">
        <v>78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</row>
    <row r="688" spans="1:19" ht="21" customHeight="1" x14ac:dyDescent="0.25">
      <c r="A688" s="38"/>
      <c r="B688" s="48" t="s">
        <v>577</v>
      </c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</row>
    <row r="689" spans="1:19" ht="22.5" customHeight="1" x14ac:dyDescent="0.25">
      <c r="A689" s="38"/>
      <c r="B689" s="49" t="s">
        <v>266</v>
      </c>
      <c r="C689" s="50" t="s">
        <v>776</v>
      </c>
      <c r="D689" s="50"/>
      <c r="E689" s="50"/>
      <c r="F689" s="50"/>
      <c r="G689" s="50"/>
      <c r="H689" s="50"/>
      <c r="I689" s="50"/>
      <c r="J689" s="43" t="s">
        <v>363</v>
      </c>
      <c r="K689" s="43" t="s">
        <v>828</v>
      </c>
      <c r="L689" s="43" t="s">
        <v>364</v>
      </c>
      <c r="M689" s="43" t="s">
        <v>469</v>
      </c>
      <c r="N689" s="53" t="s">
        <v>477</v>
      </c>
      <c r="O689" s="43" t="s">
        <v>12</v>
      </c>
      <c r="P689" s="43" t="s">
        <v>13</v>
      </c>
      <c r="Q689" s="43" t="s">
        <v>9</v>
      </c>
      <c r="R689" s="43" t="s">
        <v>365</v>
      </c>
      <c r="S689" s="51"/>
    </row>
    <row r="690" spans="1:19" ht="18" customHeight="1" x14ac:dyDescent="0.25">
      <c r="A690" s="38"/>
      <c r="B690" s="49"/>
      <c r="C690" s="31" t="s">
        <v>6</v>
      </c>
      <c r="D690" s="27">
        <f t="shared" ref="D690:E690" si="156">SUM(D691:D694)</f>
        <v>518289.32</v>
      </c>
      <c r="E690" s="23">
        <f t="shared" si="156"/>
        <v>518289.32</v>
      </c>
      <c r="F690" s="23"/>
      <c r="G690" s="23"/>
      <c r="H690" s="23"/>
      <c r="I690" s="23"/>
      <c r="J690" s="43"/>
      <c r="K690" s="43"/>
      <c r="L690" s="43"/>
      <c r="M690" s="43"/>
      <c r="N690" s="53"/>
      <c r="O690" s="43"/>
      <c r="P690" s="43"/>
      <c r="Q690" s="43"/>
      <c r="R690" s="43"/>
      <c r="S690" s="51"/>
    </row>
    <row r="691" spans="1:19" ht="18" customHeight="1" x14ac:dyDescent="0.25">
      <c r="A691" s="38"/>
      <c r="B691" s="49"/>
      <c r="C691" s="31" t="s">
        <v>0</v>
      </c>
      <c r="D691" s="27"/>
      <c r="E691" s="23"/>
      <c r="F691" s="23"/>
      <c r="G691" s="23"/>
      <c r="H691" s="23"/>
      <c r="I691" s="23"/>
      <c r="J691" s="43"/>
      <c r="K691" s="43"/>
      <c r="L691" s="43"/>
      <c r="M691" s="43"/>
      <c r="N691" s="53"/>
      <c r="O691" s="43"/>
      <c r="P691" s="43"/>
      <c r="Q691" s="43"/>
      <c r="R691" s="43"/>
      <c r="S691" s="51"/>
    </row>
    <row r="692" spans="1:19" ht="18" customHeight="1" x14ac:dyDescent="0.25">
      <c r="A692" s="38"/>
      <c r="B692" s="49"/>
      <c r="C692" s="31" t="s">
        <v>1</v>
      </c>
      <c r="D692" s="27">
        <f t="shared" ref="D692:D694" si="157">SUM(E692:I692)</f>
        <v>53000</v>
      </c>
      <c r="E692" s="23">
        <v>53000</v>
      </c>
      <c r="F692" s="23"/>
      <c r="G692" s="23"/>
      <c r="H692" s="23"/>
      <c r="I692" s="23"/>
      <c r="J692" s="43"/>
      <c r="K692" s="43"/>
      <c r="L692" s="43"/>
      <c r="M692" s="43"/>
      <c r="N692" s="53"/>
      <c r="O692" s="43"/>
      <c r="P692" s="43"/>
      <c r="Q692" s="43"/>
      <c r="R692" s="43"/>
      <c r="S692" s="51"/>
    </row>
    <row r="693" spans="1:19" ht="18" customHeight="1" x14ac:dyDescent="0.25">
      <c r="A693" s="38"/>
      <c r="B693" s="49"/>
      <c r="C693" s="31" t="s">
        <v>2</v>
      </c>
      <c r="D693" s="29">
        <f>E693</f>
        <v>2523.52</v>
      </c>
      <c r="E693" s="23">
        <v>2523.52</v>
      </c>
      <c r="F693" s="23"/>
      <c r="G693" s="23"/>
      <c r="H693" s="23"/>
      <c r="I693" s="23"/>
      <c r="J693" s="43"/>
      <c r="K693" s="43"/>
      <c r="L693" s="43"/>
      <c r="M693" s="43"/>
      <c r="N693" s="53"/>
      <c r="O693" s="43"/>
      <c r="P693" s="43"/>
      <c r="Q693" s="43"/>
      <c r="R693" s="43"/>
      <c r="S693" s="51"/>
    </row>
    <row r="694" spans="1:19" ht="18" customHeight="1" x14ac:dyDescent="0.25">
      <c r="A694" s="38"/>
      <c r="B694" s="49"/>
      <c r="C694" s="31" t="s">
        <v>3</v>
      </c>
      <c r="D694" s="27">
        <f t="shared" si="157"/>
        <v>462765.8</v>
      </c>
      <c r="E694" s="23">
        <v>462765.8</v>
      </c>
      <c r="F694" s="23"/>
      <c r="G694" s="23"/>
      <c r="H694" s="23"/>
      <c r="I694" s="23"/>
      <c r="J694" s="43"/>
      <c r="K694" s="43"/>
      <c r="L694" s="43"/>
      <c r="M694" s="43"/>
      <c r="N694" s="53"/>
      <c r="O694" s="43"/>
      <c r="P694" s="43"/>
      <c r="Q694" s="43"/>
      <c r="R694" s="43"/>
      <c r="S694" s="51"/>
    </row>
    <row r="695" spans="1:19" ht="18.75" customHeight="1" x14ac:dyDescent="0.25">
      <c r="A695" s="37" t="s">
        <v>78</v>
      </c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</row>
    <row r="696" spans="1:19" ht="21" customHeight="1" x14ac:dyDescent="0.25">
      <c r="A696" s="38"/>
      <c r="B696" s="39" t="s">
        <v>577</v>
      </c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</row>
    <row r="697" spans="1:19" ht="56.25" customHeight="1" x14ac:dyDescent="0.25">
      <c r="A697" s="38"/>
      <c r="B697" s="40" t="s">
        <v>267</v>
      </c>
      <c r="C697" s="41" t="s">
        <v>645</v>
      </c>
      <c r="D697" s="41"/>
      <c r="E697" s="41"/>
      <c r="F697" s="41"/>
      <c r="G697" s="41"/>
      <c r="H697" s="41"/>
      <c r="I697" s="41"/>
      <c r="J697" s="42" t="s">
        <v>80</v>
      </c>
      <c r="K697" s="42" t="s">
        <v>828</v>
      </c>
      <c r="L697" s="42" t="s">
        <v>81</v>
      </c>
      <c r="M697" s="42" t="s">
        <v>469</v>
      </c>
      <c r="N697" s="44" t="s">
        <v>478</v>
      </c>
      <c r="O697" s="42" t="s">
        <v>12</v>
      </c>
      <c r="P697" s="42" t="s">
        <v>13</v>
      </c>
      <c r="Q697" s="42" t="s">
        <v>9</v>
      </c>
      <c r="R697" s="42" t="s">
        <v>365</v>
      </c>
      <c r="S697" s="45"/>
    </row>
    <row r="698" spans="1:19" ht="18" customHeight="1" x14ac:dyDescent="0.25">
      <c r="A698" s="38"/>
      <c r="B698" s="40"/>
      <c r="C698" s="30" t="s">
        <v>6</v>
      </c>
      <c r="D698" s="29">
        <f t="shared" ref="D698:G698" si="158">SUM(D699:D702)</f>
        <v>368309.99</v>
      </c>
      <c r="E698" s="25">
        <f t="shared" si="158"/>
        <v>769.39</v>
      </c>
      <c r="F698" s="25">
        <f t="shared" si="158"/>
        <v>78330.2</v>
      </c>
      <c r="G698" s="25">
        <f t="shared" si="158"/>
        <v>289210.40000000002</v>
      </c>
      <c r="H698" s="25"/>
      <c r="I698" s="25"/>
      <c r="J698" s="42"/>
      <c r="K698" s="42"/>
      <c r="L698" s="42"/>
      <c r="M698" s="42"/>
      <c r="N698" s="44"/>
      <c r="O698" s="42"/>
      <c r="P698" s="42"/>
      <c r="Q698" s="42"/>
      <c r="R698" s="42"/>
      <c r="S698" s="45"/>
    </row>
    <row r="699" spans="1:19" ht="18" customHeight="1" x14ac:dyDescent="0.25">
      <c r="A699" s="38"/>
      <c r="B699" s="40"/>
      <c r="C699" s="30" t="s">
        <v>0</v>
      </c>
      <c r="D699" s="29">
        <f>SUM(E699:I699)</f>
        <v>286810</v>
      </c>
      <c r="E699" s="25"/>
      <c r="F699" s="25">
        <v>45820</v>
      </c>
      <c r="G699" s="25">
        <v>240990</v>
      </c>
      <c r="H699" s="25"/>
      <c r="I699" s="25"/>
      <c r="J699" s="42"/>
      <c r="K699" s="42"/>
      <c r="L699" s="42"/>
      <c r="M699" s="42"/>
      <c r="N699" s="44"/>
      <c r="O699" s="42"/>
      <c r="P699" s="42"/>
      <c r="Q699" s="42"/>
      <c r="R699" s="42"/>
      <c r="S699" s="45"/>
    </row>
    <row r="700" spans="1:19" ht="18" customHeight="1" x14ac:dyDescent="0.25">
      <c r="A700" s="38"/>
      <c r="B700" s="40"/>
      <c r="C700" s="30" t="s">
        <v>1</v>
      </c>
      <c r="D700" s="29">
        <f t="shared" ref="D700:D701" si="159">SUM(E700:I700)</f>
        <v>79116</v>
      </c>
      <c r="E700" s="25">
        <f>37700-37700</f>
        <v>0</v>
      </c>
      <c r="F700" s="25">
        <v>31860</v>
      </c>
      <c r="G700" s="25">
        <v>47256</v>
      </c>
      <c r="H700" s="25"/>
      <c r="I700" s="25"/>
      <c r="J700" s="42"/>
      <c r="K700" s="42"/>
      <c r="L700" s="42"/>
      <c r="M700" s="42"/>
      <c r="N700" s="44"/>
      <c r="O700" s="42"/>
      <c r="P700" s="42"/>
      <c r="Q700" s="42"/>
      <c r="R700" s="42"/>
      <c r="S700" s="45"/>
    </row>
    <row r="701" spans="1:19" ht="18" customHeight="1" x14ac:dyDescent="0.25">
      <c r="A701" s="38"/>
      <c r="B701" s="40"/>
      <c r="C701" s="30" t="s">
        <v>2</v>
      </c>
      <c r="D701" s="29">
        <f t="shared" si="159"/>
        <v>2383.9900000000002</v>
      </c>
      <c r="E701" s="25">
        <v>769.39</v>
      </c>
      <c r="F701" s="25">
        <v>650.20000000000005</v>
      </c>
      <c r="G701" s="25">
        <v>964.4</v>
      </c>
      <c r="H701" s="25"/>
      <c r="I701" s="25"/>
      <c r="J701" s="42"/>
      <c r="K701" s="42"/>
      <c r="L701" s="42"/>
      <c r="M701" s="42"/>
      <c r="N701" s="44"/>
      <c r="O701" s="42"/>
      <c r="P701" s="42"/>
      <c r="Q701" s="42"/>
      <c r="R701" s="42"/>
      <c r="S701" s="45"/>
    </row>
    <row r="702" spans="1:19" ht="18" customHeight="1" x14ac:dyDescent="0.25">
      <c r="A702" s="38"/>
      <c r="B702" s="40"/>
      <c r="C702" s="30" t="s">
        <v>3</v>
      </c>
      <c r="D702" s="29"/>
      <c r="E702" s="25"/>
      <c r="F702" s="25"/>
      <c r="G702" s="25"/>
      <c r="H702" s="25"/>
      <c r="I702" s="25"/>
      <c r="J702" s="42"/>
      <c r="K702" s="42"/>
      <c r="L702" s="42"/>
      <c r="M702" s="42"/>
      <c r="N702" s="44"/>
      <c r="O702" s="42"/>
      <c r="P702" s="42"/>
      <c r="Q702" s="42"/>
      <c r="R702" s="42"/>
      <c r="S702" s="45"/>
    </row>
    <row r="703" spans="1:19" ht="18.75" customHeight="1" x14ac:dyDescent="0.25">
      <c r="A703" s="37" t="s">
        <v>78</v>
      </c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</row>
    <row r="704" spans="1:19" ht="21" customHeight="1" x14ac:dyDescent="0.25">
      <c r="A704" s="38"/>
      <c r="B704" s="48" t="s">
        <v>577</v>
      </c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</row>
    <row r="705" spans="1:19" ht="30" customHeight="1" x14ac:dyDescent="0.25">
      <c r="A705" s="38"/>
      <c r="B705" s="49" t="s">
        <v>268</v>
      </c>
      <c r="C705" s="68" t="s">
        <v>812</v>
      </c>
      <c r="D705" s="69"/>
      <c r="E705" s="69"/>
      <c r="F705" s="69"/>
      <c r="G705" s="69"/>
      <c r="H705" s="69"/>
      <c r="I705" s="70"/>
      <c r="J705" s="43" t="s">
        <v>366</v>
      </c>
      <c r="K705" s="43" t="s">
        <v>828</v>
      </c>
      <c r="L705" s="43" t="s">
        <v>781</v>
      </c>
      <c r="M705" s="43" t="s">
        <v>469</v>
      </c>
      <c r="N705" s="53" t="s">
        <v>782</v>
      </c>
      <c r="O705" s="43" t="s">
        <v>12</v>
      </c>
      <c r="P705" s="43" t="s">
        <v>13</v>
      </c>
      <c r="Q705" s="43" t="s">
        <v>44</v>
      </c>
      <c r="R705" s="43" t="s">
        <v>365</v>
      </c>
      <c r="S705" s="51"/>
    </row>
    <row r="706" spans="1:19" ht="18" customHeight="1" x14ac:dyDescent="0.25">
      <c r="A706" s="38"/>
      <c r="B706" s="49"/>
      <c r="C706" s="31" t="s">
        <v>6</v>
      </c>
      <c r="D706" s="27">
        <f t="shared" ref="D706:E706" si="160">SUM(D707:D710)</f>
        <v>1580.9880000000003</v>
      </c>
      <c r="E706" s="23">
        <f t="shared" si="160"/>
        <v>1580.9880000000003</v>
      </c>
      <c r="F706" s="23"/>
      <c r="G706" s="23"/>
      <c r="H706" s="23"/>
      <c r="I706" s="23"/>
      <c r="J706" s="43"/>
      <c r="K706" s="43"/>
      <c r="L706" s="43"/>
      <c r="M706" s="43"/>
      <c r="N706" s="53"/>
      <c r="O706" s="43"/>
      <c r="P706" s="43"/>
      <c r="Q706" s="43"/>
      <c r="R706" s="43"/>
      <c r="S706" s="51"/>
    </row>
    <row r="707" spans="1:19" ht="18" customHeight="1" x14ac:dyDescent="0.25">
      <c r="A707" s="38"/>
      <c r="B707" s="49"/>
      <c r="C707" s="31" t="s">
        <v>0</v>
      </c>
      <c r="D707" s="27"/>
      <c r="E707" s="23"/>
      <c r="F707" s="23"/>
      <c r="G707" s="23"/>
      <c r="H707" s="23"/>
      <c r="I707" s="23"/>
      <c r="J707" s="43"/>
      <c r="K707" s="43"/>
      <c r="L707" s="43"/>
      <c r="M707" s="43"/>
      <c r="N707" s="53"/>
      <c r="O707" s="43"/>
      <c r="P707" s="43"/>
      <c r="Q707" s="43"/>
      <c r="R707" s="43"/>
      <c r="S707" s="51"/>
    </row>
    <row r="708" spans="1:19" ht="18" customHeight="1" x14ac:dyDescent="0.25">
      <c r="A708" s="38"/>
      <c r="B708" s="49"/>
      <c r="C708" s="31" t="s">
        <v>1</v>
      </c>
      <c r="D708" s="27">
        <f t="shared" ref="D708" si="161">SUM(E708:I708)</f>
        <v>1499.3580000000002</v>
      </c>
      <c r="E708" s="23">
        <f>4000-2500.642</f>
        <v>1499.3580000000002</v>
      </c>
      <c r="F708" s="23"/>
      <c r="G708" s="23"/>
      <c r="H708" s="23"/>
      <c r="I708" s="23"/>
      <c r="J708" s="43"/>
      <c r="K708" s="43"/>
      <c r="L708" s="43"/>
      <c r="M708" s="43"/>
      <c r="N708" s="53"/>
      <c r="O708" s="43"/>
      <c r="P708" s="43"/>
      <c r="Q708" s="43"/>
      <c r="R708" s="43"/>
      <c r="S708" s="51"/>
    </row>
    <row r="709" spans="1:19" ht="18" customHeight="1" x14ac:dyDescent="0.25">
      <c r="A709" s="38"/>
      <c r="B709" s="49"/>
      <c r="C709" s="31" t="s">
        <v>2</v>
      </c>
      <c r="D709" s="27">
        <f>E709</f>
        <v>81.63</v>
      </c>
      <c r="E709" s="23">
        <v>81.63</v>
      </c>
      <c r="F709" s="23"/>
      <c r="G709" s="23"/>
      <c r="H709" s="23"/>
      <c r="I709" s="23"/>
      <c r="J709" s="43"/>
      <c r="K709" s="43"/>
      <c r="L709" s="43"/>
      <c r="M709" s="43"/>
      <c r="N709" s="53"/>
      <c r="O709" s="43"/>
      <c r="P709" s="43"/>
      <c r="Q709" s="43"/>
      <c r="R709" s="43"/>
      <c r="S709" s="51"/>
    </row>
    <row r="710" spans="1:19" ht="18" customHeight="1" x14ac:dyDescent="0.25">
      <c r="A710" s="38"/>
      <c r="B710" s="49"/>
      <c r="C710" s="31" t="s">
        <v>3</v>
      </c>
      <c r="D710" s="27"/>
      <c r="E710" s="23"/>
      <c r="F710" s="23"/>
      <c r="G710" s="23"/>
      <c r="H710" s="23"/>
      <c r="I710" s="23"/>
      <c r="J710" s="43"/>
      <c r="K710" s="43"/>
      <c r="L710" s="43"/>
      <c r="M710" s="43"/>
      <c r="N710" s="53"/>
      <c r="O710" s="43"/>
      <c r="P710" s="43"/>
      <c r="Q710" s="43"/>
      <c r="R710" s="43"/>
      <c r="S710" s="51"/>
    </row>
    <row r="711" spans="1:19" ht="18.75" customHeight="1" x14ac:dyDescent="0.25">
      <c r="A711" s="37" t="s">
        <v>78</v>
      </c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</row>
    <row r="712" spans="1:19" ht="21" customHeight="1" x14ac:dyDescent="0.25">
      <c r="A712" s="38"/>
      <c r="B712" s="48" t="s">
        <v>577</v>
      </c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</row>
    <row r="713" spans="1:19" ht="18.75" customHeight="1" x14ac:dyDescent="0.25">
      <c r="A713" s="38"/>
      <c r="B713" s="49" t="s">
        <v>269</v>
      </c>
      <c r="C713" s="50" t="s">
        <v>84</v>
      </c>
      <c r="D713" s="50"/>
      <c r="E713" s="50"/>
      <c r="F713" s="50"/>
      <c r="G713" s="50"/>
      <c r="H713" s="50"/>
      <c r="I713" s="50"/>
      <c r="J713" s="43" t="s">
        <v>20</v>
      </c>
      <c r="K713" s="43" t="s">
        <v>828</v>
      </c>
      <c r="L713" s="43" t="s">
        <v>367</v>
      </c>
      <c r="M713" s="43" t="s">
        <v>479</v>
      </c>
      <c r="N713" s="53" t="s">
        <v>480</v>
      </c>
      <c r="O713" s="43" t="s">
        <v>12</v>
      </c>
      <c r="P713" s="43" t="s">
        <v>459</v>
      </c>
      <c r="Q713" s="43" t="s">
        <v>44</v>
      </c>
      <c r="R713" s="43" t="s">
        <v>368</v>
      </c>
      <c r="S713" s="51" t="s">
        <v>763</v>
      </c>
    </row>
    <row r="714" spans="1:19" ht="18" customHeight="1" x14ac:dyDescent="0.25">
      <c r="A714" s="38"/>
      <c r="B714" s="49"/>
      <c r="C714" s="31" t="s">
        <v>6</v>
      </c>
      <c r="D714" s="27">
        <f t="shared" ref="D714:E714" si="162">SUM(D715:D718)</f>
        <v>16819.52</v>
      </c>
      <c r="E714" s="23">
        <f t="shared" si="162"/>
        <v>16819.52</v>
      </c>
      <c r="F714" s="23"/>
      <c r="G714" s="23"/>
      <c r="H714" s="23"/>
      <c r="I714" s="23"/>
      <c r="J714" s="43"/>
      <c r="K714" s="43"/>
      <c r="L714" s="43"/>
      <c r="M714" s="43"/>
      <c r="N714" s="53"/>
      <c r="O714" s="43"/>
      <c r="P714" s="43"/>
      <c r="Q714" s="43"/>
      <c r="R714" s="43"/>
      <c r="S714" s="51"/>
    </row>
    <row r="715" spans="1:19" ht="18" customHeight="1" x14ac:dyDescent="0.25">
      <c r="A715" s="38"/>
      <c r="B715" s="49"/>
      <c r="C715" s="31" t="s">
        <v>0</v>
      </c>
      <c r="D715" s="27"/>
      <c r="E715" s="23"/>
      <c r="F715" s="23"/>
      <c r="G715" s="23"/>
      <c r="H715" s="23"/>
      <c r="I715" s="23"/>
      <c r="J715" s="43"/>
      <c r="K715" s="43"/>
      <c r="L715" s="43"/>
      <c r="M715" s="43"/>
      <c r="N715" s="53"/>
      <c r="O715" s="43"/>
      <c r="P715" s="43"/>
      <c r="Q715" s="43"/>
      <c r="R715" s="43"/>
      <c r="S715" s="51"/>
    </row>
    <row r="716" spans="1:19" ht="18" customHeight="1" x14ac:dyDescent="0.25">
      <c r="A716" s="38"/>
      <c r="B716" s="49"/>
      <c r="C716" s="31" t="s">
        <v>1</v>
      </c>
      <c r="D716" s="27">
        <f t="shared" ref="D716:D717" si="163">SUM(E716:I716)</f>
        <v>16483.13</v>
      </c>
      <c r="E716" s="23">
        <v>16483.13</v>
      </c>
      <c r="F716" s="23"/>
      <c r="G716" s="23"/>
      <c r="H716" s="23"/>
      <c r="I716" s="23"/>
      <c r="J716" s="43"/>
      <c r="K716" s="43"/>
      <c r="L716" s="43"/>
      <c r="M716" s="43"/>
      <c r="N716" s="53"/>
      <c r="O716" s="43"/>
      <c r="P716" s="43"/>
      <c r="Q716" s="43"/>
      <c r="R716" s="43"/>
      <c r="S716" s="51"/>
    </row>
    <row r="717" spans="1:19" ht="18" customHeight="1" x14ac:dyDescent="0.25">
      <c r="A717" s="38"/>
      <c r="B717" s="49"/>
      <c r="C717" s="31" t="s">
        <v>2</v>
      </c>
      <c r="D717" s="27">
        <f t="shared" si="163"/>
        <v>336.39</v>
      </c>
      <c r="E717" s="23">
        <v>336.39</v>
      </c>
      <c r="F717" s="23"/>
      <c r="G717" s="23"/>
      <c r="H717" s="23"/>
      <c r="I717" s="23"/>
      <c r="J717" s="43"/>
      <c r="K717" s="43"/>
      <c r="L717" s="43"/>
      <c r="M717" s="43"/>
      <c r="N717" s="53"/>
      <c r="O717" s="43"/>
      <c r="P717" s="43"/>
      <c r="Q717" s="43"/>
      <c r="R717" s="43"/>
      <c r="S717" s="51"/>
    </row>
    <row r="718" spans="1:19" ht="18" customHeight="1" x14ac:dyDescent="0.25">
      <c r="A718" s="38"/>
      <c r="B718" s="49"/>
      <c r="C718" s="31" t="s">
        <v>3</v>
      </c>
      <c r="D718" s="27"/>
      <c r="E718" s="23"/>
      <c r="F718" s="23"/>
      <c r="G718" s="23"/>
      <c r="H718" s="23"/>
      <c r="I718" s="23"/>
      <c r="J718" s="43"/>
      <c r="K718" s="43"/>
      <c r="L718" s="43"/>
      <c r="M718" s="43"/>
      <c r="N718" s="53"/>
      <c r="O718" s="43"/>
      <c r="P718" s="43"/>
      <c r="Q718" s="43"/>
      <c r="R718" s="43"/>
      <c r="S718" s="51"/>
    </row>
    <row r="719" spans="1:19" ht="18.75" customHeight="1" x14ac:dyDescent="0.25">
      <c r="A719" s="37" t="s">
        <v>78</v>
      </c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</row>
    <row r="720" spans="1:19" ht="21" customHeight="1" x14ac:dyDescent="0.25">
      <c r="A720" s="38"/>
      <c r="B720" s="48" t="s">
        <v>577</v>
      </c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</row>
    <row r="721" spans="1:19" ht="18.75" customHeight="1" x14ac:dyDescent="0.25">
      <c r="A721" s="38"/>
      <c r="B721" s="49" t="s">
        <v>270</v>
      </c>
      <c r="C721" s="50" t="s">
        <v>124</v>
      </c>
      <c r="D721" s="50"/>
      <c r="E721" s="50"/>
      <c r="F721" s="50"/>
      <c r="G721" s="50"/>
      <c r="H721" s="50"/>
      <c r="I721" s="50"/>
      <c r="J721" s="43" t="s">
        <v>15</v>
      </c>
      <c r="K721" s="43" t="s">
        <v>828</v>
      </c>
      <c r="L721" s="43" t="s">
        <v>369</v>
      </c>
      <c r="M721" s="43" t="s">
        <v>481</v>
      </c>
      <c r="N721" s="53" t="s">
        <v>783</v>
      </c>
      <c r="O721" s="43" t="s">
        <v>12</v>
      </c>
      <c r="P721" s="43" t="s">
        <v>18</v>
      </c>
      <c r="Q721" s="43" t="s">
        <v>44</v>
      </c>
      <c r="R721" s="43" t="s">
        <v>370</v>
      </c>
      <c r="S721" s="51" t="s">
        <v>361</v>
      </c>
    </row>
    <row r="722" spans="1:19" ht="18" customHeight="1" x14ac:dyDescent="0.25">
      <c r="A722" s="38"/>
      <c r="B722" s="49"/>
      <c r="C722" s="31" t="s">
        <v>6</v>
      </c>
      <c r="D722" s="27">
        <f t="shared" ref="D722:E722" si="164">SUM(D723:D726)</f>
        <v>8163.1050000000005</v>
      </c>
      <c r="E722" s="23">
        <f t="shared" si="164"/>
        <v>8163.1050000000005</v>
      </c>
      <c r="F722" s="23"/>
      <c r="G722" s="23"/>
      <c r="H722" s="23"/>
      <c r="I722" s="23"/>
      <c r="J722" s="43"/>
      <c r="K722" s="43"/>
      <c r="L722" s="43"/>
      <c r="M722" s="43"/>
      <c r="N722" s="53"/>
      <c r="O722" s="43"/>
      <c r="P722" s="43"/>
      <c r="Q722" s="43"/>
      <c r="R722" s="43"/>
      <c r="S722" s="51"/>
    </row>
    <row r="723" spans="1:19" ht="18" customHeight="1" x14ac:dyDescent="0.25">
      <c r="A723" s="38"/>
      <c r="B723" s="49"/>
      <c r="C723" s="31" t="s">
        <v>0</v>
      </c>
      <c r="D723" s="27"/>
      <c r="E723" s="23"/>
      <c r="F723" s="23"/>
      <c r="G723" s="23"/>
      <c r="H723" s="23"/>
      <c r="I723" s="23"/>
      <c r="J723" s="43"/>
      <c r="K723" s="43"/>
      <c r="L723" s="43"/>
      <c r="M723" s="43"/>
      <c r="N723" s="53"/>
      <c r="O723" s="43"/>
      <c r="P723" s="43"/>
      <c r="Q723" s="43"/>
      <c r="R723" s="43"/>
      <c r="S723" s="51"/>
    </row>
    <row r="724" spans="1:19" ht="18" customHeight="1" x14ac:dyDescent="0.25">
      <c r="A724" s="38"/>
      <c r="B724" s="49"/>
      <c r="C724" s="31" t="s">
        <v>1</v>
      </c>
      <c r="D724" s="27">
        <f t="shared" ref="D724" si="165">SUM(E724:I724)</f>
        <v>7999.8450000000003</v>
      </c>
      <c r="E724" s="23">
        <v>7999.8450000000003</v>
      </c>
      <c r="F724" s="23"/>
      <c r="G724" s="23"/>
      <c r="H724" s="23"/>
      <c r="I724" s="23"/>
      <c r="J724" s="43"/>
      <c r="K724" s="43"/>
      <c r="L724" s="43"/>
      <c r="M724" s="43"/>
      <c r="N724" s="53"/>
      <c r="O724" s="43"/>
      <c r="P724" s="43"/>
      <c r="Q724" s="43"/>
      <c r="R724" s="43"/>
      <c r="S724" s="51"/>
    </row>
    <row r="725" spans="1:19" ht="18" customHeight="1" x14ac:dyDescent="0.25">
      <c r="A725" s="38"/>
      <c r="B725" s="49"/>
      <c r="C725" s="31" t="s">
        <v>2</v>
      </c>
      <c r="D725" s="27">
        <f>E725</f>
        <v>163.26</v>
      </c>
      <c r="E725" s="23">
        <v>163.26</v>
      </c>
      <c r="F725" s="23"/>
      <c r="G725" s="23"/>
      <c r="H725" s="23"/>
      <c r="I725" s="23"/>
      <c r="J725" s="43"/>
      <c r="K725" s="43"/>
      <c r="L725" s="43"/>
      <c r="M725" s="43"/>
      <c r="N725" s="53"/>
      <c r="O725" s="43"/>
      <c r="P725" s="43"/>
      <c r="Q725" s="43"/>
      <c r="R725" s="43"/>
      <c r="S725" s="51"/>
    </row>
    <row r="726" spans="1:19" ht="18" customHeight="1" x14ac:dyDescent="0.25">
      <c r="A726" s="38"/>
      <c r="B726" s="49"/>
      <c r="C726" s="31" t="s">
        <v>3</v>
      </c>
      <c r="D726" s="27"/>
      <c r="E726" s="23"/>
      <c r="F726" s="23"/>
      <c r="G726" s="23"/>
      <c r="H726" s="23"/>
      <c r="I726" s="23"/>
      <c r="J726" s="43"/>
      <c r="K726" s="43"/>
      <c r="L726" s="43"/>
      <c r="M726" s="43"/>
      <c r="N726" s="53"/>
      <c r="O726" s="43"/>
      <c r="P726" s="43"/>
      <c r="Q726" s="43"/>
      <c r="R726" s="43"/>
      <c r="S726" s="51"/>
    </row>
    <row r="727" spans="1:19" ht="18.75" customHeight="1" x14ac:dyDescent="0.25">
      <c r="A727" s="37" t="s">
        <v>78</v>
      </c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</row>
    <row r="728" spans="1:19" ht="21" customHeight="1" x14ac:dyDescent="0.25">
      <c r="A728" s="38"/>
      <c r="B728" s="48" t="s">
        <v>577</v>
      </c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</row>
    <row r="729" spans="1:19" ht="18.75" customHeight="1" x14ac:dyDescent="0.25">
      <c r="A729" s="38"/>
      <c r="B729" s="66" t="s">
        <v>271</v>
      </c>
      <c r="C729" s="50" t="s">
        <v>125</v>
      </c>
      <c r="D729" s="50"/>
      <c r="E729" s="50"/>
      <c r="F729" s="50"/>
      <c r="G729" s="50"/>
      <c r="H729" s="50"/>
      <c r="I729" s="50"/>
      <c r="J729" s="43" t="s">
        <v>14</v>
      </c>
      <c r="K729" s="43" t="s">
        <v>828</v>
      </c>
      <c r="L729" s="43" t="s">
        <v>371</v>
      </c>
      <c r="M729" s="43" t="s">
        <v>482</v>
      </c>
      <c r="N729" s="53" t="s">
        <v>483</v>
      </c>
      <c r="O729" s="43" t="s">
        <v>12</v>
      </c>
      <c r="P729" s="43" t="s">
        <v>22</v>
      </c>
      <c r="Q729" s="43" t="s">
        <v>44</v>
      </c>
      <c r="R729" s="43" t="s">
        <v>372</v>
      </c>
      <c r="S729" s="51" t="s">
        <v>361</v>
      </c>
    </row>
    <row r="730" spans="1:19" ht="18" customHeight="1" x14ac:dyDescent="0.25">
      <c r="A730" s="38"/>
      <c r="B730" s="66"/>
      <c r="C730" s="31" t="s">
        <v>6</v>
      </c>
      <c r="D730" s="27">
        <f t="shared" ref="D730:E730" si="166">SUM(D731:D734)</f>
        <v>630</v>
      </c>
      <c r="E730" s="23">
        <f t="shared" si="166"/>
        <v>630</v>
      </c>
      <c r="F730" s="23"/>
      <c r="G730" s="23"/>
      <c r="H730" s="23"/>
      <c r="I730" s="23"/>
      <c r="J730" s="43"/>
      <c r="K730" s="43"/>
      <c r="L730" s="43"/>
      <c r="M730" s="43"/>
      <c r="N730" s="53"/>
      <c r="O730" s="43"/>
      <c r="P730" s="43"/>
      <c r="Q730" s="43"/>
      <c r="R730" s="43"/>
      <c r="S730" s="51"/>
    </row>
    <row r="731" spans="1:19" ht="18" customHeight="1" x14ac:dyDescent="0.25">
      <c r="A731" s="38"/>
      <c r="B731" s="66"/>
      <c r="C731" s="31" t="s">
        <v>0</v>
      </c>
      <c r="D731" s="27"/>
      <c r="E731" s="23"/>
      <c r="F731" s="23"/>
      <c r="G731" s="23"/>
      <c r="H731" s="23"/>
      <c r="I731" s="23"/>
      <c r="J731" s="43"/>
      <c r="K731" s="43"/>
      <c r="L731" s="43"/>
      <c r="M731" s="43"/>
      <c r="N731" s="53"/>
      <c r="O731" s="43"/>
      <c r="P731" s="43"/>
      <c r="Q731" s="43"/>
      <c r="R731" s="43"/>
      <c r="S731" s="51"/>
    </row>
    <row r="732" spans="1:19" ht="18" customHeight="1" x14ac:dyDescent="0.25">
      <c r="A732" s="38"/>
      <c r="B732" s="66"/>
      <c r="C732" s="31" t="s">
        <v>1</v>
      </c>
      <c r="D732" s="27">
        <f t="shared" ref="D732" si="167">SUM(E732:I732)</f>
        <v>617.4</v>
      </c>
      <c r="E732" s="23">
        <v>617.4</v>
      </c>
      <c r="F732" s="23"/>
      <c r="G732" s="23"/>
      <c r="H732" s="23"/>
      <c r="I732" s="23"/>
      <c r="J732" s="43"/>
      <c r="K732" s="43"/>
      <c r="L732" s="43"/>
      <c r="M732" s="43"/>
      <c r="N732" s="53"/>
      <c r="O732" s="43"/>
      <c r="P732" s="43"/>
      <c r="Q732" s="43"/>
      <c r="R732" s="43"/>
      <c r="S732" s="51"/>
    </row>
    <row r="733" spans="1:19" ht="18" customHeight="1" x14ac:dyDescent="0.25">
      <c r="A733" s="38"/>
      <c r="B733" s="66"/>
      <c r="C733" s="31" t="s">
        <v>2</v>
      </c>
      <c r="D733" s="27">
        <f>E733</f>
        <v>12.6</v>
      </c>
      <c r="E733" s="23">
        <v>12.6</v>
      </c>
      <c r="F733" s="23"/>
      <c r="G733" s="23"/>
      <c r="H733" s="23"/>
      <c r="I733" s="23"/>
      <c r="J733" s="43"/>
      <c r="K733" s="43"/>
      <c r="L733" s="43"/>
      <c r="M733" s="43"/>
      <c r="N733" s="53"/>
      <c r="O733" s="43"/>
      <c r="P733" s="43"/>
      <c r="Q733" s="43"/>
      <c r="R733" s="43"/>
      <c r="S733" s="51"/>
    </row>
    <row r="734" spans="1:19" ht="18" customHeight="1" x14ac:dyDescent="0.25">
      <c r="A734" s="38"/>
      <c r="B734" s="66"/>
      <c r="C734" s="31" t="s">
        <v>3</v>
      </c>
      <c r="D734" s="27"/>
      <c r="E734" s="23"/>
      <c r="F734" s="23"/>
      <c r="G734" s="23"/>
      <c r="H734" s="23"/>
      <c r="I734" s="23"/>
      <c r="J734" s="43"/>
      <c r="K734" s="43"/>
      <c r="L734" s="43"/>
      <c r="M734" s="43"/>
      <c r="N734" s="53"/>
      <c r="O734" s="43"/>
      <c r="P734" s="43"/>
      <c r="Q734" s="43"/>
      <c r="R734" s="43"/>
      <c r="S734" s="51"/>
    </row>
    <row r="735" spans="1:19" ht="18.75" customHeight="1" x14ac:dyDescent="0.25">
      <c r="A735" s="37" t="s">
        <v>78</v>
      </c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</row>
    <row r="736" spans="1:19" ht="21" customHeight="1" x14ac:dyDescent="0.25">
      <c r="A736" s="38"/>
      <c r="B736" s="48" t="s">
        <v>577</v>
      </c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</row>
    <row r="737" spans="1:19" ht="18.75" customHeight="1" x14ac:dyDescent="0.25">
      <c r="A737" s="38"/>
      <c r="B737" s="49" t="s">
        <v>272</v>
      </c>
      <c r="C737" s="50" t="s">
        <v>126</v>
      </c>
      <c r="D737" s="50"/>
      <c r="E737" s="50"/>
      <c r="F737" s="50"/>
      <c r="G737" s="50"/>
      <c r="H737" s="50"/>
      <c r="I737" s="50"/>
      <c r="J737" s="43" t="s">
        <v>16</v>
      </c>
      <c r="K737" s="43" t="s">
        <v>828</v>
      </c>
      <c r="L737" s="43" t="s">
        <v>374</v>
      </c>
      <c r="M737" s="43" t="s">
        <v>484</v>
      </c>
      <c r="N737" s="53" t="s">
        <v>485</v>
      </c>
      <c r="O737" s="43" t="s">
        <v>12</v>
      </c>
      <c r="P737" s="43" t="s">
        <v>47</v>
      </c>
      <c r="Q737" s="43" t="s">
        <v>9</v>
      </c>
      <c r="R737" s="43" t="s">
        <v>375</v>
      </c>
      <c r="S737" s="51"/>
    </row>
    <row r="738" spans="1:19" ht="18" customHeight="1" x14ac:dyDescent="0.25">
      <c r="A738" s="38"/>
      <c r="B738" s="49"/>
      <c r="C738" s="31" t="s">
        <v>6</v>
      </c>
      <c r="D738" s="27">
        <f t="shared" ref="D738:E738" si="168">SUM(D739:D742)</f>
        <v>2815.3494900000001</v>
      </c>
      <c r="E738" s="23">
        <f t="shared" si="168"/>
        <v>2815.3494900000001</v>
      </c>
      <c r="F738" s="23"/>
      <c r="G738" s="23"/>
      <c r="H738" s="23"/>
      <c r="I738" s="23"/>
      <c r="J738" s="43"/>
      <c r="K738" s="43"/>
      <c r="L738" s="43"/>
      <c r="M738" s="43"/>
      <c r="N738" s="53"/>
      <c r="O738" s="43"/>
      <c r="P738" s="43"/>
      <c r="Q738" s="43"/>
      <c r="R738" s="43"/>
      <c r="S738" s="51"/>
    </row>
    <row r="739" spans="1:19" ht="18" customHeight="1" x14ac:dyDescent="0.25">
      <c r="A739" s="38"/>
      <c r="B739" s="49"/>
      <c r="C739" s="31" t="s">
        <v>0</v>
      </c>
      <c r="D739" s="27"/>
      <c r="E739" s="23"/>
      <c r="F739" s="23"/>
      <c r="G739" s="23"/>
      <c r="H739" s="23"/>
      <c r="I739" s="23"/>
      <c r="J739" s="43"/>
      <c r="K739" s="43"/>
      <c r="L739" s="43"/>
      <c r="M739" s="43"/>
      <c r="N739" s="53"/>
      <c r="O739" s="43"/>
      <c r="P739" s="43"/>
      <c r="Q739" s="43"/>
      <c r="R739" s="43"/>
      <c r="S739" s="51"/>
    </row>
    <row r="740" spans="1:19" ht="18" customHeight="1" x14ac:dyDescent="0.25">
      <c r="A740" s="38"/>
      <c r="B740" s="49"/>
      <c r="C740" s="31" t="s">
        <v>1</v>
      </c>
      <c r="D740" s="27">
        <f t="shared" ref="D740" si="169">SUM(E740:I740)</f>
        <v>2719.15949</v>
      </c>
      <c r="E740" s="23">
        <f>4713.41949-94.26-1900</f>
        <v>2719.15949</v>
      </c>
      <c r="F740" s="23"/>
      <c r="G740" s="23"/>
      <c r="H740" s="23"/>
      <c r="I740" s="23"/>
      <c r="J740" s="43"/>
      <c r="K740" s="43"/>
      <c r="L740" s="43"/>
      <c r="M740" s="43"/>
      <c r="N740" s="53"/>
      <c r="O740" s="43"/>
      <c r="P740" s="43"/>
      <c r="Q740" s="43"/>
      <c r="R740" s="43"/>
      <c r="S740" s="51"/>
    </row>
    <row r="741" spans="1:19" ht="18" customHeight="1" x14ac:dyDescent="0.25">
      <c r="A741" s="38"/>
      <c r="B741" s="49"/>
      <c r="C741" s="31" t="s">
        <v>2</v>
      </c>
      <c r="D741" s="27">
        <f>E741</f>
        <v>96.19</v>
      </c>
      <c r="E741" s="23">
        <v>96.19</v>
      </c>
      <c r="F741" s="23"/>
      <c r="G741" s="23"/>
      <c r="H741" s="23"/>
      <c r="I741" s="23"/>
      <c r="J741" s="43"/>
      <c r="K741" s="43"/>
      <c r="L741" s="43"/>
      <c r="M741" s="43"/>
      <c r="N741" s="53"/>
      <c r="O741" s="43"/>
      <c r="P741" s="43"/>
      <c r="Q741" s="43"/>
      <c r="R741" s="43"/>
      <c r="S741" s="51"/>
    </row>
    <row r="742" spans="1:19" ht="18" customHeight="1" x14ac:dyDescent="0.25">
      <c r="A742" s="38"/>
      <c r="B742" s="49"/>
      <c r="C742" s="31" t="s">
        <v>3</v>
      </c>
      <c r="D742" s="27"/>
      <c r="E742" s="23"/>
      <c r="F742" s="23"/>
      <c r="G742" s="23"/>
      <c r="H742" s="23"/>
      <c r="I742" s="23"/>
      <c r="J742" s="43"/>
      <c r="K742" s="43"/>
      <c r="L742" s="43"/>
      <c r="M742" s="43"/>
      <c r="N742" s="53"/>
      <c r="O742" s="43"/>
      <c r="P742" s="43"/>
      <c r="Q742" s="43"/>
      <c r="R742" s="43"/>
      <c r="S742" s="51"/>
    </row>
    <row r="743" spans="1:19" ht="18.75" customHeight="1" x14ac:dyDescent="0.25">
      <c r="A743" s="37" t="s">
        <v>78</v>
      </c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</row>
    <row r="744" spans="1:19" ht="21" customHeight="1" x14ac:dyDescent="0.25">
      <c r="A744" s="38"/>
      <c r="B744" s="48" t="s">
        <v>577</v>
      </c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</row>
    <row r="745" spans="1:19" ht="18.75" customHeight="1" x14ac:dyDescent="0.25">
      <c r="A745" s="38"/>
      <c r="B745" s="49" t="s">
        <v>273</v>
      </c>
      <c r="C745" s="41" t="s">
        <v>950</v>
      </c>
      <c r="D745" s="41"/>
      <c r="E745" s="41"/>
      <c r="F745" s="41"/>
      <c r="G745" s="41"/>
      <c r="H745" s="41"/>
      <c r="I745" s="41"/>
      <c r="J745" s="43" t="s">
        <v>14</v>
      </c>
      <c r="K745" s="43" t="s">
        <v>828</v>
      </c>
      <c r="L745" s="43" t="s">
        <v>376</v>
      </c>
      <c r="M745" s="43" t="s">
        <v>899</v>
      </c>
      <c r="N745" s="53" t="s">
        <v>486</v>
      </c>
      <c r="O745" s="43" t="s">
        <v>12</v>
      </c>
      <c r="P745" s="43" t="s">
        <v>4</v>
      </c>
      <c r="Q745" s="43" t="s">
        <v>44</v>
      </c>
      <c r="R745" s="43"/>
      <c r="S745" s="51" t="s">
        <v>361</v>
      </c>
    </row>
    <row r="746" spans="1:19" ht="18" customHeight="1" x14ac:dyDescent="0.25">
      <c r="A746" s="38"/>
      <c r="B746" s="49"/>
      <c r="C746" s="31" t="s">
        <v>6</v>
      </c>
      <c r="D746" s="27">
        <f t="shared" ref="D746:E746" si="170">SUM(D747:D750)</f>
        <v>214.29337999999998</v>
      </c>
      <c r="E746" s="23">
        <f t="shared" si="170"/>
        <v>214.29337999999998</v>
      </c>
      <c r="F746" s="23"/>
      <c r="G746" s="23"/>
      <c r="H746" s="23"/>
      <c r="I746" s="23"/>
      <c r="J746" s="43"/>
      <c r="K746" s="43"/>
      <c r="L746" s="43"/>
      <c r="M746" s="43"/>
      <c r="N746" s="53"/>
      <c r="O746" s="43"/>
      <c r="P746" s="43"/>
      <c r="Q746" s="43"/>
      <c r="R746" s="43"/>
      <c r="S746" s="51"/>
    </row>
    <row r="747" spans="1:19" ht="18" customHeight="1" x14ac:dyDescent="0.25">
      <c r="A747" s="38"/>
      <c r="B747" s="49"/>
      <c r="C747" s="31" t="s">
        <v>0</v>
      </c>
      <c r="D747" s="27"/>
      <c r="E747" s="23"/>
      <c r="F747" s="23"/>
      <c r="G747" s="23"/>
      <c r="H747" s="23"/>
      <c r="I747" s="23"/>
      <c r="J747" s="43"/>
      <c r="K747" s="43"/>
      <c r="L747" s="43"/>
      <c r="M747" s="43"/>
      <c r="N747" s="53"/>
      <c r="O747" s="43"/>
      <c r="P747" s="43"/>
      <c r="Q747" s="43"/>
      <c r="R747" s="43"/>
      <c r="S747" s="51"/>
    </row>
    <row r="748" spans="1:19" ht="18" customHeight="1" x14ac:dyDescent="0.25">
      <c r="A748" s="38"/>
      <c r="B748" s="49"/>
      <c r="C748" s="31" t="s">
        <v>1</v>
      </c>
      <c r="D748" s="27">
        <f t="shared" ref="D748" si="171">SUM(E748:I748)</f>
        <v>210.00337999999999</v>
      </c>
      <c r="E748" s="23">
        <v>210.00337999999999</v>
      </c>
      <c r="F748" s="23"/>
      <c r="G748" s="23"/>
      <c r="H748" s="23"/>
      <c r="I748" s="23"/>
      <c r="J748" s="43"/>
      <c r="K748" s="43"/>
      <c r="L748" s="43"/>
      <c r="M748" s="43"/>
      <c r="N748" s="53"/>
      <c r="O748" s="43"/>
      <c r="P748" s="43"/>
      <c r="Q748" s="43"/>
      <c r="R748" s="43"/>
      <c r="S748" s="51"/>
    </row>
    <row r="749" spans="1:19" ht="18" customHeight="1" x14ac:dyDescent="0.25">
      <c r="A749" s="38"/>
      <c r="B749" s="49"/>
      <c r="C749" s="31" t="s">
        <v>2</v>
      </c>
      <c r="D749" s="27">
        <f>E749</f>
        <v>4.29</v>
      </c>
      <c r="E749" s="23">
        <v>4.29</v>
      </c>
      <c r="F749" s="23"/>
      <c r="G749" s="23"/>
      <c r="H749" s="23"/>
      <c r="I749" s="23"/>
      <c r="J749" s="43"/>
      <c r="K749" s="43"/>
      <c r="L749" s="43"/>
      <c r="M749" s="43"/>
      <c r="N749" s="53"/>
      <c r="O749" s="43"/>
      <c r="P749" s="43"/>
      <c r="Q749" s="43"/>
      <c r="R749" s="43"/>
      <c r="S749" s="51"/>
    </row>
    <row r="750" spans="1:19" ht="18" customHeight="1" x14ac:dyDescent="0.25">
      <c r="A750" s="38"/>
      <c r="B750" s="49"/>
      <c r="C750" s="31" t="s">
        <v>3</v>
      </c>
      <c r="D750" s="27"/>
      <c r="E750" s="23"/>
      <c r="F750" s="23"/>
      <c r="G750" s="23"/>
      <c r="H750" s="23"/>
      <c r="I750" s="23"/>
      <c r="J750" s="43"/>
      <c r="K750" s="43"/>
      <c r="L750" s="43"/>
      <c r="M750" s="43"/>
      <c r="N750" s="53"/>
      <c r="O750" s="43"/>
      <c r="P750" s="43"/>
      <c r="Q750" s="43"/>
      <c r="R750" s="43"/>
      <c r="S750" s="51"/>
    </row>
    <row r="751" spans="1:19" ht="18.75" customHeight="1" x14ac:dyDescent="0.25">
      <c r="A751" s="37" t="s">
        <v>78</v>
      </c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</row>
    <row r="752" spans="1:19" ht="21" customHeight="1" x14ac:dyDescent="0.25">
      <c r="A752" s="38"/>
      <c r="B752" s="48" t="s">
        <v>577</v>
      </c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</row>
    <row r="753" spans="1:19" ht="37.5" customHeight="1" x14ac:dyDescent="0.25">
      <c r="A753" s="38"/>
      <c r="B753" s="49" t="s">
        <v>274</v>
      </c>
      <c r="C753" s="50" t="s">
        <v>911</v>
      </c>
      <c r="D753" s="50"/>
      <c r="E753" s="50"/>
      <c r="F753" s="50"/>
      <c r="G753" s="50"/>
      <c r="H753" s="50"/>
      <c r="I753" s="50"/>
      <c r="J753" s="43" t="s">
        <v>14</v>
      </c>
      <c r="K753" s="43" t="s">
        <v>828</v>
      </c>
      <c r="L753" s="43" t="s">
        <v>377</v>
      </c>
      <c r="M753" s="43" t="s">
        <v>482</v>
      </c>
      <c r="N753" s="53" t="s">
        <v>487</v>
      </c>
      <c r="O753" s="43" t="s">
        <v>12</v>
      </c>
      <c r="P753" s="43" t="s">
        <v>22</v>
      </c>
      <c r="Q753" s="43" t="s">
        <v>44</v>
      </c>
      <c r="R753" s="43" t="s">
        <v>372</v>
      </c>
      <c r="S753" s="51" t="s">
        <v>361</v>
      </c>
    </row>
    <row r="754" spans="1:19" ht="18" customHeight="1" x14ac:dyDescent="0.25">
      <c r="A754" s="38"/>
      <c r="B754" s="49"/>
      <c r="C754" s="31" t="s">
        <v>6</v>
      </c>
      <c r="D754" s="27">
        <f t="shared" ref="D754:E754" si="172">SUM(D755:D758)</f>
        <v>6087.1780000000008</v>
      </c>
      <c r="E754" s="23">
        <f t="shared" si="172"/>
        <v>6087.1780000000008</v>
      </c>
      <c r="F754" s="23"/>
      <c r="G754" s="23"/>
      <c r="H754" s="23"/>
      <c r="I754" s="23"/>
      <c r="J754" s="43"/>
      <c r="K754" s="43"/>
      <c r="L754" s="43"/>
      <c r="M754" s="43"/>
      <c r="N754" s="53"/>
      <c r="O754" s="43"/>
      <c r="P754" s="43"/>
      <c r="Q754" s="43"/>
      <c r="R754" s="43"/>
      <c r="S754" s="51"/>
    </row>
    <row r="755" spans="1:19" ht="18" customHeight="1" x14ac:dyDescent="0.25">
      <c r="A755" s="38"/>
      <c r="B755" s="49"/>
      <c r="C755" s="31" t="s">
        <v>0</v>
      </c>
      <c r="D755" s="27"/>
      <c r="E755" s="23"/>
      <c r="F755" s="23"/>
      <c r="G755" s="23"/>
      <c r="H755" s="23"/>
      <c r="I755" s="23"/>
      <c r="J755" s="43"/>
      <c r="K755" s="43"/>
      <c r="L755" s="43"/>
      <c r="M755" s="43"/>
      <c r="N755" s="53"/>
      <c r="O755" s="43"/>
      <c r="P755" s="43"/>
      <c r="Q755" s="43"/>
      <c r="R755" s="43"/>
      <c r="S755" s="51"/>
    </row>
    <row r="756" spans="1:19" ht="18" customHeight="1" x14ac:dyDescent="0.25">
      <c r="A756" s="38"/>
      <c r="B756" s="49"/>
      <c r="C756" s="31" t="s">
        <v>1</v>
      </c>
      <c r="D756" s="27">
        <f t="shared" ref="D756" si="173">SUM(E756:I756)</f>
        <v>5888.9080000000004</v>
      </c>
      <c r="E756" s="23">
        <f>9715.368-3826.46</f>
        <v>5888.9080000000004</v>
      </c>
      <c r="F756" s="23"/>
      <c r="G756" s="23"/>
      <c r="H756" s="23"/>
      <c r="I756" s="23"/>
      <c r="J756" s="43"/>
      <c r="K756" s="43"/>
      <c r="L756" s="43"/>
      <c r="M756" s="43"/>
      <c r="N756" s="53"/>
      <c r="O756" s="43"/>
      <c r="P756" s="43"/>
      <c r="Q756" s="43"/>
      <c r="R756" s="43"/>
      <c r="S756" s="51"/>
    </row>
    <row r="757" spans="1:19" ht="18" customHeight="1" x14ac:dyDescent="0.25">
      <c r="A757" s="38"/>
      <c r="B757" s="49"/>
      <c r="C757" s="31" t="s">
        <v>2</v>
      </c>
      <c r="D757" s="27">
        <f>E757</f>
        <v>198.27</v>
      </c>
      <c r="E757" s="23">
        <v>198.27</v>
      </c>
      <c r="F757" s="23"/>
      <c r="G757" s="23"/>
      <c r="H757" s="23"/>
      <c r="I757" s="23"/>
      <c r="J757" s="43"/>
      <c r="K757" s="43"/>
      <c r="L757" s="43"/>
      <c r="M757" s="43"/>
      <c r="N757" s="53"/>
      <c r="O757" s="43"/>
      <c r="P757" s="43"/>
      <c r="Q757" s="43"/>
      <c r="R757" s="43"/>
      <c r="S757" s="51"/>
    </row>
    <row r="758" spans="1:19" ht="18" customHeight="1" x14ac:dyDescent="0.25">
      <c r="A758" s="38"/>
      <c r="B758" s="49"/>
      <c r="C758" s="31" t="s">
        <v>3</v>
      </c>
      <c r="D758" s="27"/>
      <c r="E758" s="23"/>
      <c r="F758" s="23"/>
      <c r="G758" s="23"/>
      <c r="H758" s="23"/>
      <c r="I758" s="23"/>
      <c r="J758" s="43"/>
      <c r="K758" s="43"/>
      <c r="L758" s="43"/>
      <c r="M758" s="43"/>
      <c r="N758" s="53"/>
      <c r="O758" s="43"/>
      <c r="P758" s="43"/>
      <c r="Q758" s="43"/>
      <c r="R758" s="43"/>
      <c r="S758" s="51"/>
    </row>
    <row r="759" spans="1:19" ht="18.75" customHeight="1" x14ac:dyDescent="0.25">
      <c r="A759" s="37" t="s">
        <v>78</v>
      </c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</row>
    <row r="760" spans="1:19" ht="21" customHeight="1" x14ac:dyDescent="0.25">
      <c r="A760" s="38"/>
      <c r="B760" s="48" t="s">
        <v>577</v>
      </c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</row>
    <row r="761" spans="1:19" ht="36.75" customHeight="1" x14ac:dyDescent="0.25">
      <c r="A761" s="38"/>
      <c r="B761" s="71" t="s">
        <v>275</v>
      </c>
      <c r="C761" s="50" t="s">
        <v>174</v>
      </c>
      <c r="D761" s="50"/>
      <c r="E761" s="50"/>
      <c r="F761" s="50"/>
      <c r="G761" s="50"/>
      <c r="H761" s="50"/>
      <c r="I761" s="50"/>
      <c r="J761" s="43" t="s">
        <v>14</v>
      </c>
      <c r="K761" s="43" t="s">
        <v>828</v>
      </c>
      <c r="L761" s="43" t="s">
        <v>378</v>
      </c>
      <c r="M761" s="43" t="s">
        <v>469</v>
      </c>
      <c r="N761" s="53" t="s">
        <v>488</v>
      </c>
      <c r="O761" s="43" t="s">
        <v>12</v>
      </c>
      <c r="P761" s="43" t="s">
        <v>13</v>
      </c>
      <c r="Q761" s="43" t="s">
        <v>44</v>
      </c>
      <c r="R761" s="43" t="s">
        <v>365</v>
      </c>
      <c r="S761" s="51" t="s">
        <v>361</v>
      </c>
    </row>
    <row r="762" spans="1:19" ht="18" customHeight="1" x14ac:dyDescent="0.25">
      <c r="A762" s="38"/>
      <c r="B762" s="71"/>
      <c r="C762" s="31" t="s">
        <v>6</v>
      </c>
      <c r="D762" s="27">
        <f t="shared" ref="D762:E762" si="174">SUM(D763:D766)</f>
        <v>2831.7999999999997</v>
      </c>
      <c r="E762" s="23">
        <f t="shared" si="174"/>
        <v>2831.7999999999997</v>
      </c>
      <c r="F762" s="23"/>
      <c r="G762" s="23"/>
      <c r="H762" s="23"/>
      <c r="I762" s="23"/>
      <c r="J762" s="43"/>
      <c r="K762" s="43"/>
      <c r="L762" s="43"/>
      <c r="M762" s="43"/>
      <c r="N762" s="53"/>
      <c r="O762" s="43"/>
      <c r="P762" s="43"/>
      <c r="Q762" s="43"/>
      <c r="R762" s="43"/>
      <c r="S762" s="51"/>
    </row>
    <row r="763" spans="1:19" ht="18" customHeight="1" x14ac:dyDescent="0.25">
      <c r="A763" s="38"/>
      <c r="B763" s="71"/>
      <c r="C763" s="31" t="s">
        <v>0</v>
      </c>
      <c r="D763" s="27"/>
      <c r="E763" s="23"/>
      <c r="F763" s="23"/>
      <c r="G763" s="23"/>
      <c r="H763" s="23"/>
      <c r="I763" s="23"/>
      <c r="J763" s="43"/>
      <c r="K763" s="43"/>
      <c r="L763" s="43"/>
      <c r="M763" s="43"/>
      <c r="N763" s="53"/>
      <c r="O763" s="43"/>
      <c r="P763" s="43"/>
      <c r="Q763" s="43"/>
      <c r="R763" s="43"/>
      <c r="S763" s="51"/>
    </row>
    <row r="764" spans="1:19" ht="18" customHeight="1" x14ac:dyDescent="0.25">
      <c r="A764" s="38"/>
      <c r="B764" s="71"/>
      <c r="C764" s="31" t="s">
        <v>1</v>
      </c>
      <c r="D764" s="27">
        <f t="shared" ref="D764" si="175">SUM(E764:I764)</f>
        <v>2775.16</v>
      </c>
      <c r="E764" s="23">
        <v>2775.16</v>
      </c>
      <c r="F764" s="23"/>
      <c r="G764" s="23"/>
      <c r="H764" s="23"/>
      <c r="I764" s="23"/>
      <c r="J764" s="43"/>
      <c r="K764" s="43"/>
      <c r="L764" s="43"/>
      <c r="M764" s="43"/>
      <c r="N764" s="53"/>
      <c r="O764" s="43"/>
      <c r="P764" s="43"/>
      <c r="Q764" s="43"/>
      <c r="R764" s="43"/>
      <c r="S764" s="51"/>
    </row>
    <row r="765" spans="1:19" ht="18" customHeight="1" x14ac:dyDescent="0.25">
      <c r="A765" s="38"/>
      <c r="B765" s="71"/>
      <c r="C765" s="31" t="s">
        <v>2</v>
      </c>
      <c r="D765" s="27">
        <f>E765</f>
        <v>56.64</v>
      </c>
      <c r="E765" s="23">
        <v>56.64</v>
      </c>
      <c r="F765" s="23"/>
      <c r="G765" s="23"/>
      <c r="H765" s="23"/>
      <c r="I765" s="23"/>
      <c r="J765" s="43"/>
      <c r="K765" s="43"/>
      <c r="L765" s="43"/>
      <c r="M765" s="43"/>
      <c r="N765" s="53"/>
      <c r="O765" s="43"/>
      <c r="P765" s="43"/>
      <c r="Q765" s="43"/>
      <c r="R765" s="43"/>
      <c r="S765" s="51"/>
    </row>
    <row r="766" spans="1:19" ht="18" customHeight="1" x14ac:dyDescent="0.25">
      <c r="A766" s="38"/>
      <c r="B766" s="71"/>
      <c r="C766" s="31" t="s">
        <v>3</v>
      </c>
      <c r="D766" s="27"/>
      <c r="E766" s="23"/>
      <c r="F766" s="23"/>
      <c r="G766" s="23"/>
      <c r="H766" s="23"/>
      <c r="I766" s="23"/>
      <c r="J766" s="43"/>
      <c r="K766" s="43"/>
      <c r="L766" s="43"/>
      <c r="M766" s="43"/>
      <c r="N766" s="53"/>
      <c r="O766" s="43"/>
      <c r="P766" s="43"/>
      <c r="Q766" s="43"/>
      <c r="R766" s="43"/>
      <c r="S766" s="51"/>
    </row>
    <row r="767" spans="1:19" ht="18.75" customHeight="1" x14ac:dyDescent="0.25">
      <c r="A767" s="37" t="s">
        <v>78</v>
      </c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</row>
    <row r="768" spans="1:19" ht="21" customHeight="1" x14ac:dyDescent="0.25">
      <c r="A768" s="38"/>
      <c r="B768" s="48" t="s">
        <v>578</v>
      </c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</row>
    <row r="769" spans="1:19" ht="41.25" customHeight="1" x14ac:dyDescent="0.25">
      <c r="A769" s="38"/>
      <c r="B769" s="66" t="s">
        <v>276</v>
      </c>
      <c r="C769" s="50" t="s">
        <v>169</v>
      </c>
      <c r="D769" s="50"/>
      <c r="E769" s="50"/>
      <c r="F769" s="50"/>
      <c r="G769" s="50"/>
      <c r="H769" s="50"/>
      <c r="I769" s="50"/>
      <c r="J769" s="43" t="s">
        <v>14</v>
      </c>
      <c r="K769" s="43" t="s">
        <v>828</v>
      </c>
      <c r="L769" s="43" t="s">
        <v>379</v>
      </c>
      <c r="M769" s="43" t="s">
        <v>489</v>
      </c>
      <c r="N769" s="53" t="s">
        <v>490</v>
      </c>
      <c r="O769" s="43" t="s">
        <v>12</v>
      </c>
      <c r="P769" s="43" t="s">
        <v>18</v>
      </c>
      <c r="Q769" s="43" t="s">
        <v>44</v>
      </c>
      <c r="R769" s="43" t="s">
        <v>380</v>
      </c>
      <c r="S769" s="51"/>
    </row>
    <row r="770" spans="1:19" ht="18" customHeight="1" x14ac:dyDescent="0.25">
      <c r="A770" s="38"/>
      <c r="B770" s="66"/>
      <c r="C770" s="31" t="s">
        <v>6</v>
      </c>
      <c r="D770" s="27">
        <f t="shared" ref="D770:F770" si="176">SUM(D771:D774)</f>
        <v>269284.98047999997</v>
      </c>
      <c r="E770" s="23">
        <f t="shared" si="176"/>
        <v>15346.828920000011</v>
      </c>
      <c r="F770" s="23">
        <f t="shared" si="176"/>
        <v>253938.15156</v>
      </c>
      <c r="G770" s="23"/>
      <c r="H770" s="23"/>
      <c r="I770" s="23"/>
      <c r="J770" s="43"/>
      <c r="K770" s="43"/>
      <c r="L770" s="43"/>
      <c r="M770" s="43"/>
      <c r="N770" s="53"/>
      <c r="O770" s="43"/>
      <c r="P770" s="43"/>
      <c r="Q770" s="43"/>
      <c r="R770" s="43"/>
      <c r="S770" s="51"/>
    </row>
    <row r="771" spans="1:19" ht="18" customHeight="1" x14ac:dyDescent="0.25">
      <c r="A771" s="38"/>
      <c r="B771" s="66"/>
      <c r="C771" s="31" t="s">
        <v>0</v>
      </c>
      <c r="D771" s="27"/>
      <c r="E771" s="23"/>
      <c r="F771" s="23"/>
      <c r="G771" s="23"/>
      <c r="H771" s="23"/>
      <c r="I771" s="23"/>
      <c r="J771" s="43"/>
      <c r="K771" s="43"/>
      <c r="L771" s="43"/>
      <c r="M771" s="43"/>
      <c r="N771" s="53"/>
      <c r="O771" s="43"/>
      <c r="P771" s="43"/>
      <c r="Q771" s="43"/>
      <c r="R771" s="43"/>
      <c r="S771" s="51"/>
    </row>
    <row r="772" spans="1:19" ht="18" customHeight="1" x14ac:dyDescent="0.25">
      <c r="A772" s="38"/>
      <c r="B772" s="66"/>
      <c r="C772" s="31" t="s">
        <v>1</v>
      </c>
      <c r="D772" s="27">
        <f t="shared" ref="D772:D773" si="177">SUM(E772:I772)</f>
        <v>266545.68047999998</v>
      </c>
      <c r="E772" s="23">
        <f>134225.54-27863.02901-93754.98207</f>
        <v>12607.528920000012</v>
      </c>
      <c r="F772" s="23">
        <v>253938.15156</v>
      </c>
      <c r="G772" s="23"/>
      <c r="H772" s="23"/>
      <c r="I772" s="23"/>
      <c r="J772" s="43"/>
      <c r="K772" s="43"/>
      <c r="L772" s="43"/>
      <c r="M772" s="43"/>
      <c r="N772" s="53"/>
      <c r="O772" s="43"/>
      <c r="P772" s="43"/>
      <c r="Q772" s="43"/>
      <c r="R772" s="43"/>
      <c r="S772" s="51"/>
    </row>
    <row r="773" spans="1:19" ht="18" customHeight="1" x14ac:dyDescent="0.25">
      <c r="A773" s="38"/>
      <c r="B773" s="66"/>
      <c r="C773" s="31" t="s">
        <v>2</v>
      </c>
      <c r="D773" s="27">
        <f t="shared" si="177"/>
        <v>2739.3</v>
      </c>
      <c r="E773" s="23">
        <v>2739.3</v>
      </c>
      <c r="F773" s="23"/>
      <c r="G773" s="23"/>
      <c r="H773" s="23"/>
      <c r="I773" s="23"/>
      <c r="J773" s="43"/>
      <c r="K773" s="43"/>
      <c r="L773" s="43"/>
      <c r="M773" s="43"/>
      <c r="N773" s="53"/>
      <c r="O773" s="43"/>
      <c r="P773" s="43"/>
      <c r="Q773" s="43"/>
      <c r="R773" s="43"/>
      <c r="S773" s="51"/>
    </row>
    <row r="774" spans="1:19" ht="18" customHeight="1" x14ac:dyDescent="0.25">
      <c r="A774" s="38"/>
      <c r="B774" s="66"/>
      <c r="C774" s="31" t="s">
        <v>3</v>
      </c>
      <c r="D774" s="27"/>
      <c r="E774" s="23"/>
      <c r="F774" s="23"/>
      <c r="G774" s="23"/>
      <c r="H774" s="23"/>
      <c r="I774" s="23"/>
      <c r="J774" s="43"/>
      <c r="K774" s="43"/>
      <c r="L774" s="43"/>
      <c r="M774" s="43"/>
      <c r="N774" s="53"/>
      <c r="O774" s="43"/>
      <c r="P774" s="43"/>
      <c r="Q774" s="43"/>
      <c r="R774" s="43"/>
      <c r="S774" s="51"/>
    </row>
    <row r="775" spans="1:19" ht="18.75" customHeight="1" x14ac:dyDescent="0.25">
      <c r="A775" s="37" t="s">
        <v>78</v>
      </c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</row>
    <row r="776" spans="1:19" ht="21" customHeight="1" x14ac:dyDescent="0.25">
      <c r="A776" s="38"/>
      <c r="B776" s="48" t="s">
        <v>578</v>
      </c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</row>
    <row r="777" spans="1:19" ht="39.75" customHeight="1" x14ac:dyDescent="0.25">
      <c r="A777" s="38"/>
      <c r="B777" s="49" t="s">
        <v>277</v>
      </c>
      <c r="C777" s="50" t="s">
        <v>170</v>
      </c>
      <c r="D777" s="50"/>
      <c r="E777" s="50"/>
      <c r="F777" s="50"/>
      <c r="G777" s="50"/>
      <c r="H777" s="50"/>
      <c r="I777" s="50"/>
      <c r="J777" s="43" t="s">
        <v>15</v>
      </c>
      <c r="K777" s="43" t="s">
        <v>828</v>
      </c>
      <c r="L777" s="43" t="s">
        <v>381</v>
      </c>
      <c r="M777" s="43" t="s">
        <v>489</v>
      </c>
      <c r="N777" s="53" t="s">
        <v>841</v>
      </c>
      <c r="O777" s="43" t="s">
        <v>12</v>
      </c>
      <c r="P777" s="43" t="s">
        <v>18</v>
      </c>
      <c r="Q777" s="43" t="s">
        <v>44</v>
      </c>
      <c r="R777" s="43" t="s">
        <v>380</v>
      </c>
      <c r="S777" s="51"/>
    </row>
    <row r="778" spans="1:19" ht="18" customHeight="1" x14ac:dyDescent="0.25">
      <c r="A778" s="38"/>
      <c r="B778" s="49"/>
      <c r="C778" s="31" t="s">
        <v>6</v>
      </c>
      <c r="D778" s="27">
        <f t="shared" ref="D778:E778" si="178">SUM(D779:D782)</f>
        <v>45191.59895</v>
      </c>
      <c r="E778" s="23">
        <f t="shared" si="178"/>
        <v>45191.59895</v>
      </c>
      <c r="F778" s="23"/>
      <c r="G778" s="23"/>
      <c r="H778" s="23"/>
      <c r="I778" s="23"/>
      <c r="J778" s="43"/>
      <c r="K778" s="43"/>
      <c r="L778" s="43"/>
      <c r="M778" s="43"/>
      <c r="N778" s="53"/>
      <c r="O778" s="43"/>
      <c r="P778" s="43"/>
      <c r="Q778" s="43"/>
      <c r="R778" s="43"/>
      <c r="S778" s="51"/>
    </row>
    <row r="779" spans="1:19" ht="18" customHeight="1" x14ac:dyDescent="0.25">
      <c r="A779" s="38"/>
      <c r="B779" s="49"/>
      <c r="C779" s="31" t="s">
        <v>0</v>
      </c>
      <c r="D779" s="27"/>
      <c r="E779" s="23"/>
      <c r="F779" s="23"/>
      <c r="G779" s="23"/>
      <c r="H779" s="23"/>
      <c r="I779" s="23"/>
      <c r="J779" s="43"/>
      <c r="K779" s="43"/>
      <c r="L779" s="43"/>
      <c r="M779" s="43"/>
      <c r="N779" s="53"/>
      <c r="O779" s="43"/>
      <c r="P779" s="43"/>
      <c r="Q779" s="43"/>
      <c r="R779" s="43"/>
      <c r="S779" s="51"/>
    </row>
    <row r="780" spans="1:19" ht="18" customHeight="1" x14ac:dyDescent="0.25">
      <c r="A780" s="38"/>
      <c r="B780" s="49"/>
      <c r="C780" s="31" t="s">
        <v>1</v>
      </c>
      <c r="D780" s="27">
        <f t="shared" ref="D780:D781" si="179">SUM(E780:I780)</f>
        <v>44228.34895</v>
      </c>
      <c r="E780" s="23">
        <f>47199.4-2971.05105</f>
        <v>44228.34895</v>
      </c>
      <c r="F780" s="23"/>
      <c r="G780" s="23"/>
      <c r="H780" s="23"/>
      <c r="I780" s="23"/>
      <c r="J780" s="43"/>
      <c r="K780" s="43"/>
      <c r="L780" s="43"/>
      <c r="M780" s="43"/>
      <c r="N780" s="53"/>
      <c r="O780" s="43"/>
      <c r="P780" s="43"/>
      <c r="Q780" s="43"/>
      <c r="R780" s="43"/>
      <c r="S780" s="51"/>
    </row>
    <row r="781" spans="1:19" ht="18" customHeight="1" x14ac:dyDescent="0.25">
      <c r="A781" s="38"/>
      <c r="B781" s="49"/>
      <c r="C781" s="31" t="s">
        <v>2</v>
      </c>
      <c r="D781" s="27">
        <f t="shared" si="179"/>
        <v>963.25</v>
      </c>
      <c r="E781" s="23">
        <v>963.25</v>
      </c>
      <c r="F781" s="23"/>
      <c r="G781" s="23"/>
      <c r="H781" s="23"/>
      <c r="I781" s="23"/>
      <c r="J781" s="43"/>
      <c r="K781" s="43"/>
      <c r="L781" s="43"/>
      <c r="M781" s="43"/>
      <c r="N781" s="53"/>
      <c r="O781" s="43"/>
      <c r="P781" s="43"/>
      <c r="Q781" s="43"/>
      <c r="R781" s="43"/>
      <c r="S781" s="51"/>
    </row>
    <row r="782" spans="1:19" ht="18" customHeight="1" x14ac:dyDescent="0.25">
      <c r="A782" s="38"/>
      <c r="B782" s="49"/>
      <c r="C782" s="31" t="s">
        <v>3</v>
      </c>
      <c r="D782" s="27"/>
      <c r="E782" s="23"/>
      <c r="F782" s="23"/>
      <c r="G782" s="23"/>
      <c r="H782" s="23"/>
      <c r="I782" s="23"/>
      <c r="J782" s="43"/>
      <c r="K782" s="43"/>
      <c r="L782" s="43"/>
      <c r="M782" s="43"/>
      <c r="N782" s="53"/>
      <c r="O782" s="43"/>
      <c r="P782" s="43"/>
      <c r="Q782" s="43"/>
      <c r="R782" s="43"/>
      <c r="S782" s="51"/>
    </row>
    <row r="783" spans="1:19" ht="18.75" customHeight="1" x14ac:dyDescent="0.25">
      <c r="A783" s="37" t="s">
        <v>78</v>
      </c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</row>
    <row r="784" spans="1:19" ht="21" customHeight="1" x14ac:dyDescent="0.25">
      <c r="A784" s="38"/>
      <c r="B784" s="48" t="s">
        <v>578</v>
      </c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</row>
    <row r="785" spans="1:19" ht="37.5" customHeight="1" x14ac:dyDescent="0.25">
      <c r="A785" s="38"/>
      <c r="B785" s="49" t="s">
        <v>1058</v>
      </c>
      <c r="C785" s="50" t="s">
        <v>171</v>
      </c>
      <c r="D785" s="50"/>
      <c r="E785" s="50"/>
      <c r="F785" s="50"/>
      <c r="G785" s="50"/>
      <c r="H785" s="50"/>
      <c r="I785" s="50"/>
      <c r="J785" s="43" t="s">
        <v>15</v>
      </c>
      <c r="K785" s="43" t="s">
        <v>828</v>
      </c>
      <c r="L785" s="43" t="s">
        <v>382</v>
      </c>
      <c r="M785" s="43" t="s">
        <v>489</v>
      </c>
      <c r="N785" s="53" t="s">
        <v>842</v>
      </c>
      <c r="O785" s="43" t="s">
        <v>12</v>
      </c>
      <c r="P785" s="43" t="s">
        <v>18</v>
      </c>
      <c r="Q785" s="43" t="s">
        <v>44</v>
      </c>
      <c r="R785" s="43" t="s">
        <v>380</v>
      </c>
      <c r="S785" s="51"/>
    </row>
    <row r="786" spans="1:19" ht="18" customHeight="1" x14ac:dyDescent="0.25">
      <c r="A786" s="38"/>
      <c r="B786" s="49"/>
      <c r="C786" s="31" t="s">
        <v>6</v>
      </c>
      <c r="D786" s="27">
        <f t="shared" ref="D786:E786" si="180">SUM(D787:D790)</f>
        <v>34622.801640000005</v>
      </c>
      <c r="E786" s="23">
        <f t="shared" si="180"/>
        <v>34622.801640000005</v>
      </c>
      <c r="F786" s="23"/>
      <c r="G786" s="23"/>
      <c r="H786" s="23"/>
      <c r="I786" s="23"/>
      <c r="J786" s="43"/>
      <c r="K786" s="43"/>
      <c r="L786" s="43"/>
      <c r="M786" s="43"/>
      <c r="N786" s="53"/>
      <c r="O786" s="43"/>
      <c r="P786" s="43"/>
      <c r="Q786" s="43"/>
      <c r="R786" s="43"/>
      <c r="S786" s="51"/>
    </row>
    <row r="787" spans="1:19" ht="18" customHeight="1" x14ac:dyDescent="0.25">
      <c r="A787" s="38"/>
      <c r="B787" s="49"/>
      <c r="C787" s="31" t="s">
        <v>0</v>
      </c>
      <c r="D787" s="27"/>
      <c r="E787" s="23"/>
      <c r="F787" s="23"/>
      <c r="G787" s="23"/>
      <c r="H787" s="23"/>
      <c r="I787" s="23"/>
      <c r="J787" s="43"/>
      <c r="K787" s="43"/>
      <c r="L787" s="43"/>
      <c r="M787" s="43"/>
      <c r="N787" s="53"/>
      <c r="O787" s="43"/>
      <c r="P787" s="43"/>
      <c r="Q787" s="43"/>
      <c r="R787" s="43"/>
      <c r="S787" s="51"/>
    </row>
    <row r="788" spans="1:19" ht="18" customHeight="1" x14ac:dyDescent="0.25">
      <c r="A788" s="38"/>
      <c r="B788" s="49"/>
      <c r="C788" s="31" t="s">
        <v>1</v>
      </c>
      <c r="D788" s="27">
        <f t="shared" ref="D788:D789" si="181">SUM(E788:I788)</f>
        <v>34370.291640000003</v>
      </c>
      <c r="E788" s="23">
        <f>12372.9+21997.39164</f>
        <v>34370.291640000003</v>
      </c>
      <c r="F788" s="23"/>
      <c r="G788" s="23"/>
      <c r="H788" s="23"/>
      <c r="I788" s="23"/>
      <c r="J788" s="43"/>
      <c r="K788" s="43"/>
      <c r="L788" s="43"/>
      <c r="M788" s="43"/>
      <c r="N788" s="53"/>
      <c r="O788" s="43"/>
      <c r="P788" s="43"/>
      <c r="Q788" s="43"/>
      <c r="R788" s="43"/>
      <c r="S788" s="51"/>
    </row>
    <row r="789" spans="1:19" ht="18" customHeight="1" x14ac:dyDescent="0.25">
      <c r="A789" s="38"/>
      <c r="B789" s="49"/>
      <c r="C789" s="31" t="s">
        <v>2</v>
      </c>
      <c r="D789" s="27">
        <f t="shared" si="181"/>
        <v>252.51</v>
      </c>
      <c r="E789" s="23">
        <v>252.51</v>
      </c>
      <c r="F789" s="23"/>
      <c r="G789" s="23"/>
      <c r="H789" s="23"/>
      <c r="I789" s="23"/>
      <c r="J789" s="43"/>
      <c r="K789" s="43"/>
      <c r="L789" s="43"/>
      <c r="M789" s="43"/>
      <c r="N789" s="53"/>
      <c r="O789" s="43"/>
      <c r="P789" s="43"/>
      <c r="Q789" s="43"/>
      <c r="R789" s="43"/>
      <c r="S789" s="51"/>
    </row>
    <row r="790" spans="1:19" ht="18" customHeight="1" x14ac:dyDescent="0.25">
      <c r="A790" s="38"/>
      <c r="B790" s="49"/>
      <c r="C790" s="31" t="s">
        <v>3</v>
      </c>
      <c r="D790" s="27"/>
      <c r="E790" s="23"/>
      <c r="F790" s="23"/>
      <c r="G790" s="23"/>
      <c r="H790" s="23"/>
      <c r="I790" s="23"/>
      <c r="J790" s="43"/>
      <c r="K790" s="43"/>
      <c r="L790" s="43"/>
      <c r="M790" s="43"/>
      <c r="N790" s="53"/>
      <c r="O790" s="43"/>
      <c r="P790" s="43"/>
      <c r="Q790" s="43"/>
      <c r="R790" s="43"/>
      <c r="S790" s="51"/>
    </row>
    <row r="791" spans="1:19" ht="18.75" customHeight="1" x14ac:dyDescent="0.25">
      <c r="A791" s="37" t="s">
        <v>78</v>
      </c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</row>
    <row r="792" spans="1:19" ht="21" customHeight="1" x14ac:dyDescent="0.25">
      <c r="A792" s="38"/>
      <c r="B792" s="48" t="s">
        <v>578</v>
      </c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</row>
    <row r="793" spans="1:19" ht="37.5" customHeight="1" x14ac:dyDescent="0.25">
      <c r="A793" s="38"/>
      <c r="B793" s="49" t="s">
        <v>278</v>
      </c>
      <c r="C793" s="50" t="s">
        <v>172</v>
      </c>
      <c r="D793" s="50"/>
      <c r="E793" s="50"/>
      <c r="F793" s="50"/>
      <c r="G793" s="50"/>
      <c r="H793" s="50"/>
      <c r="I793" s="50"/>
      <c r="J793" s="43" t="s">
        <v>15</v>
      </c>
      <c r="K793" s="43" t="s">
        <v>828</v>
      </c>
      <c r="L793" s="43" t="s">
        <v>381</v>
      </c>
      <c r="M793" s="43" t="s">
        <v>489</v>
      </c>
      <c r="N793" s="53" t="s">
        <v>843</v>
      </c>
      <c r="O793" s="43" t="s">
        <v>12</v>
      </c>
      <c r="P793" s="43" t="s">
        <v>18</v>
      </c>
      <c r="Q793" s="43" t="s">
        <v>44</v>
      </c>
      <c r="R793" s="43" t="s">
        <v>380</v>
      </c>
      <c r="S793" s="51"/>
    </row>
    <row r="794" spans="1:19" ht="18" customHeight="1" x14ac:dyDescent="0.25">
      <c r="A794" s="38"/>
      <c r="B794" s="49"/>
      <c r="C794" s="31" t="s">
        <v>6</v>
      </c>
      <c r="D794" s="27">
        <f t="shared" ref="D794:E794" si="182">SUM(D795:D798)</f>
        <v>38495.59261</v>
      </c>
      <c r="E794" s="23">
        <f t="shared" si="182"/>
        <v>38495.59261</v>
      </c>
      <c r="F794" s="23"/>
      <c r="G794" s="23"/>
      <c r="H794" s="23"/>
      <c r="I794" s="23"/>
      <c r="J794" s="43"/>
      <c r="K794" s="43"/>
      <c r="L794" s="43"/>
      <c r="M794" s="43"/>
      <c r="N794" s="53"/>
      <c r="O794" s="43"/>
      <c r="P794" s="43"/>
      <c r="Q794" s="43"/>
      <c r="R794" s="43"/>
      <c r="S794" s="51"/>
    </row>
    <row r="795" spans="1:19" ht="18" customHeight="1" x14ac:dyDescent="0.25">
      <c r="A795" s="38"/>
      <c r="B795" s="49"/>
      <c r="C795" s="31" t="s">
        <v>0</v>
      </c>
      <c r="D795" s="27"/>
      <c r="E795" s="23"/>
      <c r="F795" s="23"/>
      <c r="G795" s="23"/>
      <c r="H795" s="23"/>
      <c r="I795" s="23"/>
      <c r="J795" s="43"/>
      <c r="K795" s="43"/>
      <c r="L795" s="43"/>
      <c r="M795" s="43"/>
      <c r="N795" s="53"/>
      <c r="O795" s="43"/>
      <c r="P795" s="43"/>
      <c r="Q795" s="43"/>
      <c r="R795" s="43"/>
      <c r="S795" s="51"/>
    </row>
    <row r="796" spans="1:19" ht="18" customHeight="1" x14ac:dyDescent="0.25">
      <c r="A796" s="38"/>
      <c r="B796" s="49"/>
      <c r="C796" s="31" t="s">
        <v>1</v>
      </c>
      <c r="D796" s="27">
        <f t="shared" ref="D796:D797" si="183">SUM(E796:I796)</f>
        <v>37607.84261</v>
      </c>
      <c r="E796" s="23">
        <f>43499.6+8560.006-14451.76339</f>
        <v>37607.84261</v>
      </c>
      <c r="F796" s="23"/>
      <c r="G796" s="23"/>
      <c r="H796" s="23"/>
      <c r="I796" s="23"/>
      <c r="J796" s="43"/>
      <c r="K796" s="43"/>
      <c r="L796" s="43"/>
      <c r="M796" s="43"/>
      <c r="N796" s="53"/>
      <c r="O796" s="43"/>
      <c r="P796" s="43"/>
      <c r="Q796" s="43"/>
      <c r="R796" s="43"/>
      <c r="S796" s="51"/>
    </row>
    <row r="797" spans="1:19" ht="18" customHeight="1" x14ac:dyDescent="0.25">
      <c r="A797" s="38"/>
      <c r="B797" s="49"/>
      <c r="C797" s="31" t="s">
        <v>2</v>
      </c>
      <c r="D797" s="27">
        <f t="shared" si="183"/>
        <v>887.75</v>
      </c>
      <c r="E797" s="23">
        <v>887.75</v>
      </c>
      <c r="F797" s="23"/>
      <c r="G797" s="23"/>
      <c r="H797" s="23"/>
      <c r="I797" s="23"/>
      <c r="J797" s="43"/>
      <c r="K797" s="43"/>
      <c r="L797" s="43"/>
      <c r="M797" s="43"/>
      <c r="N797" s="53"/>
      <c r="O797" s="43"/>
      <c r="P797" s="43"/>
      <c r="Q797" s="43"/>
      <c r="R797" s="43"/>
      <c r="S797" s="51"/>
    </row>
    <row r="798" spans="1:19" ht="18" customHeight="1" x14ac:dyDescent="0.25">
      <c r="A798" s="38"/>
      <c r="B798" s="49"/>
      <c r="C798" s="31" t="s">
        <v>3</v>
      </c>
      <c r="D798" s="27"/>
      <c r="E798" s="23"/>
      <c r="F798" s="23"/>
      <c r="G798" s="23"/>
      <c r="H798" s="23"/>
      <c r="I798" s="23"/>
      <c r="J798" s="43"/>
      <c r="K798" s="43"/>
      <c r="L798" s="43"/>
      <c r="M798" s="43"/>
      <c r="N798" s="53"/>
      <c r="O798" s="43"/>
      <c r="P798" s="43"/>
      <c r="Q798" s="43"/>
      <c r="R798" s="43"/>
      <c r="S798" s="51"/>
    </row>
    <row r="799" spans="1:19" ht="18.75" customHeight="1" x14ac:dyDescent="0.25">
      <c r="A799" s="37" t="s">
        <v>78</v>
      </c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</row>
    <row r="800" spans="1:19" ht="21" customHeight="1" x14ac:dyDescent="0.25">
      <c r="A800" s="38"/>
      <c r="B800" s="48" t="s">
        <v>578</v>
      </c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</row>
    <row r="801" spans="1:19" ht="32.25" customHeight="1" x14ac:dyDescent="0.25">
      <c r="A801" s="38"/>
      <c r="B801" s="49" t="s">
        <v>279</v>
      </c>
      <c r="C801" s="50" t="s">
        <v>173</v>
      </c>
      <c r="D801" s="50"/>
      <c r="E801" s="50"/>
      <c r="F801" s="50"/>
      <c r="G801" s="50"/>
      <c r="H801" s="50"/>
      <c r="I801" s="50"/>
      <c r="J801" s="43" t="s">
        <v>15</v>
      </c>
      <c r="K801" s="43" t="s">
        <v>828</v>
      </c>
      <c r="L801" s="43" t="s">
        <v>381</v>
      </c>
      <c r="M801" s="43" t="s">
        <v>489</v>
      </c>
      <c r="N801" s="53" t="s">
        <v>844</v>
      </c>
      <c r="O801" s="43" t="s">
        <v>12</v>
      </c>
      <c r="P801" s="43" t="s">
        <v>18</v>
      </c>
      <c r="Q801" s="43" t="s">
        <v>44</v>
      </c>
      <c r="R801" s="43" t="s">
        <v>380</v>
      </c>
      <c r="S801" s="51"/>
    </row>
    <row r="802" spans="1:19" ht="15.75" x14ac:dyDescent="0.25">
      <c r="A802" s="38"/>
      <c r="B802" s="49"/>
      <c r="C802" s="31" t="s">
        <v>6</v>
      </c>
      <c r="D802" s="27">
        <f t="shared" ref="D802:E802" si="184">SUM(D803:D806)</f>
        <v>30986.496709999999</v>
      </c>
      <c r="E802" s="23">
        <f t="shared" si="184"/>
        <v>30986.496709999999</v>
      </c>
      <c r="F802" s="23"/>
      <c r="G802" s="23"/>
      <c r="H802" s="23"/>
      <c r="I802" s="23"/>
      <c r="J802" s="43"/>
      <c r="K802" s="43"/>
      <c r="L802" s="43"/>
      <c r="M802" s="43"/>
      <c r="N802" s="53"/>
      <c r="O802" s="43"/>
      <c r="P802" s="43"/>
      <c r="Q802" s="43"/>
      <c r="R802" s="43"/>
      <c r="S802" s="51"/>
    </row>
    <row r="803" spans="1:19" ht="15.75" x14ac:dyDescent="0.25">
      <c r="A803" s="38"/>
      <c r="B803" s="49"/>
      <c r="C803" s="31" t="s">
        <v>0</v>
      </c>
      <c r="D803" s="27"/>
      <c r="E803" s="23"/>
      <c r="F803" s="23"/>
      <c r="G803" s="23"/>
      <c r="H803" s="23"/>
      <c r="I803" s="23"/>
      <c r="J803" s="43"/>
      <c r="K803" s="43"/>
      <c r="L803" s="43"/>
      <c r="M803" s="43"/>
      <c r="N803" s="53"/>
      <c r="O803" s="43"/>
      <c r="P803" s="43"/>
      <c r="Q803" s="43"/>
      <c r="R803" s="43"/>
      <c r="S803" s="51"/>
    </row>
    <row r="804" spans="1:19" ht="15.75" x14ac:dyDescent="0.25">
      <c r="A804" s="38"/>
      <c r="B804" s="49"/>
      <c r="C804" s="31" t="s">
        <v>1</v>
      </c>
      <c r="D804" s="27">
        <f t="shared" ref="D804:D805" si="185">SUM(E804:I804)</f>
        <v>30125.35671</v>
      </c>
      <c r="E804" s="23">
        <f>42195.8+276.68242-12347.12571</f>
        <v>30125.35671</v>
      </c>
      <c r="F804" s="23"/>
      <c r="G804" s="23"/>
      <c r="H804" s="23"/>
      <c r="I804" s="23"/>
      <c r="J804" s="43"/>
      <c r="K804" s="43"/>
      <c r="L804" s="43"/>
      <c r="M804" s="43"/>
      <c r="N804" s="53"/>
      <c r="O804" s="43"/>
      <c r="P804" s="43"/>
      <c r="Q804" s="43"/>
      <c r="R804" s="43"/>
      <c r="S804" s="51"/>
    </row>
    <row r="805" spans="1:19" ht="15.75" x14ac:dyDescent="0.25">
      <c r="A805" s="38"/>
      <c r="B805" s="49"/>
      <c r="C805" s="31" t="s">
        <v>2</v>
      </c>
      <c r="D805" s="27">
        <f t="shared" si="185"/>
        <v>861.14</v>
      </c>
      <c r="E805" s="23">
        <v>861.14</v>
      </c>
      <c r="F805" s="23"/>
      <c r="G805" s="23"/>
      <c r="H805" s="23"/>
      <c r="I805" s="23"/>
      <c r="J805" s="43"/>
      <c r="K805" s="43"/>
      <c r="L805" s="43"/>
      <c r="M805" s="43"/>
      <c r="N805" s="53"/>
      <c r="O805" s="43"/>
      <c r="P805" s="43"/>
      <c r="Q805" s="43"/>
      <c r="R805" s="43"/>
      <c r="S805" s="51"/>
    </row>
    <row r="806" spans="1:19" ht="15.75" x14ac:dyDescent="0.25">
      <c r="A806" s="38"/>
      <c r="B806" s="49"/>
      <c r="C806" s="31" t="s">
        <v>3</v>
      </c>
      <c r="D806" s="27"/>
      <c r="E806" s="23"/>
      <c r="F806" s="23"/>
      <c r="G806" s="23"/>
      <c r="H806" s="23"/>
      <c r="I806" s="23"/>
      <c r="J806" s="43"/>
      <c r="K806" s="43"/>
      <c r="L806" s="43"/>
      <c r="M806" s="43"/>
      <c r="N806" s="53"/>
      <c r="O806" s="43"/>
      <c r="P806" s="43"/>
      <c r="Q806" s="43"/>
      <c r="R806" s="43"/>
      <c r="S806" s="51"/>
    </row>
    <row r="807" spans="1:19" ht="18.75" customHeight="1" x14ac:dyDescent="0.25">
      <c r="A807" s="37" t="s">
        <v>78</v>
      </c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</row>
    <row r="808" spans="1:19" ht="21" customHeight="1" x14ac:dyDescent="0.25">
      <c r="A808" s="38"/>
      <c r="B808" s="48" t="s">
        <v>578</v>
      </c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</row>
    <row r="809" spans="1:19" ht="39" customHeight="1" x14ac:dyDescent="0.25">
      <c r="A809" s="38"/>
      <c r="B809" s="49" t="s">
        <v>280</v>
      </c>
      <c r="C809" s="41" t="s">
        <v>946</v>
      </c>
      <c r="D809" s="41"/>
      <c r="E809" s="41"/>
      <c r="F809" s="41"/>
      <c r="G809" s="41"/>
      <c r="H809" s="41"/>
      <c r="I809" s="41"/>
      <c r="J809" s="43" t="s">
        <v>15</v>
      </c>
      <c r="K809" s="43" t="s">
        <v>828</v>
      </c>
      <c r="L809" s="43" t="s">
        <v>784</v>
      </c>
      <c r="M809" s="43" t="s">
        <v>648</v>
      </c>
      <c r="N809" s="53" t="s">
        <v>785</v>
      </c>
      <c r="O809" s="43" t="s">
        <v>12</v>
      </c>
      <c r="P809" s="43" t="s">
        <v>4</v>
      </c>
      <c r="Q809" s="43" t="s">
        <v>44</v>
      </c>
      <c r="R809" s="43"/>
      <c r="S809" s="51"/>
    </row>
    <row r="810" spans="1:19" ht="18" customHeight="1" x14ac:dyDescent="0.25">
      <c r="A810" s="38"/>
      <c r="B810" s="49"/>
      <c r="C810" s="31" t="s">
        <v>6</v>
      </c>
      <c r="D810" s="27">
        <f t="shared" ref="D810:E810" si="186">SUM(D811:D814)</f>
        <v>24131.833899999998</v>
      </c>
      <c r="E810" s="23">
        <f t="shared" si="186"/>
        <v>24131.833899999998</v>
      </c>
      <c r="F810" s="23"/>
      <c r="G810" s="23"/>
      <c r="H810" s="23"/>
      <c r="I810" s="23"/>
      <c r="J810" s="43"/>
      <c r="K810" s="43"/>
      <c r="L810" s="43"/>
      <c r="M810" s="43"/>
      <c r="N810" s="53"/>
      <c r="O810" s="43"/>
      <c r="P810" s="43"/>
      <c r="Q810" s="43"/>
      <c r="R810" s="43"/>
      <c r="S810" s="51"/>
    </row>
    <row r="811" spans="1:19" ht="18" customHeight="1" x14ac:dyDescent="0.25">
      <c r="A811" s="38"/>
      <c r="B811" s="49"/>
      <c r="C811" s="31" t="s">
        <v>0</v>
      </c>
      <c r="D811" s="27"/>
      <c r="E811" s="23"/>
      <c r="F811" s="23"/>
      <c r="G811" s="23"/>
      <c r="H811" s="23"/>
      <c r="I811" s="23"/>
      <c r="J811" s="43"/>
      <c r="K811" s="43"/>
      <c r="L811" s="43"/>
      <c r="M811" s="43"/>
      <c r="N811" s="53"/>
      <c r="O811" s="43"/>
      <c r="P811" s="43"/>
      <c r="Q811" s="43"/>
      <c r="R811" s="43"/>
      <c r="S811" s="51"/>
    </row>
    <row r="812" spans="1:19" ht="18" customHeight="1" x14ac:dyDescent="0.25">
      <c r="A812" s="38"/>
      <c r="B812" s="49"/>
      <c r="C812" s="31" t="s">
        <v>1</v>
      </c>
      <c r="D812" s="27">
        <f t="shared" ref="D812" si="187">SUM(E812:I812)</f>
        <v>23849.193899999998</v>
      </c>
      <c r="E812" s="23">
        <f>13849.1939+10000</f>
        <v>23849.193899999998</v>
      </c>
      <c r="F812" s="23"/>
      <c r="G812" s="23"/>
      <c r="H812" s="23"/>
      <c r="I812" s="23"/>
      <c r="J812" s="43"/>
      <c r="K812" s="43"/>
      <c r="L812" s="43"/>
      <c r="M812" s="43"/>
      <c r="N812" s="53"/>
      <c r="O812" s="43"/>
      <c r="P812" s="43"/>
      <c r="Q812" s="43"/>
      <c r="R812" s="43"/>
      <c r="S812" s="51"/>
    </row>
    <row r="813" spans="1:19" ht="18" customHeight="1" x14ac:dyDescent="0.25">
      <c r="A813" s="38"/>
      <c r="B813" s="49"/>
      <c r="C813" s="31" t="s">
        <v>2</v>
      </c>
      <c r="D813" s="27">
        <f>E813</f>
        <v>282.64</v>
      </c>
      <c r="E813" s="23">
        <v>282.64</v>
      </c>
      <c r="F813" s="23"/>
      <c r="G813" s="23"/>
      <c r="H813" s="23"/>
      <c r="I813" s="23"/>
      <c r="J813" s="43"/>
      <c r="K813" s="43"/>
      <c r="L813" s="43"/>
      <c r="M813" s="43"/>
      <c r="N813" s="53"/>
      <c r="O813" s="43"/>
      <c r="P813" s="43"/>
      <c r="Q813" s="43"/>
      <c r="R813" s="43"/>
      <c r="S813" s="51"/>
    </row>
    <row r="814" spans="1:19" ht="18" customHeight="1" x14ac:dyDescent="0.25">
      <c r="A814" s="38"/>
      <c r="B814" s="49"/>
      <c r="C814" s="31" t="s">
        <v>3</v>
      </c>
      <c r="D814" s="27"/>
      <c r="E814" s="23"/>
      <c r="F814" s="23"/>
      <c r="G814" s="23"/>
      <c r="H814" s="23"/>
      <c r="I814" s="23"/>
      <c r="J814" s="43"/>
      <c r="K814" s="43"/>
      <c r="L814" s="43"/>
      <c r="M814" s="43"/>
      <c r="N814" s="53"/>
      <c r="O814" s="43"/>
      <c r="P814" s="43"/>
      <c r="Q814" s="43"/>
      <c r="R814" s="43"/>
      <c r="S814" s="51"/>
    </row>
    <row r="815" spans="1:19" ht="18.75" customHeight="1" x14ac:dyDescent="0.25">
      <c r="A815" s="37" t="s">
        <v>78</v>
      </c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</row>
    <row r="816" spans="1:19" ht="21" customHeight="1" x14ac:dyDescent="0.25">
      <c r="A816" s="38"/>
      <c r="B816" s="48" t="s">
        <v>578</v>
      </c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</row>
    <row r="817" spans="1:19" ht="18.75" customHeight="1" x14ac:dyDescent="0.25">
      <c r="A817" s="38"/>
      <c r="B817" s="49" t="s">
        <v>281</v>
      </c>
      <c r="C817" s="50" t="s">
        <v>307</v>
      </c>
      <c r="D817" s="50"/>
      <c r="E817" s="50"/>
      <c r="F817" s="50"/>
      <c r="G817" s="50"/>
      <c r="H817" s="50"/>
      <c r="I817" s="50"/>
      <c r="J817" s="43" t="s">
        <v>11</v>
      </c>
      <c r="K817" s="43" t="s">
        <v>828</v>
      </c>
      <c r="L817" s="43" t="s">
        <v>383</v>
      </c>
      <c r="M817" s="43" t="s">
        <v>644</v>
      </c>
      <c r="N817" s="53" t="s">
        <v>492</v>
      </c>
      <c r="O817" s="43" t="s">
        <v>12</v>
      </c>
      <c r="P817" s="43" t="s">
        <v>22</v>
      </c>
      <c r="Q817" s="43" t="s">
        <v>44</v>
      </c>
      <c r="R817" s="43" t="s">
        <v>384</v>
      </c>
      <c r="S817" s="51" t="s">
        <v>361</v>
      </c>
    </row>
    <row r="818" spans="1:19" ht="15.75" x14ac:dyDescent="0.25">
      <c r="A818" s="38"/>
      <c r="B818" s="49"/>
      <c r="C818" s="31" t="s">
        <v>6</v>
      </c>
      <c r="D818" s="27">
        <f t="shared" ref="D818:E818" si="188">SUM(D819:D822)</f>
        <v>3991.61</v>
      </c>
      <c r="E818" s="23">
        <f t="shared" si="188"/>
        <v>3991.61</v>
      </c>
      <c r="F818" s="23"/>
      <c r="G818" s="23"/>
      <c r="H818" s="23"/>
      <c r="I818" s="23"/>
      <c r="J818" s="43"/>
      <c r="K818" s="43"/>
      <c r="L818" s="43"/>
      <c r="M818" s="43"/>
      <c r="N818" s="53"/>
      <c r="O818" s="43"/>
      <c r="P818" s="43"/>
      <c r="Q818" s="43"/>
      <c r="R818" s="43"/>
      <c r="S818" s="51"/>
    </row>
    <row r="819" spans="1:19" ht="15.75" x14ac:dyDescent="0.25">
      <c r="A819" s="38"/>
      <c r="B819" s="49"/>
      <c r="C819" s="31" t="s">
        <v>0</v>
      </c>
      <c r="D819" s="27"/>
      <c r="E819" s="23"/>
      <c r="F819" s="23"/>
      <c r="G819" s="23"/>
      <c r="H819" s="23"/>
      <c r="I819" s="23"/>
      <c r="J819" s="43"/>
      <c r="K819" s="43"/>
      <c r="L819" s="43"/>
      <c r="M819" s="43"/>
      <c r="N819" s="53"/>
      <c r="O819" s="43"/>
      <c r="P819" s="43"/>
      <c r="Q819" s="43"/>
      <c r="R819" s="43"/>
      <c r="S819" s="51"/>
    </row>
    <row r="820" spans="1:19" ht="15.75" x14ac:dyDescent="0.25">
      <c r="A820" s="38"/>
      <c r="B820" s="49"/>
      <c r="C820" s="31" t="s">
        <v>1</v>
      </c>
      <c r="D820" s="27">
        <f t="shared" ref="D820:D821" si="189">SUM(E820:I820)</f>
        <v>3895.5</v>
      </c>
      <c r="E820" s="23">
        <f>4709.34-813.84</f>
        <v>3895.5</v>
      </c>
      <c r="F820" s="23"/>
      <c r="G820" s="23"/>
      <c r="H820" s="23"/>
      <c r="I820" s="23"/>
      <c r="J820" s="43"/>
      <c r="K820" s="43"/>
      <c r="L820" s="43"/>
      <c r="M820" s="43"/>
      <c r="N820" s="53"/>
      <c r="O820" s="43"/>
      <c r="P820" s="43"/>
      <c r="Q820" s="43"/>
      <c r="R820" s="43"/>
      <c r="S820" s="51"/>
    </row>
    <row r="821" spans="1:19" ht="15.75" x14ac:dyDescent="0.25">
      <c r="A821" s="38"/>
      <c r="B821" s="49"/>
      <c r="C821" s="31" t="s">
        <v>2</v>
      </c>
      <c r="D821" s="27">
        <f t="shared" si="189"/>
        <v>96.11</v>
      </c>
      <c r="E821" s="23">
        <v>96.11</v>
      </c>
      <c r="F821" s="23"/>
      <c r="G821" s="23"/>
      <c r="H821" s="23"/>
      <c r="I821" s="23"/>
      <c r="J821" s="43"/>
      <c r="K821" s="43"/>
      <c r="L821" s="43"/>
      <c r="M821" s="43"/>
      <c r="N821" s="53"/>
      <c r="O821" s="43"/>
      <c r="P821" s="43"/>
      <c r="Q821" s="43"/>
      <c r="R821" s="43"/>
      <c r="S821" s="51"/>
    </row>
    <row r="822" spans="1:19" ht="15.75" x14ac:dyDescent="0.25">
      <c r="A822" s="38"/>
      <c r="B822" s="49"/>
      <c r="C822" s="31" t="s">
        <v>3</v>
      </c>
      <c r="D822" s="27"/>
      <c r="E822" s="23"/>
      <c r="F822" s="23"/>
      <c r="G822" s="23"/>
      <c r="H822" s="23"/>
      <c r="I822" s="23"/>
      <c r="J822" s="43"/>
      <c r="K822" s="43"/>
      <c r="L822" s="43"/>
      <c r="M822" s="43"/>
      <c r="N822" s="53"/>
      <c r="O822" s="43"/>
      <c r="P822" s="43"/>
      <c r="Q822" s="43"/>
      <c r="R822" s="43"/>
      <c r="S822" s="51"/>
    </row>
    <row r="823" spans="1:19" ht="18.75" customHeight="1" x14ac:dyDescent="0.25">
      <c r="A823" s="37" t="s">
        <v>78</v>
      </c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</row>
    <row r="824" spans="1:19" ht="20.25" customHeight="1" x14ac:dyDescent="0.25">
      <c r="A824" s="38"/>
      <c r="B824" s="48" t="s">
        <v>577</v>
      </c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</row>
    <row r="825" spans="1:19" ht="33.75" customHeight="1" x14ac:dyDescent="0.25">
      <c r="A825" s="38"/>
      <c r="B825" s="71" t="s">
        <v>282</v>
      </c>
      <c r="C825" s="50" t="s">
        <v>103</v>
      </c>
      <c r="D825" s="50"/>
      <c r="E825" s="50"/>
      <c r="F825" s="50"/>
      <c r="G825" s="50"/>
      <c r="H825" s="50"/>
      <c r="I825" s="50"/>
      <c r="J825" s="43" t="s">
        <v>15</v>
      </c>
      <c r="K825" s="43" t="s">
        <v>828</v>
      </c>
      <c r="L825" s="43" t="s">
        <v>82</v>
      </c>
      <c r="M825" s="43" t="s">
        <v>484</v>
      </c>
      <c r="N825" s="53" t="s">
        <v>786</v>
      </c>
      <c r="O825" s="43" t="s">
        <v>12</v>
      </c>
      <c r="P825" s="43" t="s">
        <v>47</v>
      </c>
      <c r="Q825" s="43" t="s">
        <v>44</v>
      </c>
      <c r="R825" s="43" t="s">
        <v>385</v>
      </c>
      <c r="S825" s="51"/>
    </row>
    <row r="826" spans="1:19" ht="18" customHeight="1" x14ac:dyDescent="0.25">
      <c r="A826" s="38"/>
      <c r="B826" s="71"/>
      <c r="C826" s="31" t="s">
        <v>6</v>
      </c>
      <c r="D826" s="27">
        <f t="shared" ref="D826:E826" si="190">SUM(D827:D830)</f>
        <v>5022.8869999999988</v>
      </c>
      <c r="E826" s="23">
        <f t="shared" si="190"/>
        <v>5022.8869999999988</v>
      </c>
      <c r="F826" s="23"/>
      <c r="G826" s="23"/>
      <c r="H826" s="23"/>
      <c r="I826" s="23"/>
      <c r="J826" s="43"/>
      <c r="K826" s="43"/>
      <c r="L826" s="43"/>
      <c r="M826" s="43"/>
      <c r="N826" s="53"/>
      <c r="O826" s="43"/>
      <c r="P826" s="43"/>
      <c r="Q826" s="43"/>
      <c r="R826" s="43"/>
      <c r="S826" s="51"/>
    </row>
    <row r="827" spans="1:19" ht="18" customHeight="1" x14ac:dyDescent="0.25">
      <c r="A827" s="38"/>
      <c r="B827" s="71"/>
      <c r="C827" s="31" t="s">
        <v>0</v>
      </c>
      <c r="D827" s="27"/>
      <c r="E827" s="23"/>
      <c r="F827" s="23"/>
      <c r="G827" s="23"/>
      <c r="H827" s="23"/>
      <c r="I827" s="23"/>
      <c r="J827" s="43"/>
      <c r="K827" s="43"/>
      <c r="L827" s="43"/>
      <c r="M827" s="43"/>
      <c r="N827" s="53"/>
      <c r="O827" s="43"/>
      <c r="P827" s="43"/>
      <c r="Q827" s="43"/>
      <c r="R827" s="43"/>
      <c r="S827" s="51"/>
    </row>
    <row r="828" spans="1:19" ht="18" customHeight="1" x14ac:dyDescent="0.25">
      <c r="A828" s="38"/>
      <c r="B828" s="71"/>
      <c r="C828" s="31" t="s">
        <v>1</v>
      </c>
      <c r="D828" s="27">
        <f t="shared" ref="D828:D829" si="191">SUM(E828:I828)</f>
        <v>4197.976999999999</v>
      </c>
      <c r="E828" s="23">
        <f>40420.6-20122.623-16100</f>
        <v>4197.976999999999</v>
      </c>
      <c r="F828" s="23"/>
      <c r="G828" s="23"/>
      <c r="H828" s="23"/>
      <c r="I828" s="23"/>
      <c r="J828" s="43"/>
      <c r="K828" s="43"/>
      <c r="L828" s="43"/>
      <c r="M828" s="43"/>
      <c r="N828" s="53"/>
      <c r="O828" s="43"/>
      <c r="P828" s="43"/>
      <c r="Q828" s="43"/>
      <c r="R828" s="43"/>
      <c r="S828" s="51"/>
    </row>
    <row r="829" spans="1:19" ht="18" customHeight="1" x14ac:dyDescent="0.25">
      <c r="A829" s="38"/>
      <c r="B829" s="71"/>
      <c r="C829" s="31" t="s">
        <v>2</v>
      </c>
      <c r="D829" s="27">
        <f t="shared" si="191"/>
        <v>824.91</v>
      </c>
      <c r="E829" s="23">
        <v>824.91</v>
      </c>
      <c r="F829" s="23"/>
      <c r="G829" s="23"/>
      <c r="H829" s="23"/>
      <c r="I829" s="23"/>
      <c r="J829" s="43"/>
      <c r="K829" s="43"/>
      <c r="L829" s="43"/>
      <c r="M829" s="43"/>
      <c r="N829" s="53"/>
      <c r="O829" s="43"/>
      <c r="P829" s="43"/>
      <c r="Q829" s="43"/>
      <c r="R829" s="43"/>
      <c r="S829" s="51"/>
    </row>
    <row r="830" spans="1:19" ht="18" customHeight="1" x14ac:dyDescent="0.25">
      <c r="A830" s="38"/>
      <c r="B830" s="71"/>
      <c r="C830" s="31" t="s">
        <v>3</v>
      </c>
      <c r="D830" s="27"/>
      <c r="E830" s="23"/>
      <c r="F830" s="23"/>
      <c r="G830" s="23"/>
      <c r="H830" s="23"/>
      <c r="I830" s="23"/>
      <c r="J830" s="43"/>
      <c r="K830" s="43"/>
      <c r="L830" s="43"/>
      <c r="M830" s="43"/>
      <c r="N830" s="53"/>
      <c r="O830" s="43"/>
      <c r="P830" s="43"/>
      <c r="Q830" s="43"/>
      <c r="R830" s="43"/>
      <c r="S830" s="51"/>
    </row>
    <row r="831" spans="1:19" ht="18.75" customHeight="1" x14ac:dyDescent="0.25">
      <c r="A831" s="37" t="s">
        <v>845</v>
      </c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</row>
    <row r="832" spans="1:19" ht="21" customHeight="1" x14ac:dyDescent="0.25">
      <c r="A832" s="38"/>
      <c r="B832" s="48" t="s">
        <v>577</v>
      </c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</row>
    <row r="833" spans="1:19" ht="37.5" customHeight="1" x14ac:dyDescent="0.25">
      <c r="A833" s="38"/>
      <c r="B833" s="49" t="s">
        <v>283</v>
      </c>
      <c r="C833" s="50" t="s">
        <v>868</v>
      </c>
      <c r="D833" s="50"/>
      <c r="E833" s="50"/>
      <c r="F833" s="50"/>
      <c r="G833" s="50"/>
      <c r="H833" s="50"/>
      <c r="I833" s="50"/>
      <c r="J833" s="43" t="s">
        <v>15</v>
      </c>
      <c r="K833" s="43" t="s">
        <v>829</v>
      </c>
      <c r="L833" s="43" t="s">
        <v>83</v>
      </c>
      <c r="M833" s="43" t="s">
        <v>867</v>
      </c>
      <c r="N833" s="53"/>
      <c r="O833" s="43" t="s">
        <v>17</v>
      </c>
      <c r="P833" s="43" t="s">
        <v>4</v>
      </c>
      <c r="Q833" s="43" t="s">
        <v>44</v>
      </c>
      <c r="R833" s="43"/>
      <c r="S833" s="51" t="s">
        <v>764</v>
      </c>
    </row>
    <row r="834" spans="1:19" ht="18" customHeight="1" x14ac:dyDescent="0.25">
      <c r="A834" s="38"/>
      <c r="B834" s="49"/>
      <c r="C834" s="31" t="s">
        <v>6</v>
      </c>
      <c r="D834" s="27">
        <f t="shared" ref="D834:E834" si="192">SUM(D835:D838)</f>
        <v>42000</v>
      </c>
      <c r="E834" s="23">
        <f t="shared" si="192"/>
        <v>42000</v>
      </c>
      <c r="F834" s="23"/>
      <c r="G834" s="23"/>
      <c r="H834" s="23"/>
      <c r="I834" s="23"/>
      <c r="J834" s="43"/>
      <c r="K834" s="43"/>
      <c r="L834" s="43"/>
      <c r="M834" s="43"/>
      <c r="N834" s="53"/>
      <c r="O834" s="43"/>
      <c r="P834" s="43"/>
      <c r="Q834" s="43"/>
      <c r="R834" s="43"/>
      <c r="S834" s="51"/>
    </row>
    <row r="835" spans="1:19" ht="18" customHeight="1" x14ac:dyDescent="0.25">
      <c r="A835" s="38"/>
      <c r="B835" s="49"/>
      <c r="C835" s="31" t="s">
        <v>0</v>
      </c>
      <c r="D835" s="27"/>
      <c r="E835" s="23"/>
      <c r="F835" s="23"/>
      <c r="G835" s="23"/>
      <c r="H835" s="23"/>
      <c r="I835" s="23"/>
      <c r="J835" s="43"/>
      <c r="K835" s="43"/>
      <c r="L835" s="43"/>
      <c r="M835" s="43"/>
      <c r="N835" s="53"/>
      <c r="O835" s="43"/>
      <c r="P835" s="43"/>
      <c r="Q835" s="43"/>
      <c r="R835" s="43"/>
      <c r="S835" s="51"/>
    </row>
    <row r="836" spans="1:19" ht="18" customHeight="1" x14ac:dyDescent="0.25">
      <c r="A836" s="38"/>
      <c r="B836" s="49"/>
      <c r="C836" s="31" t="s">
        <v>1</v>
      </c>
      <c r="D836" s="27">
        <f t="shared" ref="D836" si="193">SUM(E836:I836)</f>
        <v>42000</v>
      </c>
      <c r="E836" s="23">
        <v>42000</v>
      </c>
      <c r="F836" s="23"/>
      <c r="G836" s="23"/>
      <c r="H836" s="23"/>
      <c r="I836" s="23"/>
      <c r="J836" s="43"/>
      <c r="K836" s="43"/>
      <c r="L836" s="43"/>
      <c r="M836" s="43"/>
      <c r="N836" s="53"/>
      <c r="O836" s="43"/>
      <c r="P836" s="43"/>
      <c r="Q836" s="43"/>
      <c r="R836" s="43"/>
      <c r="S836" s="51"/>
    </row>
    <row r="837" spans="1:19" ht="18" customHeight="1" x14ac:dyDescent="0.25">
      <c r="A837" s="38"/>
      <c r="B837" s="49"/>
      <c r="C837" s="31" t="s">
        <v>2</v>
      </c>
      <c r="D837" s="27"/>
      <c r="E837" s="23"/>
      <c r="F837" s="23"/>
      <c r="G837" s="23"/>
      <c r="H837" s="23"/>
      <c r="I837" s="23"/>
      <c r="J837" s="43"/>
      <c r="K837" s="43"/>
      <c r="L837" s="43"/>
      <c r="M837" s="43"/>
      <c r="N837" s="53"/>
      <c r="O837" s="43"/>
      <c r="P837" s="43"/>
      <c r="Q837" s="43"/>
      <c r="R837" s="43"/>
      <c r="S837" s="51"/>
    </row>
    <row r="838" spans="1:19" ht="18" customHeight="1" x14ac:dyDescent="0.25">
      <c r="A838" s="38"/>
      <c r="B838" s="49"/>
      <c r="C838" s="31" t="s">
        <v>3</v>
      </c>
      <c r="D838" s="27"/>
      <c r="E838" s="23"/>
      <c r="F838" s="23"/>
      <c r="G838" s="23"/>
      <c r="H838" s="23"/>
      <c r="I838" s="23"/>
      <c r="J838" s="43"/>
      <c r="K838" s="43"/>
      <c r="L838" s="43"/>
      <c r="M838" s="43"/>
      <c r="N838" s="53"/>
      <c r="O838" s="43"/>
      <c r="P838" s="43"/>
      <c r="Q838" s="43"/>
      <c r="R838" s="43"/>
      <c r="S838" s="51"/>
    </row>
    <row r="839" spans="1:19" ht="18.75" customHeight="1" x14ac:dyDescent="0.25">
      <c r="A839" s="37" t="s">
        <v>78</v>
      </c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</row>
    <row r="840" spans="1:19" ht="21" customHeight="1" x14ac:dyDescent="0.25">
      <c r="A840" s="38"/>
      <c r="B840" s="48" t="s">
        <v>578</v>
      </c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</row>
    <row r="841" spans="1:19" ht="22.5" customHeight="1" x14ac:dyDescent="0.25">
      <c r="A841" s="38"/>
      <c r="B841" s="49" t="s">
        <v>284</v>
      </c>
      <c r="C841" s="50" t="s">
        <v>99</v>
      </c>
      <c r="D841" s="50"/>
      <c r="E841" s="50"/>
      <c r="F841" s="50"/>
      <c r="G841" s="50"/>
      <c r="H841" s="50"/>
      <c r="I841" s="50"/>
      <c r="J841" s="43" t="s">
        <v>15</v>
      </c>
      <c r="K841" s="43" t="s">
        <v>828</v>
      </c>
      <c r="L841" s="43" t="s">
        <v>787</v>
      </c>
      <c r="M841" s="43" t="s">
        <v>900</v>
      </c>
      <c r="N841" s="53" t="s">
        <v>788</v>
      </c>
      <c r="O841" s="43" t="s">
        <v>12</v>
      </c>
      <c r="P841" s="43" t="s">
        <v>36</v>
      </c>
      <c r="Q841" s="43" t="s">
        <v>44</v>
      </c>
      <c r="R841" s="43"/>
      <c r="S841" s="51"/>
    </row>
    <row r="842" spans="1:19" ht="18" customHeight="1" x14ac:dyDescent="0.25">
      <c r="A842" s="38"/>
      <c r="B842" s="49"/>
      <c r="C842" s="31" t="s">
        <v>6</v>
      </c>
      <c r="D842" s="27">
        <f>SUM(D843:D846)</f>
        <v>15306.12</v>
      </c>
      <c r="E842" s="23">
        <f t="shared" ref="E842" si="194">SUM(E843:E846)</f>
        <v>15306.12</v>
      </c>
      <c r="F842" s="23"/>
      <c r="G842" s="23"/>
      <c r="H842" s="23"/>
      <c r="I842" s="23"/>
      <c r="J842" s="43"/>
      <c r="K842" s="43"/>
      <c r="L842" s="43"/>
      <c r="M842" s="43"/>
      <c r="N842" s="53"/>
      <c r="O842" s="43"/>
      <c r="P842" s="43"/>
      <c r="Q842" s="43"/>
      <c r="R842" s="43"/>
      <c r="S842" s="51"/>
    </row>
    <row r="843" spans="1:19" ht="18" customHeight="1" x14ac:dyDescent="0.25">
      <c r="A843" s="38"/>
      <c r="B843" s="49"/>
      <c r="C843" s="31" t="s">
        <v>0</v>
      </c>
      <c r="D843" s="27"/>
      <c r="E843" s="23"/>
      <c r="F843" s="23"/>
      <c r="G843" s="23"/>
      <c r="H843" s="23"/>
      <c r="I843" s="23"/>
      <c r="J843" s="43"/>
      <c r="K843" s="43"/>
      <c r="L843" s="43"/>
      <c r="M843" s="43"/>
      <c r="N843" s="53"/>
      <c r="O843" s="43"/>
      <c r="P843" s="43"/>
      <c r="Q843" s="43"/>
      <c r="R843" s="43"/>
      <c r="S843" s="51"/>
    </row>
    <row r="844" spans="1:19" ht="18" customHeight="1" x14ac:dyDescent="0.25">
      <c r="A844" s="38"/>
      <c r="B844" s="49"/>
      <c r="C844" s="31" t="s">
        <v>1</v>
      </c>
      <c r="D844" s="27">
        <f t="shared" ref="D844" si="195">SUM(E844:I844)</f>
        <v>15000</v>
      </c>
      <c r="E844" s="23">
        <v>15000</v>
      </c>
      <c r="F844" s="23"/>
      <c r="G844" s="23"/>
      <c r="H844" s="23"/>
      <c r="I844" s="23"/>
      <c r="J844" s="43"/>
      <c r="K844" s="43"/>
      <c r="L844" s="43"/>
      <c r="M844" s="43"/>
      <c r="N844" s="53"/>
      <c r="O844" s="43"/>
      <c r="P844" s="43"/>
      <c r="Q844" s="43"/>
      <c r="R844" s="43"/>
      <c r="S844" s="51"/>
    </row>
    <row r="845" spans="1:19" ht="18" customHeight="1" x14ac:dyDescent="0.25">
      <c r="A845" s="38"/>
      <c r="B845" s="49"/>
      <c r="C845" s="31" t="s">
        <v>2</v>
      </c>
      <c r="D845" s="27">
        <f>E845</f>
        <v>306.12</v>
      </c>
      <c r="E845" s="23">
        <v>306.12</v>
      </c>
      <c r="F845" s="23"/>
      <c r="G845" s="23"/>
      <c r="H845" s="23"/>
      <c r="I845" s="23"/>
      <c r="J845" s="43"/>
      <c r="K845" s="43"/>
      <c r="L845" s="43"/>
      <c r="M845" s="43"/>
      <c r="N845" s="53"/>
      <c r="O845" s="43"/>
      <c r="P845" s="43"/>
      <c r="Q845" s="43"/>
      <c r="R845" s="43"/>
      <c r="S845" s="51"/>
    </row>
    <row r="846" spans="1:19" ht="18" customHeight="1" x14ac:dyDescent="0.25">
      <c r="A846" s="38"/>
      <c r="B846" s="49"/>
      <c r="C846" s="31" t="s">
        <v>3</v>
      </c>
      <c r="D846" s="27"/>
      <c r="E846" s="23"/>
      <c r="F846" s="23"/>
      <c r="G846" s="23"/>
      <c r="H846" s="23"/>
      <c r="I846" s="23"/>
      <c r="J846" s="43"/>
      <c r="K846" s="43"/>
      <c r="L846" s="43"/>
      <c r="M846" s="43"/>
      <c r="N846" s="53"/>
      <c r="O846" s="43"/>
      <c r="P846" s="43"/>
      <c r="Q846" s="43"/>
      <c r="R846" s="43"/>
      <c r="S846" s="51"/>
    </row>
    <row r="847" spans="1:19" ht="18.75" customHeight="1" x14ac:dyDescent="0.25">
      <c r="A847" s="37" t="s">
        <v>78</v>
      </c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</row>
    <row r="848" spans="1:19" ht="21" customHeight="1" x14ac:dyDescent="0.25">
      <c r="A848" s="38"/>
      <c r="B848" s="48" t="s">
        <v>578</v>
      </c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</row>
    <row r="849" spans="1:19" ht="18.75" customHeight="1" x14ac:dyDescent="0.25">
      <c r="A849" s="38"/>
      <c r="B849" s="49" t="s">
        <v>285</v>
      </c>
      <c r="C849" s="50" t="s">
        <v>414</v>
      </c>
      <c r="D849" s="50"/>
      <c r="E849" s="50"/>
      <c r="F849" s="50"/>
      <c r="G849" s="50"/>
      <c r="H849" s="50"/>
      <c r="I849" s="50"/>
      <c r="J849" s="43" t="s">
        <v>11</v>
      </c>
      <c r="K849" s="43" t="s">
        <v>828</v>
      </c>
      <c r="L849" s="43" t="s">
        <v>387</v>
      </c>
      <c r="M849" s="43" t="s">
        <v>469</v>
      </c>
      <c r="N849" s="53" t="s">
        <v>493</v>
      </c>
      <c r="O849" s="43" t="s">
        <v>12</v>
      </c>
      <c r="P849" s="43" t="s">
        <v>13</v>
      </c>
      <c r="Q849" s="43" t="s">
        <v>44</v>
      </c>
      <c r="R849" s="43" t="s">
        <v>365</v>
      </c>
      <c r="S849" s="51" t="s">
        <v>361</v>
      </c>
    </row>
    <row r="850" spans="1:19" ht="18" customHeight="1" x14ac:dyDescent="0.25">
      <c r="A850" s="38"/>
      <c r="B850" s="49"/>
      <c r="C850" s="31" t="s">
        <v>6</v>
      </c>
      <c r="D850" s="27">
        <f>SUM(D851:D854)</f>
        <v>20761.22</v>
      </c>
      <c r="E850" s="23">
        <f t="shared" ref="E850" si="196">SUM(E851:E854)</f>
        <v>20761.22</v>
      </c>
      <c r="F850" s="23"/>
      <c r="G850" s="23"/>
      <c r="H850" s="23"/>
      <c r="I850" s="23"/>
      <c r="J850" s="43"/>
      <c r="K850" s="43"/>
      <c r="L850" s="43"/>
      <c r="M850" s="43"/>
      <c r="N850" s="53"/>
      <c r="O850" s="43"/>
      <c r="P850" s="43"/>
      <c r="Q850" s="43"/>
      <c r="R850" s="43"/>
      <c r="S850" s="51"/>
    </row>
    <row r="851" spans="1:19" ht="18" customHeight="1" x14ac:dyDescent="0.25">
      <c r="A851" s="38"/>
      <c r="B851" s="49"/>
      <c r="C851" s="31" t="s">
        <v>0</v>
      </c>
      <c r="D851" s="27"/>
      <c r="E851" s="23"/>
      <c r="F851" s="23"/>
      <c r="G851" s="23"/>
      <c r="H851" s="23"/>
      <c r="I851" s="23"/>
      <c r="J851" s="43"/>
      <c r="K851" s="43"/>
      <c r="L851" s="43"/>
      <c r="M851" s="43"/>
      <c r="N851" s="53"/>
      <c r="O851" s="43"/>
      <c r="P851" s="43"/>
      <c r="Q851" s="43"/>
      <c r="R851" s="43"/>
      <c r="S851" s="51"/>
    </row>
    <row r="852" spans="1:19" ht="18" customHeight="1" x14ac:dyDescent="0.25">
      <c r="A852" s="38"/>
      <c r="B852" s="49"/>
      <c r="C852" s="31" t="s">
        <v>1</v>
      </c>
      <c r="D852" s="27">
        <f t="shared" ref="D852" si="197">SUM(E852:I852)</f>
        <v>20346</v>
      </c>
      <c r="E852" s="23">
        <v>20346</v>
      </c>
      <c r="F852" s="23"/>
      <c r="G852" s="23"/>
      <c r="H852" s="23"/>
      <c r="I852" s="23"/>
      <c r="J852" s="43"/>
      <c r="K852" s="43"/>
      <c r="L852" s="43"/>
      <c r="M852" s="43"/>
      <c r="N852" s="53"/>
      <c r="O852" s="43"/>
      <c r="P852" s="43"/>
      <c r="Q852" s="43"/>
      <c r="R852" s="43"/>
      <c r="S852" s="51"/>
    </row>
    <row r="853" spans="1:19" ht="18" customHeight="1" x14ac:dyDescent="0.25">
      <c r="A853" s="38"/>
      <c r="B853" s="49"/>
      <c r="C853" s="31" t="s">
        <v>2</v>
      </c>
      <c r="D853" s="27">
        <f>E853</f>
        <v>415.22</v>
      </c>
      <c r="E853" s="23">
        <v>415.22</v>
      </c>
      <c r="F853" s="23"/>
      <c r="G853" s="23"/>
      <c r="H853" s="23"/>
      <c r="I853" s="23"/>
      <c r="J853" s="43"/>
      <c r="K853" s="43"/>
      <c r="L853" s="43"/>
      <c r="M853" s="43"/>
      <c r="N853" s="53"/>
      <c r="O853" s="43"/>
      <c r="P853" s="43"/>
      <c r="Q853" s="43"/>
      <c r="R853" s="43"/>
      <c r="S853" s="51"/>
    </row>
    <row r="854" spans="1:19" ht="18" customHeight="1" x14ac:dyDescent="0.25">
      <c r="A854" s="38"/>
      <c r="B854" s="49"/>
      <c r="C854" s="31" t="s">
        <v>3</v>
      </c>
      <c r="D854" s="27"/>
      <c r="E854" s="23"/>
      <c r="F854" s="23"/>
      <c r="G854" s="23"/>
      <c r="H854" s="23"/>
      <c r="I854" s="23"/>
      <c r="J854" s="43"/>
      <c r="K854" s="43"/>
      <c r="L854" s="43"/>
      <c r="M854" s="43"/>
      <c r="N854" s="53"/>
      <c r="O854" s="43"/>
      <c r="P854" s="43"/>
      <c r="Q854" s="43"/>
      <c r="R854" s="43"/>
      <c r="S854" s="51"/>
    </row>
    <row r="855" spans="1:19" ht="18.75" customHeight="1" x14ac:dyDescent="0.25">
      <c r="A855" s="37" t="s">
        <v>78</v>
      </c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</row>
    <row r="856" spans="1:19" ht="21" customHeight="1" x14ac:dyDescent="0.25">
      <c r="A856" s="38"/>
      <c r="B856" s="48" t="s">
        <v>578</v>
      </c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</row>
    <row r="857" spans="1:19" ht="18.75" customHeight="1" x14ac:dyDescent="0.25">
      <c r="A857" s="38"/>
      <c r="B857" s="49" t="s">
        <v>286</v>
      </c>
      <c r="C857" s="50" t="s">
        <v>122</v>
      </c>
      <c r="D857" s="50"/>
      <c r="E857" s="50"/>
      <c r="F857" s="50"/>
      <c r="G857" s="50"/>
      <c r="H857" s="50"/>
      <c r="I857" s="50"/>
      <c r="J857" s="43" t="s">
        <v>16</v>
      </c>
      <c r="K857" s="43" t="s">
        <v>828</v>
      </c>
      <c r="L857" s="43" t="s">
        <v>388</v>
      </c>
      <c r="M857" s="43" t="s">
        <v>464</v>
      </c>
      <c r="N857" s="53" t="s">
        <v>789</v>
      </c>
      <c r="O857" s="43" t="s">
        <v>12</v>
      </c>
      <c r="P857" s="43" t="s">
        <v>18</v>
      </c>
      <c r="Q857" s="43" t="s">
        <v>9</v>
      </c>
      <c r="R857" s="43" t="s">
        <v>389</v>
      </c>
      <c r="S857" s="51" t="s">
        <v>361</v>
      </c>
    </row>
    <row r="858" spans="1:19" ht="18" customHeight="1" x14ac:dyDescent="0.25">
      <c r="A858" s="38"/>
      <c r="B858" s="49"/>
      <c r="C858" s="31" t="s">
        <v>6</v>
      </c>
      <c r="D858" s="27">
        <f>SUM(D859:D862)</f>
        <v>1426.0398</v>
      </c>
      <c r="E858" s="23">
        <f t="shared" ref="E858" si="198">SUM(E859:E862)</f>
        <v>1426.0398</v>
      </c>
      <c r="F858" s="23"/>
      <c r="G858" s="23"/>
      <c r="H858" s="23"/>
      <c r="I858" s="23"/>
      <c r="J858" s="43"/>
      <c r="K858" s="43"/>
      <c r="L858" s="43"/>
      <c r="M858" s="43"/>
      <c r="N858" s="53"/>
      <c r="O858" s="43"/>
      <c r="P858" s="43"/>
      <c r="Q858" s="43"/>
      <c r="R858" s="43"/>
      <c r="S858" s="51"/>
    </row>
    <row r="859" spans="1:19" ht="18" customHeight="1" x14ac:dyDescent="0.25">
      <c r="A859" s="38"/>
      <c r="B859" s="49"/>
      <c r="C859" s="31" t="s">
        <v>0</v>
      </c>
      <c r="D859" s="27"/>
      <c r="E859" s="23"/>
      <c r="F859" s="23"/>
      <c r="G859" s="23"/>
      <c r="H859" s="23"/>
      <c r="I859" s="23"/>
      <c r="J859" s="43"/>
      <c r="K859" s="43"/>
      <c r="L859" s="43"/>
      <c r="M859" s="43"/>
      <c r="N859" s="53"/>
      <c r="O859" s="43"/>
      <c r="P859" s="43"/>
      <c r="Q859" s="43"/>
      <c r="R859" s="43"/>
      <c r="S859" s="51"/>
    </row>
    <row r="860" spans="1:19" ht="18" customHeight="1" x14ac:dyDescent="0.25">
      <c r="A860" s="38"/>
      <c r="B860" s="49"/>
      <c r="C860" s="31" t="s">
        <v>1</v>
      </c>
      <c r="D860" s="27">
        <f t="shared" ref="D860" si="199">SUM(E860:I860)</f>
        <v>1399.4398000000001</v>
      </c>
      <c r="E860" s="23">
        <f>1303.4+96.0398</f>
        <v>1399.4398000000001</v>
      </c>
      <c r="F860" s="23"/>
      <c r="G860" s="23"/>
      <c r="H860" s="23"/>
      <c r="I860" s="23"/>
      <c r="J860" s="43"/>
      <c r="K860" s="43"/>
      <c r="L860" s="43"/>
      <c r="M860" s="43"/>
      <c r="N860" s="53"/>
      <c r="O860" s="43"/>
      <c r="P860" s="43"/>
      <c r="Q860" s="43"/>
      <c r="R860" s="43"/>
      <c r="S860" s="51"/>
    </row>
    <row r="861" spans="1:19" ht="18" customHeight="1" x14ac:dyDescent="0.25">
      <c r="A861" s="38"/>
      <c r="B861" s="49"/>
      <c r="C861" s="31" t="s">
        <v>2</v>
      </c>
      <c r="D861" s="27">
        <f>E861</f>
        <v>26.6</v>
      </c>
      <c r="E861" s="23">
        <v>26.6</v>
      </c>
      <c r="F861" s="23"/>
      <c r="G861" s="23"/>
      <c r="H861" s="23"/>
      <c r="I861" s="23"/>
      <c r="J861" s="43"/>
      <c r="K861" s="43"/>
      <c r="L861" s="43"/>
      <c r="M861" s="43"/>
      <c r="N861" s="53"/>
      <c r="O861" s="43"/>
      <c r="P861" s="43"/>
      <c r="Q861" s="43"/>
      <c r="R861" s="43"/>
      <c r="S861" s="51"/>
    </row>
    <row r="862" spans="1:19" ht="18" customHeight="1" x14ac:dyDescent="0.25">
      <c r="A862" s="38"/>
      <c r="B862" s="49"/>
      <c r="C862" s="31" t="s">
        <v>3</v>
      </c>
      <c r="D862" s="27"/>
      <c r="E862" s="23"/>
      <c r="F862" s="23"/>
      <c r="G862" s="23"/>
      <c r="H862" s="23"/>
      <c r="I862" s="23"/>
      <c r="J862" s="43"/>
      <c r="K862" s="43"/>
      <c r="L862" s="43"/>
      <c r="M862" s="43"/>
      <c r="N862" s="53"/>
      <c r="O862" s="43"/>
      <c r="P862" s="43"/>
      <c r="Q862" s="43"/>
      <c r="R862" s="43"/>
      <c r="S862" s="51"/>
    </row>
    <row r="863" spans="1:19" ht="18.75" customHeight="1" x14ac:dyDescent="0.25">
      <c r="A863" s="37" t="s">
        <v>78</v>
      </c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</row>
    <row r="864" spans="1:19" ht="21" customHeight="1" x14ac:dyDescent="0.25">
      <c r="A864" s="38"/>
      <c r="B864" s="48" t="s">
        <v>578</v>
      </c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</row>
    <row r="865" spans="1:19" ht="39.75" customHeight="1" x14ac:dyDescent="0.25">
      <c r="A865" s="38"/>
      <c r="B865" s="49" t="s">
        <v>287</v>
      </c>
      <c r="C865" s="50" t="s">
        <v>646</v>
      </c>
      <c r="D865" s="50"/>
      <c r="E865" s="50"/>
      <c r="F865" s="50"/>
      <c r="G865" s="50"/>
      <c r="H865" s="50"/>
      <c r="I865" s="50"/>
      <c r="J865" s="43" t="s">
        <v>20</v>
      </c>
      <c r="K865" s="43" t="s">
        <v>828</v>
      </c>
      <c r="L865" s="43" t="s">
        <v>647</v>
      </c>
      <c r="M865" s="43" t="s">
        <v>469</v>
      </c>
      <c r="N865" s="53" t="s">
        <v>790</v>
      </c>
      <c r="O865" s="43" t="s">
        <v>12</v>
      </c>
      <c r="P865" s="43" t="s">
        <v>13</v>
      </c>
      <c r="Q865" s="43" t="s">
        <v>9</v>
      </c>
      <c r="R865" s="43"/>
      <c r="S865" s="51"/>
    </row>
    <row r="866" spans="1:19" ht="18" customHeight="1" x14ac:dyDescent="0.25">
      <c r="A866" s="38"/>
      <c r="B866" s="49"/>
      <c r="C866" s="31" t="s">
        <v>6</v>
      </c>
      <c r="D866" s="27">
        <f>SUM(D867:D870)</f>
        <v>26383</v>
      </c>
      <c r="E866" s="23">
        <f t="shared" ref="E866" si="200">SUM(E867:E870)</f>
        <v>26383</v>
      </c>
      <c r="F866" s="23"/>
      <c r="G866" s="23"/>
      <c r="H866" s="23"/>
      <c r="I866" s="23"/>
      <c r="J866" s="43"/>
      <c r="K866" s="43"/>
      <c r="L866" s="43"/>
      <c r="M866" s="43"/>
      <c r="N866" s="53"/>
      <c r="O866" s="43"/>
      <c r="P866" s="43"/>
      <c r="Q866" s="43"/>
      <c r="R866" s="43"/>
      <c r="S866" s="51"/>
    </row>
    <row r="867" spans="1:19" ht="18" customHeight="1" x14ac:dyDescent="0.25">
      <c r="A867" s="38"/>
      <c r="B867" s="49"/>
      <c r="C867" s="31" t="s">
        <v>0</v>
      </c>
      <c r="D867" s="27"/>
      <c r="E867" s="23"/>
      <c r="F867" s="23"/>
      <c r="G867" s="23"/>
      <c r="H867" s="23"/>
      <c r="I867" s="23"/>
      <c r="J867" s="43"/>
      <c r="K867" s="43"/>
      <c r="L867" s="43"/>
      <c r="M867" s="43"/>
      <c r="N867" s="53"/>
      <c r="O867" s="43"/>
      <c r="P867" s="43"/>
      <c r="Q867" s="43"/>
      <c r="R867" s="43"/>
      <c r="S867" s="51"/>
    </row>
    <row r="868" spans="1:19" ht="18" customHeight="1" x14ac:dyDescent="0.25">
      <c r="A868" s="38"/>
      <c r="B868" s="49"/>
      <c r="C868" s="31" t="s">
        <v>1</v>
      </c>
      <c r="D868" s="27">
        <f t="shared" ref="D868" si="201">SUM(E868:I868)</f>
        <v>25855.34</v>
      </c>
      <c r="E868" s="23">
        <v>25855.34</v>
      </c>
      <c r="F868" s="23"/>
      <c r="G868" s="23"/>
      <c r="H868" s="23"/>
      <c r="I868" s="23"/>
      <c r="J868" s="43"/>
      <c r="K868" s="43"/>
      <c r="L868" s="43"/>
      <c r="M868" s="43"/>
      <c r="N868" s="53"/>
      <c r="O868" s="43"/>
      <c r="P868" s="43"/>
      <c r="Q868" s="43"/>
      <c r="R868" s="43"/>
      <c r="S868" s="51"/>
    </row>
    <row r="869" spans="1:19" ht="18" customHeight="1" x14ac:dyDescent="0.25">
      <c r="A869" s="38"/>
      <c r="B869" s="49"/>
      <c r="C869" s="31" t="s">
        <v>2</v>
      </c>
      <c r="D869" s="27">
        <f>E869</f>
        <v>527.66</v>
      </c>
      <c r="E869" s="23">
        <v>527.66</v>
      </c>
      <c r="F869" s="23"/>
      <c r="G869" s="23"/>
      <c r="H869" s="23"/>
      <c r="I869" s="23"/>
      <c r="J869" s="43"/>
      <c r="K869" s="43"/>
      <c r="L869" s="43"/>
      <c r="M869" s="43"/>
      <c r="N869" s="53"/>
      <c r="O869" s="43"/>
      <c r="P869" s="43"/>
      <c r="Q869" s="43"/>
      <c r="R869" s="43"/>
      <c r="S869" s="51"/>
    </row>
    <row r="870" spans="1:19" ht="18" customHeight="1" x14ac:dyDescent="0.25">
      <c r="A870" s="38"/>
      <c r="B870" s="49"/>
      <c r="C870" s="31" t="s">
        <v>3</v>
      </c>
      <c r="D870" s="27"/>
      <c r="E870" s="23"/>
      <c r="F870" s="23"/>
      <c r="G870" s="23"/>
      <c r="H870" s="23"/>
      <c r="I870" s="23"/>
      <c r="J870" s="43"/>
      <c r="K870" s="43"/>
      <c r="L870" s="43"/>
      <c r="M870" s="43"/>
      <c r="N870" s="53"/>
      <c r="O870" s="43"/>
      <c r="P870" s="43"/>
      <c r="Q870" s="43"/>
      <c r="R870" s="43"/>
      <c r="S870" s="51"/>
    </row>
    <row r="871" spans="1:19" ht="18.75" customHeight="1" x14ac:dyDescent="0.25">
      <c r="A871" s="37" t="s">
        <v>78</v>
      </c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</row>
    <row r="872" spans="1:19" ht="21" customHeight="1" x14ac:dyDescent="0.25">
      <c r="A872" s="38"/>
      <c r="B872" s="48" t="s">
        <v>578</v>
      </c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</row>
    <row r="873" spans="1:19" ht="36.75" customHeight="1" x14ac:dyDescent="0.25">
      <c r="A873" s="38"/>
      <c r="B873" s="49" t="s">
        <v>288</v>
      </c>
      <c r="C873" s="50" t="s">
        <v>177</v>
      </c>
      <c r="D873" s="50"/>
      <c r="E873" s="50"/>
      <c r="F873" s="50"/>
      <c r="G873" s="50"/>
      <c r="H873" s="50"/>
      <c r="I873" s="50"/>
      <c r="J873" s="43" t="s">
        <v>16</v>
      </c>
      <c r="K873" s="43" t="s">
        <v>828</v>
      </c>
      <c r="L873" s="43" t="s">
        <v>390</v>
      </c>
      <c r="M873" s="43" t="s">
        <v>491</v>
      </c>
      <c r="N873" s="53" t="s">
        <v>791</v>
      </c>
      <c r="O873" s="43" t="s">
        <v>12</v>
      </c>
      <c r="P873" s="43" t="s">
        <v>19</v>
      </c>
      <c r="Q873" s="43" t="s">
        <v>44</v>
      </c>
      <c r="R873" s="43" t="s">
        <v>391</v>
      </c>
      <c r="S873" s="51"/>
    </row>
    <row r="874" spans="1:19" ht="18" customHeight="1" x14ac:dyDescent="0.25">
      <c r="A874" s="38"/>
      <c r="B874" s="49"/>
      <c r="C874" s="31" t="s">
        <v>6</v>
      </c>
      <c r="D874" s="27">
        <f>SUM(D875:D878)</f>
        <v>1766.614</v>
      </c>
      <c r="E874" s="23">
        <f t="shared" ref="E874" si="202">SUM(E875:E878)</f>
        <v>1766.614</v>
      </c>
      <c r="F874" s="23"/>
      <c r="G874" s="23"/>
      <c r="H874" s="23"/>
      <c r="I874" s="23"/>
      <c r="J874" s="43"/>
      <c r="K874" s="43"/>
      <c r="L874" s="43"/>
      <c r="M874" s="43"/>
      <c r="N874" s="53"/>
      <c r="O874" s="43"/>
      <c r="P874" s="43"/>
      <c r="Q874" s="43"/>
      <c r="R874" s="43"/>
      <c r="S874" s="51"/>
    </row>
    <row r="875" spans="1:19" ht="18" customHeight="1" x14ac:dyDescent="0.25">
      <c r="A875" s="38"/>
      <c r="B875" s="49"/>
      <c r="C875" s="31" t="s">
        <v>0</v>
      </c>
      <c r="D875" s="27"/>
      <c r="E875" s="23"/>
      <c r="F875" s="23"/>
      <c r="G875" s="23"/>
      <c r="H875" s="23"/>
      <c r="I875" s="23"/>
      <c r="J875" s="43"/>
      <c r="K875" s="43"/>
      <c r="L875" s="43"/>
      <c r="M875" s="43"/>
      <c r="N875" s="53"/>
      <c r="O875" s="43"/>
      <c r="P875" s="43"/>
      <c r="Q875" s="43"/>
      <c r="R875" s="43"/>
      <c r="S875" s="51"/>
    </row>
    <row r="876" spans="1:19" ht="18" customHeight="1" x14ac:dyDescent="0.25">
      <c r="A876" s="38"/>
      <c r="B876" s="49"/>
      <c r="C876" s="31" t="s">
        <v>1</v>
      </c>
      <c r="D876" s="27">
        <f t="shared" ref="D876" si="203">SUM(E876:I876)</f>
        <v>1731.2840000000001</v>
      </c>
      <c r="E876" s="23">
        <v>1731.2840000000001</v>
      </c>
      <c r="F876" s="23"/>
      <c r="G876" s="23"/>
      <c r="H876" s="23"/>
      <c r="I876" s="23"/>
      <c r="J876" s="43"/>
      <c r="K876" s="43"/>
      <c r="L876" s="43"/>
      <c r="M876" s="43"/>
      <c r="N876" s="53"/>
      <c r="O876" s="43"/>
      <c r="P876" s="43"/>
      <c r="Q876" s="43"/>
      <c r="R876" s="43"/>
      <c r="S876" s="51"/>
    </row>
    <row r="877" spans="1:19" ht="18" customHeight="1" x14ac:dyDescent="0.25">
      <c r="A877" s="38"/>
      <c r="B877" s="49"/>
      <c r="C877" s="31" t="s">
        <v>2</v>
      </c>
      <c r="D877" s="27">
        <f>E877</f>
        <v>35.33</v>
      </c>
      <c r="E877" s="23">
        <v>35.33</v>
      </c>
      <c r="F877" s="23"/>
      <c r="G877" s="23"/>
      <c r="H877" s="23"/>
      <c r="I877" s="23"/>
      <c r="J877" s="43"/>
      <c r="K877" s="43"/>
      <c r="L877" s="43"/>
      <c r="M877" s="43"/>
      <c r="N877" s="53"/>
      <c r="O877" s="43"/>
      <c r="P877" s="43"/>
      <c r="Q877" s="43"/>
      <c r="R877" s="43"/>
      <c r="S877" s="51"/>
    </row>
    <row r="878" spans="1:19" ht="18" customHeight="1" x14ac:dyDescent="0.25">
      <c r="A878" s="38"/>
      <c r="B878" s="49"/>
      <c r="C878" s="31" t="s">
        <v>3</v>
      </c>
      <c r="D878" s="27"/>
      <c r="E878" s="23"/>
      <c r="F878" s="23"/>
      <c r="G878" s="23"/>
      <c r="H878" s="23"/>
      <c r="I878" s="23"/>
      <c r="J878" s="43"/>
      <c r="K878" s="43"/>
      <c r="L878" s="43"/>
      <c r="M878" s="43"/>
      <c r="N878" s="53"/>
      <c r="O878" s="43"/>
      <c r="P878" s="43"/>
      <c r="Q878" s="43"/>
      <c r="R878" s="43"/>
      <c r="S878" s="51"/>
    </row>
    <row r="879" spans="1:19" ht="18.75" customHeight="1" x14ac:dyDescent="0.25">
      <c r="A879" s="37" t="s">
        <v>78</v>
      </c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</row>
    <row r="880" spans="1:19" ht="21" customHeight="1" x14ac:dyDescent="0.25">
      <c r="A880" s="38"/>
      <c r="B880" s="48" t="s">
        <v>578</v>
      </c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</row>
    <row r="881" spans="1:19" ht="18.75" customHeight="1" x14ac:dyDescent="0.25">
      <c r="A881" s="38"/>
      <c r="B881" s="49" t="s">
        <v>289</v>
      </c>
      <c r="C881" s="50" t="s">
        <v>308</v>
      </c>
      <c r="D881" s="50"/>
      <c r="E881" s="50"/>
      <c r="F881" s="50"/>
      <c r="G881" s="50"/>
      <c r="H881" s="50"/>
      <c r="I881" s="50"/>
      <c r="J881" s="43" t="s">
        <v>14</v>
      </c>
      <c r="K881" s="43" t="s">
        <v>828</v>
      </c>
      <c r="L881" s="43" t="s">
        <v>392</v>
      </c>
      <c r="M881" s="43" t="s">
        <v>494</v>
      </c>
      <c r="N881" s="53" t="s">
        <v>495</v>
      </c>
      <c r="O881" s="43" t="s">
        <v>12</v>
      </c>
      <c r="P881" s="43" t="s">
        <v>18</v>
      </c>
      <c r="Q881" s="43" t="s">
        <v>44</v>
      </c>
      <c r="R881" s="43"/>
      <c r="S881" s="51"/>
    </row>
    <row r="882" spans="1:19" ht="18" customHeight="1" x14ac:dyDescent="0.25">
      <c r="A882" s="38"/>
      <c r="B882" s="49"/>
      <c r="C882" s="31" t="s">
        <v>6</v>
      </c>
      <c r="D882" s="27">
        <f>SUM(D883:D886)</f>
        <v>4871.05</v>
      </c>
      <c r="E882" s="23">
        <f t="shared" ref="E882" si="204">SUM(E883:E886)</f>
        <v>4871.05</v>
      </c>
      <c r="F882" s="23"/>
      <c r="G882" s="23"/>
      <c r="H882" s="23"/>
      <c r="I882" s="23"/>
      <c r="J882" s="43"/>
      <c r="K882" s="43"/>
      <c r="L882" s="43"/>
      <c r="M882" s="43"/>
      <c r="N882" s="53"/>
      <c r="O882" s="43"/>
      <c r="P882" s="43"/>
      <c r="Q882" s="43"/>
      <c r="R882" s="43"/>
      <c r="S882" s="51"/>
    </row>
    <row r="883" spans="1:19" ht="18" customHeight="1" x14ac:dyDescent="0.25">
      <c r="A883" s="38"/>
      <c r="B883" s="49"/>
      <c r="C883" s="31" t="s">
        <v>0</v>
      </c>
      <c r="D883" s="27"/>
      <c r="E883" s="23"/>
      <c r="F883" s="23"/>
      <c r="G883" s="23"/>
      <c r="H883" s="23"/>
      <c r="I883" s="23"/>
      <c r="J883" s="43"/>
      <c r="K883" s="43"/>
      <c r="L883" s="43"/>
      <c r="M883" s="43"/>
      <c r="N883" s="53"/>
      <c r="O883" s="43"/>
      <c r="P883" s="43"/>
      <c r="Q883" s="43"/>
      <c r="R883" s="43"/>
      <c r="S883" s="51"/>
    </row>
    <row r="884" spans="1:19" ht="18" customHeight="1" x14ac:dyDescent="0.25">
      <c r="A884" s="38"/>
      <c r="B884" s="49"/>
      <c r="C884" s="31" t="s">
        <v>1</v>
      </c>
      <c r="D884" s="27">
        <f t="shared" ref="D884" si="205">SUM(E884:I884)</f>
        <v>4773.09</v>
      </c>
      <c r="E884" s="23">
        <f>4800-26.91</f>
        <v>4773.09</v>
      </c>
      <c r="F884" s="23"/>
      <c r="G884" s="23"/>
      <c r="H884" s="23"/>
      <c r="I884" s="23"/>
      <c r="J884" s="43"/>
      <c r="K884" s="43"/>
      <c r="L884" s="43"/>
      <c r="M884" s="43"/>
      <c r="N884" s="53"/>
      <c r="O884" s="43"/>
      <c r="P884" s="43"/>
      <c r="Q884" s="43"/>
      <c r="R884" s="43"/>
      <c r="S884" s="51"/>
    </row>
    <row r="885" spans="1:19" ht="18" customHeight="1" x14ac:dyDescent="0.25">
      <c r="A885" s="38"/>
      <c r="B885" s="49"/>
      <c r="C885" s="31" t="s">
        <v>2</v>
      </c>
      <c r="D885" s="27">
        <f>E885</f>
        <v>97.96</v>
      </c>
      <c r="E885" s="23">
        <v>97.96</v>
      </c>
      <c r="F885" s="23"/>
      <c r="G885" s="23"/>
      <c r="H885" s="23"/>
      <c r="I885" s="23"/>
      <c r="J885" s="43"/>
      <c r="K885" s="43"/>
      <c r="L885" s="43"/>
      <c r="M885" s="43"/>
      <c r="N885" s="53"/>
      <c r="O885" s="43"/>
      <c r="P885" s="43"/>
      <c r="Q885" s="43"/>
      <c r="R885" s="43"/>
      <c r="S885" s="51"/>
    </row>
    <row r="886" spans="1:19" ht="18" customHeight="1" x14ac:dyDescent="0.25">
      <c r="A886" s="38"/>
      <c r="B886" s="49"/>
      <c r="C886" s="31" t="s">
        <v>3</v>
      </c>
      <c r="D886" s="27"/>
      <c r="E886" s="23"/>
      <c r="F886" s="23"/>
      <c r="G886" s="23"/>
      <c r="H886" s="23"/>
      <c r="I886" s="23"/>
      <c r="J886" s="43"/>
      <c r="K886" s="43"/>
      <c r="L886" s="43"/>
      <c r="M886" s="43"/>
      <c r="N886" s="53"/>
      <c r="O886" s="43"/>
      <c r="P886" s="43"/>
      <c r="Q886" s="43"/>
      <c r="R886" s="43"/>
      <c r="S886" s="51"/>
    </row>
    <row r="887" spans="1:19" ht="18.75" customHeight="1" x14ac:dyDescent="0.25">
      <c r="A887" s="37" t="s">
        <v>78</v>
      </c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</row>
    <row r="888" spans="1:19" ht="21" customHeight="1" x14ac:dyDescent="0.25">
      <c r="A888" s="38"/>
      <c r="B888" s="48" t="s">
        <v>578</v>
      </c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</row>
    <row r="889" spans="1:19" ht="18.75" customHeight="1" x14ac:dyDescent="0.25">
      <c r="A889" s="38"/>
      <c r="B889" s="49" t="s">
        <v>290</v>
      </c>
      <c r="C889" s="50" t="s">
        <v>123</v>
      </c>
      <c r="D889" s="50"/>
      <c r="E889" s="50"/>
      <c r="F889" s="50"/>
      <c r="G889" s="50"/>
      <c r="H889" s="50"/>
      <c r="I889" s="50"/>
      <c r="J889" s="43" t="s">
        <v>15</v>
      </c>
      <c r="K889" s="43" t="s">
        <v>828</v>
      </c>
      <c r="L889" s="43" t="s">
        <v>386</v>
      </c>
      <c r="M889" s="43" t="s">
        <v>496</v>
      </c>
      <c r="N889" s="53" t="s">
        <v>792</v>
      </c>
      <c r="O889" s="43" t="s">
        <v>12</v>
      </c>
      <c r="P889" s="43" t="s">
        <v>4</v>
      </c>
      <c r="Q889" s="43" t="s">
        <v>44</v>
      </c>
      <c r="R889" s="43"/>
      <c r="S889" s="51"/>
    </row>
    <row r="890" spans="1:19" ht="18" customHeight="1" x14ac:dyDescent="0.25">
      <c r="A890" s="38"/>
      <c r="B890" s="49"/>
      <c r="C890" s="31" t="s">
        <v>6</v>
      </c>
      <c r="D890" s="27">
        <f>SUM(D891:D894)</f>
        <v>180.48000000000002</v>
      </c>
      <c r="E890" s="23">
        <f t="shared" ref="E890" si="206">SUM(E891:E894)</f>
        <v>180.48000000000002</v>
      </c>
      <c r="F890" s="23"/>
      <c r="G890" s="23"/>
      <c r="H890" s="23"/>
      <c r="I890" s="23"/>
      <c r="J890" s="43"/>
      <c r="K890" s="43"/>
      <c r="L890" s="43"/>
      <c r="M890" s="43"/>
      <c r="N890" s="53"/>
      <c r="O890" s="43"/>
      <c r="P890" s="43"/>
      <c r="Q890" s="43"/>
      <c r="R890" s="43"/>
      <c r="S890" s="51"/>
    </row>
    <row r="891" spans="1:19" ht="18" customHeight="1" x14ac:dyDescent="0.25">
      <c r="A891" s="38"/>
      <c r="B891" s="49"/>
      <c r="C891" s="31" t="s">
        <v>0</v>
      </c>
      <c r="D891" s="27"/>
      <c r="E891" s="23"/>
      <c r="F891" s="23"/>
      <c r="G891" s="23"/>
      <c r="H891" s="23"/>
      <c r="I891" s="23"/>
      <c r="J891" s="43"/>
      <c r="K891" s="43"/>
      <c r="L891" s="43"/>
      <c r="M891" s="43"/>
      <c r="N891" s="53"/>
      <c r="O891" s="43"/>
      <c r="P891" s="43"/>
      <c r="Q891" s="43"/>
      <c r="R891" s="43"/>
      <c r="S891" s="51"/>
    </row>
    <row r="892" spans="1:19" ht="18" customHeight="1" x14ac:dyDescent="0.25">
      <c r="A892" s="38"/>
      <c r="B892" s="49"/>
      <c r="C892" s="31" t="s">
        <v>1</v>
      </c>
      <c r="D892" s="27">
        <f t="shared" ref="D892" si="207">SUM(E892:I892)</f>
        <v>176.4</v>
      </c>
      <c r="E892" s="23">
        <f>200-23.6</f>
        <v>176.4</v>
      </c>
      <c r="F892" s="23"/>
      <c r="G892" s="23"/>
      <c r="H892" s="23"/>
      <c r="I892" s="23"/>
      <c r="J892" s="43"/>
      <c r="K892" s="43"/>
      <c r="L892" s="43"/>
      <c r="M892" s="43"/>
      <c r="N892" s="53"/>
      <c r="O892" s="43"/>
      <c r="P892" s="43"/>
      <c r="Q892" s="43"/>
      <c r="R892" s="43"/>
      <c r="S892" s="51"/>
    </row>
    <row r="893" spans="1:19" ht="18" customHeight="1" x14ac:dyDescent="0.25">
      <c r="A893" s="38"/>
      <c r="B893" s="49"/>
      <c r="C893" s="31" t="s">
        <v>2</v>
      </c>
      <c r="D893" s="27">
        <f>E893</f>
        <v>4.08</v>
      </c>
      <c r="E893" s="23">
        <v>4.08</v>
      </c>
      <c r="F893" s="23"/>
      <c r="G893" s="23"/>
      <c r="H893" s="23"/>
      <c r="I893" s="23"/>
      <c r="J893" s="43"/>
      <c r="K893" s="43"/>
      <c r="L893" s="43"/>
      <c r="M893" s="43"/>
      <c r="N893" s="53"/>
      <c r="O893" s="43"/>
      <c r="P893" s="43"/>
      <c r="Q893" s="43"/>
      <c r="R893" s="43"/>
      <c r="S893" s="51"/>
    </row>
    <row r="894" spans="1:19" ht="18" customHeight="1" x14ac:dyDescent="0.25">
      <c r="A894" s="38"/>
      <c r="B894" s="49"/>
      <c r="C894" s="31" t="s">
        <v>3</v>
      </c>
      <c r="D894" s="27"/>
      <c r="E894" s="23"/>
      <c r="F894" s="23"/>
      <c r="G894" s="23"/>
      <c r="H894" s="23"/>
      <c r="I894" s="23"/>
      <c r="J894" s="43"/>
      <c r="K894" s="43"/>
      <c r="L894" s="43"/>
      <c r="M894" s="43"/>
      <c r="N894" s="53"/>
      <c r="O894" s="43"/>
      <c r="P894" s="43"/>
      <c r="Q894" s="43"/>
      <c r="R894" s="43"/>
      <c r="S894" s="51"/>
    </row>
    <row r="895" spans="1:19" ht="18.75" customHeight="1" x14ac:dyDescent="0.25">
      <c r="A895" s="37" t="s">
        <v>78</v>
      </c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</row>
    <row r="896" spans="1:19" ht="21" customHeight="1" x14ac:dyDescent="0.25">
      <c r="A896" s="38"/>
      <c r="B896" s="48" t="s">
        <v>578</v>
      </c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</row>
    <row r="897" spans="1:19" ht="18.75" customHeight="1" x14ac:dyDescent="0.25">
      <c r="A897" s="38"/>
      <c r="B897" s="71" t="s">
        <v>291</v>
      </c>
      <c r="C897" s="41" t="s">
        <v>947</v>
      </c>
      <c r="D897" s="41"/>
      <c r="E897" s="41"/>
      <c r="F897" s="41"/>
      <c r="G897" s="41"/>
      <c r="H897" s="41"/>
      <c r="I897" s="41"/>
      <c r="J897" s="43" t="s">
        <v>16</v>
      </c>
      <c r="K897" s="43" t="s">
        <v>828</v>
      </c>
      <c r="L897" s="43" t="s">
        <v>393</v>
      </c>
      <c r="M897" s="43" t="s">
        <v>901</v>
      </c>
      <c r="N897" s="53" t="s">
        <v>793</v>
      </c>
      <c r="O897" s="43" t="s">
        <v>12</v>
      </c>
      <c r="P897" s="43" t="s">
        <v>18</v>
      </c>
      <c r="Q897" s="43" t="s">
        <v>9</v>
      </c>
      <c r="R897" s="43" t="s">
        <v>394</v>
      </c>
      <c r="S897" s="51"/>
    </row>
    <row r="898" spans="1:19" ht="18.75" customHeight="1" x14ac:dyDescent="0.25">
      <c r="A898" s="38"/>
      <c r="B898" s="71"/>
      <c r="C898" s="31" t="s">
        <v>6</v>
      </c>
      <c r="D898" s="27">
        <f>SUM(D899:D902)</f>
        <v>39642.86</v>
      </c>
      <c r="E898" s="23">
        <f t="shared" ref="E898" si="208">SUM(E899:E902)</f>
        <v>39642.86</v>
      </c>
      <c r="F898" s="23"/>
      <c r="G898" s="23"/>
      <c r="H898" s="23"/>
      <c r="I898" s="23"/>
      <c r="J898" s="43"/>
      <c r="K898" s="43"/>
      <c r="L898" s="43"/>
      <c r="M898" s="43"/>
      <c r="N898" s="53"/>
      <c r="O898" s="43"/>
      <c r="P898" s="43"/>
      <c r="Q898" s="43"/>
      <c r="R898" s="43"/>
      <c r="S898" s="51"/>
    </row>
    <row r="899" spans="1:19" ht="18.75" customHeight="1" x14ac:dyDescent="0.25">
      <c r="A899" s="38"/>
      <c r="B899" s="71"/>
      <c r="C899" s="31" t="s">
        <v>0</v>
      </c>
      <c r="D899" s="27"/>
      <c r="E899" s="23"/>
      <c r="F899" s="23"/>
      <c r="G899" s="23"/>
      <c r="H899" s="23"/>
      <c r="I899" s="23"/>
      <c r="J899" s="43"/>
      <c r="K899" s="43"/>
      <c r="L899" s="43"/>
      <c r="M899" s="43"/>
      <c r="N899" s="53"/>
      <c r="O899" s="43"/>
      <c r="P899" s="43"/>
      <c r="Q899" s="43"/>
      <c r="R899" s="43"/>
      <c r="S899" s="51"/>
    </row>
    <row r="900" spans="1:19" ht="18.75" customHeight="1" x14ac:dyDescent="0.25">
      <c r="A900" s="38"/>
      <c r="B900" s="71"/>
      <c r="C900" s="31" t="s">
        <v>1</v>
      </c>
      <c r="D900" s="27">
        <f t="shared" ref="D900" si="209">SUM(E900:I900)</f>
        <v>38850</v>
      </c>
      <c r="E900" s="23">
        <v>38850</v>
      </c>
      <c r="F900" s="23"/>
      <c r="G900" s="23"/>
      <c r="H900" s="23"/>
      <c r="I900" s="23"/>
      <c r="J900" s="43"/>
      <c r="K900" s="43"/>
      <c r="L900" s="43"/>
      <c r="M900" s="43"/>
      <c r="N900" s="53"/>
      <c r="O900" s="43"/>
      <c r="P900" s="43"/>
      <c r="Q900" s="43"/>
      <c r="R900" s="43"/>
      <c r="S900" s="51"/>
    </row>
    <row r="901" spans="1:19" ht="18.75" customHeight="1" x14ac:dyDescent="0.25">
      <c r="A901" s="38"/>
      <c r="B901" s="71"/>
      <c r="C901" s="31" t="s">
        <v>2</v>
      </c>
      <c r="D901" s="27">
        <f>E901</f>
        <v>792.86</v>
      </c>
      <c r="E901" s="23">
        <v>792.86</v>
      </c>
      <c r="F901" s="23"/>
      <c r="G901" s="23"/>
      <c r="H901" s="23"/>
      <c r="I901" s="23"/>
      <c r="J901" s="43"/>
      <c r="K901" s="43"/>
      <c r="L901" s="43"/>
      <c r="M901" s="43"/>
      <c r="N901" s="53"/>
      <c r="O901" s="43"/>
      <c r="P901" s="43"/>
      <c r="Q901" s="43"/>
      <c r="R901" s="43"/>
      <c r="S901" s="51"/>
    </row>
    <row r="902" spans="1:19" ht="18.75" customHeight="1" x14ac:dyDescent="0.25">
      <c r="A902" s="38"/>
      <c r="B902" s="71"/>
      <c r="C902" s="31" t="s">
        <v>3</v>
      </c>
      <c r="D902" s="27"/>
      <c r="E902" s="23"/>
      <c r="F902" s="23"/>
      <c r="G902" s="23"/>
      <c r="H902" s="23"/>
      <c r="I902" s="23"/>
      <c r="J902" s="43"/>
      <c r="K902" s="43"/>
      <c r="L902" s="43"/>
      <c r="M902" s="43"/>
      <c r="N902" s="53"/>
      <c r="O902" s="43"/>
      <c r="P902" s="43"/>
      <c r="Q902" s="43"/>
      <c r="R902" s="43"/>
      <c r="S902" s="51"/>
    </row>
    <row r="903" spans="1:19" ht="18.75" customHeight="1" x14ac:dyDescent="0.25">
      <c r="A903" s="37" t="s">
        <v>78</v>
      </c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</row>
    <row r="904" spans="1:19" ht="21" customHeight="1" x14ac:dyDescent="0.25">
      <c r="A904" s="38"/>
      <c r="B904" s="48" t="s">
        <v>578</v>
      </c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</row>
    <row r="905" spans="1:19" ht="57" customHeight="1" x14ac:dyDescent="0.25">
      <c r="A905" s="38"/>
      <c r="B905" s="49" t="s">
        <v>292</v>
      </c>
      <c r="C905" s="50" t="s">
        <v>309</v>
      </c>
      <c r="D905" s="50"/>
      <c r="E905" s="50"/>
      <c r="F905" s="50"/>
      <c r="G905" s="50"/>
      <c r="H905" s="50"/>
      <c r="I905" s="50"/>
      <c r="J905" s="43" t="s">
        <v>15</v>
      </c>
      <c r="K905" s="43" t="s">
        <v>828</v>
      </c>
      <c r="L905" s="43" t="s">
        <v>390</v>
      </c>
      <c r="M905" s="43" t="s">
        <v>497</v>
      </c>
      <c r="N905" s="53" t="s">
        <v>794</v>
      </c>
      <c r="O905" s="43" t="s">
        <v>12</v>
      </c>
      <c r="P905" s="43" t="s">
        <v>36</v>
      </c>
      <c r="Q905" s="43" t="s">
        <v>44</v>
      </c>
      <c r="R905" s="43" t="s">
        <v>798</v>
      </c>
      <c r="S905" s="51" t="s">
        <v>361</v>
      </c>
    </row>
    <row r="906" spans="1:19" ht="18" customHeight="1" x14ac:dyDescent="0.25">
      <c r="A906" s="38"/>
      <c r="B906" s="49"/>
      <c r="C906" s="31" t="s">
        <v>6</v>
      </c>
      <c r="D906" s="27">
        <f>SUM(D907:D910)</f>
        <v>4591.84</v>
      </c>
      <c r="E906" s="23">
        <f t="shared" ref="E906" si="210">SUM(E907:E910)</f>
        <v>4591.84</v>
      </c>
      <c r="F906" s="23"/>
      <c r="G906" s="23"/>
      <c r="H906" s="23"/>
      <c r="I906" s="23"/>
      <c r="J906" s="43"/>
      <c r="K906" s="43"/>
      <c r="L906" s="43"/>
      <c r="M906" s="43"/>
      <c r="N906" s="53"/>
      <c r="O906" s="43"/>
      <c r="P906" s="43"/>
      <c r="Q906" s="43"/>
      <c r="R906" s="43"/>
      <c r="S906" s="51"/>
    </row>
    <row r="907" spans="1:19" ht="18" customHeight="1" x14ac:dyDescent="0.25">
      <c r="A907" s="38"/>
      <c r="B907" s="49"/>
      <c r="C907" s="31" t="s">
        <v>0</v>
      </c>
      <c r="D907" s="27"/>
      <c r="E907" s="23"/>
      <c r="F907" s="23"/>
      <c r="G907" s="23"/>
      <c r="H907" s="23"/>
      <c r="I907" s="23"/>
      <c r="J907" s="43"/>
      <c r="K907" s="43"/>
      <c r="L907" s="43"/>
      <c r="M907" s="43"/>
      <c r="N907" s="53"/>
      <c r="O907" s="43"/>
      <c r="P907" s="43"/>
      <c r="Q907" s="43"/>
      <c r="R907" s="43"/>
      <c r="S907" s="51"/>
    </row>
    <row r="908" spans="1:19" ht="18" customHeight="1" x14ac:dyDescent="0.25">
      <c r="A908" s="38"/>
      <c r="B908" s="49"/>
      <c r="C908" s="31" t="s">
        <v>1</v>
      </c>
      <c r="D908" s="27">
        <f t="shared" ref="D908" si="211">SUM(E908:I908)</f>
        <v>4500</v>
      </c>
      <c r="E908" s="23">
        <v>4500</v>
      </c>
      <c r="F908" s="23"/>
      <c r="G908" s="23"/>
      <c r="H908" s="23"/>
      <c r="I908" s="23"/>
      <c r="J908" s="43"/>
      <c r="K908" s="43"/>
      <c r="L908" s="43"/>
      <c r="M908" s="43"/>
      <c r="N908" s="53"/>
      <c r="O908" s="43"/>
      <c r="P908" s="43"/>
      <c r="Q908" s="43"/>
      <c r="R908" s="43"/>
      <c r="S908" s="51"/>
    </row>
    <row r="909" spans="1:19" ht="18" customHeight="1" x14ac:dyDescent="0.25">
      <c r="A909" s="38"/>
      <c r="B909" s="49"/>
      <c r="C909" s="31" t="s">
        <v>2</v>
      </c>
      <c r="D909" s="27">
        <f>E909</f>
        <v>91.84</v>
      </c>
      <c r="E909" s="23">
        <v>91.84</v>
      </c>
      <c r="F909" s="23"/>
      <c r="G909" s="23"/>
      <c r="H909" s="23"/>
      <c r="I909" s="23"/>
      <c r="J909" s="43"/>
      <c r="K909" s="43"/>
      <c r="L909" s="43"/>
      <c r="M909" s="43"/>
      <c r="N909" s="53"/>
      <c r="O909" s="43"/>
      <c r="P909" s="43"/>
      <c r="Q909" s="43"/>
      <c r="R909" s="43"/>
      <c r="S909" s="51"/>
    </row>
    <row r="910" spans="1:19" ht="18" customHeight="1" x14ac:dyDescent="0.25">
      <c r="A910" s="38"/>
      <c r="B910" s="49"/>
      <c r="C910" s="31" t="s">
        <v>3</v>
      </c>
      <c r="D910" s="27"/>
      <c r="E910" s="23"/>
      <c r="F910" s="23"/>
      <c r="G910" s="23"/>
      <c r="H910" s="23"/>
      <c r="I910" s="23"/>
      <c r="J910" s="43"/>
      <c r="K910" s="43"/>
      <c r="L910" s="43"/>
      <c r="M910" s="43"/>
      <c r="N910" s="53"/>
      <c r="O910" s="43"/>
      <c r="P910" s="43"/>
      <c r="Q910" s="43"/>
      <c r="R910" s="43"/>
      <c r="S910" s="51"/>
    </row>
    <row r="911" spans="1:19" ht="18.75" customHeight="1" x14ac:dyDescent="0.25">
      <c r="A911" s="37" t="s">
        <v>78</v>
      </c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</row>
    <row r="912" spans="1:19" ht="21" customHeight="1" x14ac:dyDescent="0.25">
      <c r="A912" s="38"/>
      <c r="B912" s="48" t="s">
        <v>577</v>
      </c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</row>
    <row r="913" spans="1:19" ht="18.75" customHeight="1" x14ac:dyDescent="0.25">
      <c r="A913" s="38"/>
      <c r="B913" s="49" t="s">
        <v>293</v>
      </c>
      <c r="C913" s="50" t="s">
        <v>178</v>
      </c>
      <c r="D913" s="50"/>
      <c r="E913" s="50"/>
      <c r="F913" s="50"/>
      <c r="G913" s="50"/>
      <c r="H913" s="50"/>
      <c r="I913" s="50"/>
      <c r="J913" s="43" t="s">
        <v>373</v>
      </c>
      <c r="K913" s="43" t="s">
        <v>828</v>
      </c>
      <c r="L913" s="43" t="s">
        <v>395</v>
      </c>
      <c r="M913" s="43" t="s">
        <v>498</v>
      </c>
      <c r="N913" s="53" t="s">
        <v>777</v>
      </c>
      <c r="O913" s="43" t="s">
        <v>12</v>
      </c>
      <c r="P913" s="43" t="s">
        <v>179</v>
      </c>
      <c r="Q913" s="43" t="s">
        <v>44</v>
      </c>
      <c r="R913" s="43" t="s">
        <v>795</v>
      </c>
      <c r="S913" s="51"/>
    </row>
    <row r="914" spans="1:19" ht="18.75" customHeight="1" x14ac:dyDescent="0.25">
      <c r="A914" s="38"/>
      <c r="B914" s="49"/>
      <c r="C914" s="31" t="s">
        <v>6</v>
      </c>
      <c r="D914" s="27">
        <f>SUM(D915:D918)</f>
        <v>14285.71429</v>
      </c>
      <c r="E914" s="23">
        <f t="shared" ref="E914" si="212">SUM(E915:E918)</f>
        <v>14285.71429</v>
      </c>
      <c r="F914" s="23"/>
      <c r="G914" s="23"/>
      <c r="H914" s="23"/>
      <c r="I914" s="23"/>
      <c r="J914" s="43"/>
      <c r="K914" s="43"/>
      <c r="L914" s="43"/>
      <c r="M914" s="43"/>
      <c r="N914" s="53"/>
      <c r="O914" s="43"/>
      <c r="P914" s="43"/>
      <c r="Q914" s="43"/>
      <c r="R914" s="43"/>
      <c r="S914" s="51"/>
    </row>
    <row r="915" spans="1:19" ht="18.75" customHeight="1" x14ac:dyDescent="0.25">
      <c r="A915" s="38"/>
      <c r="B915" s="49"/>
      <c r="C915" s="31" t="s">
        <v>0</v>
      </c>
      <c r="D915" s="27"/>
      <c r="E915" s="23"/>
      <c r="F915" s="23"/>
      <c r="G915" s="23"/>
      <c r="H915" s="23"/>
      <c r="I915" s="23"/>
      <c r="J915" s="43"/>
      <c r="K915" s="43"/>
      <c r="L915" s="43"/>
      <c r="M915" s="43"/>
      <c r="N915" s="53"/>
      <c r="O915" s="43"/>
      <c r="P915" s="43"/>
      <c r="Q915" s="43"/>
      <c r="R915" s="43"/>
      <c r="S915" s="51"/>
    </row>
    <row r="916" spans="1:19" ht="18.75" customHeight="1" x14ac:dyDescent="0.25">
      <c r="A916" s="38"/>
      <c r="B916" s="49"/>
      <c r="C916" s="31" t="s">
        <v>1</v>
      </c>
      <c r="D916" s="27">
        <f t="shared" ref="D916" si="213">SUM(E916:I916)</f>
        <v>14000</v>
      </c>
      <c r="E916" s="23">
        <v>14000</v>
      </c>
      <c r="F916" s="23"/>
      <c r="G916" s="23"/>
      <c r="H916" s="23"/>
      <c r="I916" s="23"/>
      <c r="J916" s="43"/>
      <c r="K916" s="43"/>
      <c r="L916" s="43"/>
      <c r="M916" s="43"/>
      <c r="N916" s="53"/>
      <c r="O916" s="43"/>
      <c r="P916" s="43"/>
      <c r="Q916" s="43"/>
      <c r="R916" s="43"/>
      <c r="S916" s="51"/>
    </row>
    <row r="917" spans="1:19" ht="18.75" customHeight="1" x14ac:dyDescent="0.25">
      <c r="A917" s="38"/>
      <c r="B917" s="49"/>
      <c r="C917" s="31" t="s">
        <v>2</v>
      </c>
      <c r="D917" s="27">
        <f>E917</f>
        <v>285.71429000000001</v>
      </c>
      <c r="E917" s="23">
        <v>285.71429000000001</v>
      </c>
      <c r="F917" s="23"/>
      <c r="G917" s="23"/>
      <c r="H917" s="23"/>
      <c r="I917" s="23"/>
      <c r="J917" s="43"/>
      <c r="K917" s="43"/>
      <c r="L917" s="43"/>
      <c r="M917" s="43"/>
      <c r="N917" s="53"/>
      <c r="O917" s="43"/>
      <c r="P917" s="43"/>
      <c r="Q917" s="43"/>
      <c r="R917" s="43"/>
      <c r="S917" s="51"/>
    </row>
    <row r="918" spans="1:19" ht="18.75" customHeight="1" x14ac:dyDescent="0.25">
      <c r="A918" s="38"/>
      <c r="B918" s="49"/>
      <c r="C918" s="31" t="s">
        <v>3</v>
      </c>
      <c r="D918" s="27"/>
      <c r="E918" s="23"/>
      <c r="F918" s="23"/>
      <c r="G918" s="23"/>
      <c r="H918" s="23"/>
      <c r="I918" s="23"/>
      <c r="J918" s="43"/>
      <c r="K918" s="43"/>
      <c r="L918" s="43"/>
      <c r="M918" s="43"/>
      <c r="N918" s="53"/>
      <c r="O918" s="43"/>
      <c r="P918" s="43"/>
      <c r="Q918" s="43"/>
      <c r="R918" s="43"/>
      <c r="S918" s="51"/>
    </row>
    <row r="919" spans="1:19" ht="18.75" customHeight="1" x14ac:dyDescent="0.25">
      <c r="A919" s="37" t="s">
        <v>78</v>
      </c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</row>
    <row r="920" spans="1:19" ht="21" customHeight="1" x14ac:dyDescent="0.25">
      <c r="A920" s="38"/>
      <c r="B920" s="48" t="s">
        <v>578</v>
      </c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</row>
    <row r="921" spans="1:19" ht="18.75" customHeight="1" x14ac:dyDescent="0.25">
      <c r="A921" s="38"/>
      <c r="B921" s="49" t="s">
        <v>294</v>
      </c>
      <c r="C921" s="41" t="s">
        <v>1033</v>
      </c>
      <c r="D921" s="41"/>
      <c r="E921" s="41"/>
      <c r="F921" s="41"/>
      <c r="G921" s="41"/>
      <c r="H921" s="41"/>
      <c r="I921" s="41"/>
      <c r="J921" s="43" t="s">
        <v>15</v>
      </c>
      <c r="K921" s="43" t="s">
        <v>828</v>
      </c>
      <c r="L921" s="43" t="s">
        <v>796</v>
      </c>
      <c r="M921" s="43" t="s">
        <v>469</v>
      </c>
      <c r="N921" s="53" t="s">
        <v>1034</v>
      </c>
      <c r="O921" s="43" t="s">
        <v>12</v>
      </c>
      <c r="P921" s="43" t="s">
        <v>13</v>
      </c>
      <c r="Q921" s="43" t="s">
        <v>44</v>
      </c>
      <c r="R921" s="43"/>
      <c r="S921" s="51"/>
    </row>
    <row r="922" spans="1:19" ht="18.75" customHeight="1" x14ac:dyDescent="0.25">
      <c r="A922" s="38"/>
      <c r="B922" s="49"/>
      <c r="C922" s="30" t="s">
        <v>6</v>
      </c>
      <c r="D922" s="29">
        <f>SUM(D923:D926)</f>
        <v>3571.42857</v>
      </c>
      <c r="E922" s="25">
        <f t="shared" ref="E922" si="214">SUM(E923:E926)</f>
        <v>3571.42857</v>
      </c>
      <c r="F922" s="25"/>
      <c r="G922" s="25"/>
      <c r="H922" s="25"/>
      <c r="I922" s="25"/>
      <c r="J922" s="43"/>
      <c r="K922" s="43"/>
      <c r="L922" s="43"/>
      <c r="M922" s="43"/>
      <c r="N922" s="53"/>
      <c r="O922" s="43"/>
      <c r="P922" s="43"/>
      <c r="Q922" s="43"/>
      <c r="R922" s="43"/>
      <c r="S922" s="51"/>
    </row>
    <row r="923" spans="1:19" ht="18.75" customHeight="1" x14ac:dyDescent="0.25">
      <c r="A923" s="38"/>
      <c r="B923" s="49"/>
      <c r="C923" s="30" t="s">
        <v>0</v>
      </c>
      <c r="D923" s="29"/>
      <c r="E923" s="25"/>
      <c r="F923" s="25"/>
      <c r="G923" s="25"/>
      <c r="H923" s="25"/>
      <c r="I923" s="25"/>
      <c r="J923" s="43"/>
      <c r="K923" s="43"/>
      <c r="L923" s="43"/>
      <c r="M923" s="43"/>
      <c r="N923" s="53"/>
      <c r="O923" s="43"/>
      <c r="P923" s="43"/>
      <c r="Q923" s="43"/>
      <c r="R923" s="43"/>
      <c r="S923" s="51"/>
    </row>
    <row r="924" spans="1:19" ht="18.75" customHeight="1" x14ac:dyDescent="0.25">
      <c r="A924" s="38"/>
      <c r="B924" s="49"/>
      <c r="C924" s="30" t="s">
        <v>1</v>
      </c>
      <c r="D924" s="29">
        <f t="shared" ref="D924" si="215">SUM(E924:I924)</f>
        <v>3500</v>
      </c>
      <c r="E924" s="25">
        <v>3500</v>
      </c>
      <c r="F924" s="25"/>
      <c r="G924" s="25"/>
      <c r="H924" s="25"/>
      <c r="I924" s="25"/>
      <c r="J924" s="43"/>
      <c r="K924" s="43"/>
      <c r="L924" s="43"/>
      <c r="M924" s="43"/>
      <c r="N924" s="53"/>
      <c r="O924" s="43"/>
      <c r="P924" s="43"/>
      <c r="Q924" s="43"/>
      <c r="R924" s="43"/>
      <c r="S924" s="51"/>
    </row>
    <row r="925" spans="1:19" ht="18.75" customHeight="1" x14ac:dyDescent="0.25">
      <c r="A925" s="38"/>
      <c r="B925" s="49"/>
      <c r="C925" s="30" t="s">
        <v>2</v>
      </c>
      <c r="D925" s="29">
        <f>E925</f>
        <v>71.428569999999993</v>
      </c>
      <c r="E925" s="25">
        <v>71.428569999999993</v>
      </c>
      <c r="F925" s="25"/>
      <c r="G925" s="25"/>
      <c r="H925" s="25"/>
      <c r="I925" s="25"/>
      <c r="J925" s="43"/>
      <c r="K925" s="43"/>
      <c r="L925" s="43"/>
      <c r="M925" s="43"/>
      <c r="N925" s="53"/>
      <c r="O925" s="43"/>
      <c r="P925" s="43"/>
      <c r="Q925" s="43"/>
      <c r="R925" s="43"/>
      <c r="S925" s="51"/>
    </row>
    <row r="926" spans="1:19" ht="18.75" customHeight="1" x14ac:dyDescent="0.25">
      <c r="A926" s="38"/>
      <c r="B926" s="49"/>
      <c r="C926" s="30" t="s">
        <v>3</v>
      </c>
      <c r="D926" s="29"/>
      <c r="E926" s="25"/>
      <c r="F926" s="25"/>
      <c r="G926" s="25"/>
      <c r="H926" s="25"/>
      <c r="I926" s="25"/>
      <c r="J926" s="43"/>
      <c r="K926" s="43"/>
      <c r="L926" s="43"/>
      <c r="M926" s="43"/>
      <c r="N926" s="53"/>
      <c r="O926" s="43"/>
      <c r="P926" s="43"/>
      <c r="Q926" s="43"/>
      <c r="R926" s="43"/>
      <c r="S926" s="51"/>
    </row>
    <row r="927" spans="1:19" ht="18.75" customHeight="1" x14ac:dyDescent="0.25">
      <c r="A927" s="37" t="s">
        <v>78</v>
      </c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</row>
    <row r="928" spans="1:19" ht="21" customHeight="1" x14ac:dyDescent="0.25">
      <c r="A928" s="38"/>
      <c r="B928" s="48" t="s">
        <v>578</v>
      </c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</row>
    <row r="929" spans="1:19" ht="18.75" customHeight="1" x14ac:dyDescent="0.25">
      <c r="A929" s="38"/>
      <c r="B929" s="49" t="s">
        <v>295</v>
      </c>
      <c r="C929" s="41" t="s">
        <v>1035</v>
      </c>
      <c r="D929" s="41"/>
      <c r="E929" s="41"/>
      <c r="F929" s="41"/>
      <c r="G929" s="41"/>
      <c r="H929" s="41"/>
      <c r="I929" s="41"/>
      <c r="J929" s="43" t="s">
        <v>15</v>
      </c>
      <c r="K929" s="43" t="s">
        <v>828</v>
      </c>
      <c r="L929" s="43" t="s">
        <v>796</v>
      </c>
      <c r="M929" s="43" t="s">
        <v>469</v>
      </c>
      <c r="N929" s="53" t="s">
        <v>1036</v>
      </c>
      <c r="O929" s="43" t="s">
        <v>12</v>
      </c>
      <c r="P929" s="43" t="s">
        <v>13</v>
      </c>
      <c r="Q929" s="43" t="s">
        <v>44</v>
      </c>
      <c r="R929" s="43"/>
      <c r="S929" s="51"/>
    </row>
    <row r="930" spans="1:19" ht="18.75" customHeight="1" x14ac:dyDescent="0.25">
      <c r="A930" s="38"/>
      <c r="B930" s="49"/>
      <c r="C930" s="30" t="s">
        <v>6</v>
      </c>
      <c r="D930" s="29">
        <f>SUM(D931:D934)</f>
        <v>3316.3265306122448</v>
      </c>
      <c r="E930" s="25">
        <f t="shared" ref="E930" si="216">SUM(E931:E934)</f>
        <v>3316.3265306122448</v>
      </c>
      <c r="F930" s="25"/>
      <c r="G930" s="25"/>
      <c r="H930" s="25"/>
      <c r="I930" s="25"/>
      <c r="J930" s="43"/>
      <c r="K930" s="43"/>
      <c r="L930" s="43"/>
      <c r="M930" s="43"/>
      <c r="N930" s="53"/>
      <c r="O930" s="43"/>
      <c r="P930" s="43"/>
      <c r="Q930" s="43"/>
      <c r="R930" s="43"/>
      <c r="S930" s="51"/>
    </row>
    <row r="931" spans="1:19" ht="18.75" customHeight="1" x14ac:dyDescent="0.25">
      <c r="A931" s="38"/>
      <c r="B931" s="49"/>
      <c r="C931" s="30" t="s">
        <v>0</v>
      </c>
      <c r="D931" s="29"/>
      <c r="E931" s="25"/>
      <c r="F931" s="25"/>
      <c r="G931" s="25"/>
      <c r="H931" s="25"/>
      <c r="I931" s="25"/>
      <c r="J931" s="43"/>
      <c r="K931" s="43"/>
      <c r="L931" s="43"/>
      <c r="M931" s="43"/>
      <c r="N931" s="53"/>
      <c r="O931" s="43"/>
      <c r="P931" s="43"/>
      <c r="Q931" s="43"/>
      <c r="R931" s="43"/>
      <c r="S931" s="51"/>
    </row>
    <row r="932" spans="1:19" ht="18.75" customHeight="1" x14ac:dyDescent="0.25">
      <c r="A932" s="38"/>
      <c r="B932" s="49"/>
      <c r="C932" s="30" t="s">
        <v>1</v>
      </c>
      <c r="D932" s="29">
        <f t="shared" ref="D932" si="217">SUM(E932:I932)</f>
        <v>3250</v>
      </c>
      <c r="E932" s="25">
        <v>3250</v>
      </c>
      <c r="F932" s="25"/>
      <c r="G932" s="25"/>
      <c r="H932" s="25"/>
      <c r="I932" s="25"/>
      <c r="J932" s="43"/>
      <c r="K932" s="43"/>
      <c r="L932" s="43"/>
      <c r="M932" s="43"/>
      <c r="N932" s="53"/>
      <c r="O932" s="43"/>
      <c r="P932" s="43"/>
      <c r="Q932" s="43"/>
      <c r="R932" s="43"/>
      <c r="S932" s="51"/>
    </row>
    <row r="933" spans="1:19" ht="18.75" customHeight="1" x14ac:dyDescent="0.25">
      <c r="A933" s="38"/>
      <c r="B933" s="49"/>
      <c r="C933" s="30" t="s">
        <v>2</v>
      </c>
      <c r="D933" s="29">
        <f>E933</f>
        <v>66.326530612244895</v>
      </c>
      <c r="E933" s="25">
        <v>66.326530612244895</v>
      </c>
      <c r="F933" s="25"/>
      <c r="G933" s="25"/>
      <c r="H933" s="25"/>
      <c r="I933" s="25"/>
      <c r="J933" s="43"/>
      <c r="K933" s="43"/>
      <c r="L933" s="43"/>
      <c r="M933" s="43"/>
      <c r="N933" s="53"/>
      <c r="O933" s="43"/>
      <c r="P933" s="43"/>
      <c r="Q933" s="43"/>
      <c r="R933" s="43"/>
      <c r="S933" s="51"/>
    </row>
    <row r="934" spans="1:19" ht="18.75" customHeight="1" x14ac:dyDescent="0.25">
      <c r="A934" s="38"/>
      <c r="B934" s="49"/>
      <c r="C934" s="30" t="s">
        <v>3</v>
      </c>
      <c r="D934" s="29"/>
      <c r="E934" s="25"/>
      <c r="F934" s="25"/>
      <c r="G934" s="25"/>
      <c r="H934" s="25"/>
      <c r="I934" s="25"/>
      <c r="J934" s="43"/>
      <c r="K934" s="43"/>
      <c r="L934" s="43"/>
      <c r="M934" s="43"/>
      <c r="N934" s="53"/>
      <c r="O934" s="43"/>
      <c r="P934" s="43"/>
      <c r="Q934" s="43"/>
      <c r="R934" s="43"/>
      <c r="S934" s="51"/>
    </row>
    <row r="935" spans="1:19" ht="18.75" customHeight="1" x14ac:dyDescent="0.25">
      <c r="A935" s="37" t="s">
        <v>78</v>
      </c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</row>
    <row r="936" spans="1:19" ht="21" customHeight="1" x14ac:dyDescent="0.25">
      <c r="A936" s="38"/>
      <c r="B936" s="48" t="s">
        <v>578</v>
      </c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</row>
    <row r="937" spans="1:19" ht="18.75" customHeight="1" x14ac:dyDescent="0.25">
      <c r="A937" s="38"/>
      <c r="B937" s="49" t="s">
        <v>296</v>
      </c>
      <c r="C937" s="41" t="s">
        <v>1037</v>
      </c>
      <c r="D937" s="41"/>
      <c r="E937" s="41"/>
      <c r="F937" s="41"/>
      <c r="G937" s="41"/>
      <c r="H937" s="41"/>
      <c r="I937" s="41"/>
      <c r="J937" s="43" t="s">
        <v>15</v>
      </c>
      <c r="K937" s="43" t="s">
        <v>828</v>
      </c>
      <c r="L937" s="43" t="s">
        <v>796</v>
      </c>
      <c r="M937" s="43" t="s">
        <v>469</v>
      </c>
      <c r="N937" s="53" t="s">
        <v>1036</v>
      </c>
      <c r="O937" s="43" t="s">
        <v>12</v>
      </c>
      <c r="P937" s="43" t="s">
        <v>13</v>
      </c>
      <c r="Q937" s="43" t="s">
        <v>44</v>
      </c>
      <c r="R937" s="43"/>
      <c r="S937" s="51"/>
    </row>
    <row r="938" spans="1:19" ht="18.75" customHeight="1" x14ac:dyDescent="0.25">
      <c r="A938" s="38"/>
      <c r="B938" s="49"/>
      <c r="C938" s="30" t="s">
        <v>6</v>
      </c>
      <c r="D938" s="29">
        <f>SUM(D939:D942)</f>
        <v>3316.3265306122448</v>
      </c>
      <c r="E938" s="25">
        <f t="shared" ref="E938" si="218">SUM(E939:E942)</f>
        <v>3316.3265306122448</v>
      </c>
      <c r="F938" s="25"/>
      <c r="G938" s="25"/>
      <c r="H938" s="25"/>
      <c r="I938" s="25"/>
      <c r="J938" s="43"/>
      <c r="K938" s="43"/>
      <c r="L938" s="43"/>
      <c r="M938" s="43"/>
      <c r="N938" s="53"/>
      <c r="O938" s="43"/>
      <c r="P938" s="43"/>
      <c r="Q938" s="43"/>
      <c r="R938" s="43"/>
      <c r="S938" s="51"/>
    </row>
    <row r="939" spans="1:19" ht="18.75" customHeight="1" x14ac:dyDescent="0.25">
      <c r="A939" s="38"/>
      <c r="B939" s="49"/>
      <c r="C939" s="30" t="s">
        <v>0</v>
      </c>
      <c r="D939" s="29"/>
      <c r="E939" s="25"/>
      <c r="F939" s="25"/>
      <c r="G939" s="25"/>
      <c r="H939" s="25"/>
      <c r="I939" s="25"/>
      <c r="J939" s="43"/>
      <c r="K939" s="43"/>
      <c r="L939" s="43"/>
      <c r="M939" s="43"/>
      <c r="N939" s="53"/>
      <c r="O939" s="43"/>
      <c r="P939" s="43"/>
      <c r="Q939" s="43"/>
      <c r="R939" s="43"/>
      <c r="S939" s="51"/>
    </row>
    <row r="940" spans="1:19" ht="18.75" customHeight="1" x14ac:dyDescent="0.25">
      <c r="A940" s="38"/>
      <c r="B940" s="49"/>
      <c r="C940" s="30" t="s">
        <v>1</v>
      </c>
      <c r="D940" s="29">
        <f t="shared" ref="D940" si="219">SUM(E940:I940)</f>
        <v>3250</v>
      </c>
      <c r="E940" s="25">
        <v>3250</v>
      </c>
      <c r="F940" s="25"/>
      <c r="G940" s="25"/>
      <c r="H940" s="25"/>
      <c r="I940" s="25"/>
      <c r="J940" s="43"/>
      <c r="K940" s="43"/>
      <c r="L940" s="43"/>
      <c r="M940" s="43"/>
      <c r="N940" s="53"/>
      <c r="O940" s="43"/>
      <c r="P940" s="43"/>
      <c r="Q940" s="43"/>
      <c r="R940" s="43"/>
      <c r="S940" s="51"/>
    </row>
    <row r="941" spans="1:19" ht="18.75" customHeight="1" x14ac:dyDescent="0.25">
      <c r="A941" s="38"/>
      <c r="B941" s="49"/>
      <c r="C941" s="30" t="s">
        <v>2</v>
      </c>
      <c r="D941" s="29">
        <f>E941</f>
        <v>66.326530612244895</v>
      </c>
      <c r="E941" s="25">
        <v>66.326530612244895</v>
      </c>
      <c r="F941" s="25"/>
      <c r="G941" s="25"/>
      <c r="H941" s="25"/>
      <c r="I941" s="25"/>
      <c r="J941" s="43"/>
      <c r="K941" s="43"/>
      <c r="L941" s="43"/>
      <c r="M941" s="43"/>
      <c r="N941" s="53"/>
      <c r="O941" s="43"/>
      <c r="P941" s="43"/>
      <c r="Q941" s="43"/>
      <c r="R941" s="43"/>
      <c r="S941" s="51"/>
    </row>
    <row r="942" spans="1:19" ht="18.75" customHeight="1" x14ac:dyDescent="0.25">
      <c r="A942" s="38"/>
      <c r="B942" s="49"/>
      <c r="C942" s="30" t="s">
        <v>3</v>
      </c>
      <c r="D942" s="29"/>
      <c r="E942" s="25"/>
      <c r="F942" s="25"/>
      <c r="G942" s="25"/>
      <c r="H942" s="25"/>
      <c r="I942" s="25"/>
      <c r="J942" s="43"/>
      <c r="K942" s="43"/>
      <c r="L942" s="43"/>
      <c r="M942" s="43"/>
      <c r="N942" s="53"/>
      <c r="O942" s="43"/>
      <c r="P942" s="43"/>
      <c r="Q942" s="43"/>
      <c r="R942" s="43"/>
      <c r="S942" s="51"/>
    </row>
    <row r="943" spans="1:19" ht="18.75" customHeight="1" x14ac:dyDescent="0.25">
      <c r="A943" s="72" t="s">
        <v>78</v>
      </c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4"/>
    </row>
    <row r="944" spans="1:19" ht="21" customHeight="1" x14ac:dyDescent="0.25">
      <c r="A944" s="38"/>
      <c r="B944" s="75" t="s">
        <v>578</v>
      </c>
      <c r="C944" s="76"/>
      <c r="D944" s="76"/>
      <c r="E944" s="76"/>
      <c r="F944" s="76"/>
      <c r="G944" s="76"/>
      <c r="H944" s="76"/>
      <c r="I944" s="76"/>
      <c r="J944" s="76"/>
      <c r="K944" s="76"/>
      <c r="L944" s="76"/>
      <c r="M944" s="76"/>
      <c r="N944" s="76"/>
      <c r="O944" s="76"/>
      <c r="P944" s="76"/>
      <c r="Q944" s="76"/>
      <c r="R944" s="76"/>
      <c r="S944" s="77"/>
    </row>
    <row r="945" spans="1:19" ht="18.75" customHeight="1" x14ac:dyDescent="0.25">
      <c r="A945" s="38"/>
      <c r="B945" s="49" t="s">
        <v>1059</v>
      </c>
      <c r="C945" s="68" t="s">
        <v>902</v>
      </c>
      <c r="D945" s="69"/>
      <c r="E945" s="69"/>
      <c r="F945" s="69"/>
      <c r="G945" s="69"/>
      <c r="H945" s="69"/>
      <c r="I945" s="70"/>
      <c r="J945" s="43" t="s">
        <v>16</v>
      </c>
      <c r="K945" s="43" t="s">
        <v>828</v>
      </c>
      <c r="L945" s="43" t="s">
        <v>796</v>
      </c>
      <c r="M945" s="43" t="s">
        <v>473</v>
      </c>
      <c r="N945" s="53" t="s">
        <v>797</v>
      </c>
      <c r="O945" s="43" t="s">
        <v>12</v>
      </c>
      <c r="P945" s="43" t="s">
        <v>37</v>
      </c>
      <c r="Q945" s="43" t="s">
        <v>9</v>
      </c>
      <c r="R945" s="43"/>
      <c r="S945" s="51"/>
    </row>
    <row r="946" spans="1:19" ht="18.75" customHeight="1" x14ac:dyDescent="0.25">
      <c r="A946" s="38"/>
      <c r="B946" s="49"/>
      <c r="C946" s="31" t="s">
        <v>6</v>
      </c>
      <c r="D946" s="27">
        <f>SUM(D947:D950)</f>
        <v>4455</v>
      </c>
      <c r="E946" s="23">
        <f t="shared" ref="E946" si="220">SUM(E947:E950)</f>
        <v>4455</v>
      </c>
      <c r="F946" s="23"/>
      <c r="G946" s="23"/>
      <c r="H946" s="23"/>
      <c r="I946" s="23"/>
      <c r="J946" s="43"/>
      <c r="K946" s="43"/>
      <c r="L946" s="43"/>
      <c r="M946" s="43"/>
      <c r="N946" s="53"/>
      <c r="O946" s="43"/>
      <c r="P946" s="43"/>
      <c r="Q946" s="43"/>
      <c r="R946" s="43"/>
      <c r="S946" s="51"/>
    </row>
    <row r="947" spans="1:19" ht="18.75" customHeight="1" x14ac:dyDescent="0.25">
      <c r="A947" s="38"/>
      <c r="B947" s="49"/>
      <c r="C947" s="31" t="s">
        <v>0</v>
      </c>
      <c r="D947" s="27"/>
      <c r="E947" s="23"/>
      <c r="F947" s="23"/>
      <c r="G947" s="23"/>
      <c r="H947" s="23"/>
      <c r="I947" s="23"/>
      <c r="J947" s="43"/>
      <c r="K947" s="43"/>
      <c r="L947" s="43"/>
      <c r="M947" s="43"/>
      <c r="N947" s="53"/>
      <c r="O947" s="43"/>
      <c r="P947" s="43"/>
      <c r="Q947" s="43"/>
      <c r="R947" s="43"/>
      <c r="S947" s="51"/>
    </row>
    <row r="948" spans="1:19" ht="18.75" customHeight="1" x14ac:dyDescent="0.25">
      <c r="A948" s="38"/>
      <c r="B948" s="49"/>
      <c r="C948" s="31" t="s">
        <v>1</v>
      </c>
      <c r="D948" s="27">
        <f t="shared" ref="D948" si="221">SUM(E948:I948)</f>
        <v>4365.8999999999996</v>
      </c>
      <c r="E948" s="23">
        <v>4365.8999999999996</v>
      </c>
      <c r="F948" s="23"/>
      <c r="G948" s="23"/>
      <c r="H948" s="23"/>
      <c r="I948" s="23"/>
      <c r="J948" s="43"/>
      <c r="K948" s="43"/>
      <c r="L948" s="43"/>
      <c r="M948" s="43"/>
      <c r="N948" s="53"/>
      <c r="O948" s="43"/>
      <c r="P948" s="43"/>
      <c r="Q948" s="43"/>
      <c r="R948" s="43"/>
      <c r="S948" s="51"/>
    </row>
    <row r="949" spans="1:19" ht="18.75" customHeight="1" x14ac:dyDescent="0.25">
      <c r="A949" s="38"/>
      <c r="B949" s="49"/>
      <c r="C949" s="31" t="s">
        <v>2</v>
      </c>
      <c r="D949" s="27">
        <f>E949</f>
        <v>89.1</v>
      </c>
      <c r="E949" s="23">
        <v>89.1</v>
      </c>
      <c r="F949" s="23"/>
      <c r="G949" s="23"/>
      <c r="H949" s="23"/>
      <c r="I949" s="23"/>
      <c r="J949" s="43"/>
      <c r="K949" s="43"/>
      <c r="L949" s="43"/>
      <c r="M949" s="43"/>
      <c r="N949" s="53"/>
      <c r="O949" s="43"/>
      <c r="P949" s="43"/>
      <c r="Q949" s="43"/>
      <c r="R949" s="43"/>
      <c r="S949" s="51"/>
    </row>
    <row r="950" spans="1:19" ht="18.75" customHeight="1" x14ac:dyDescent="0.25">
      <c r="A950" s="38"/>
      <c r="B950" s="49"/>
      <c r="C950" s="31" t="s">
        <v>3</v>
      </c>
      <c r="D950" s="27"/>
      <c r="E950" s="23"/>
      <c r="F950" s="23"/>
      <c r="G950" s="23"/>
      <c r="H950" s="23"/>
      <c r="I950" s="23"/>
      <c r="J950" s="43"/>
      <c r="K950" s="43"/>
      <c r="L950" s="43"/>
      <c r="M950" s="43"/>
      <c r="N950" s="53"/>
      <c r="O950" s="43"/>
      <c r="P950" s="43"/>
      <c r="Q950" s="43"/>
      <c r="R950" s="43"/>
      <c r="S950" s="51"/>
    </row>
    <row r="951" spans="1:19" ht="18.75" customHeight="1" x14ac:dyDescent="0.25">
      <c r="A951" s="37" t="s">
        <v>78</v>
      </c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</row>
    <row r="952" spans="1:19" ht="21" customHeight="1" x14ac:dyDescent="0.25">
      <c r="A952" s="38"/>
      <c r="B952" s="48" t="s">
        <v>578</v>
      </c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</row>
    <row r="953" spans="1:19" ht="29.25" customHeight="1" x14ac:dyDescent="0.25">
      <c r="A953" s="38"/>
      <c r="B953" s="40" t="s">
        <v>297</v>
      </c>
      <c r="C953" s="41" t="s">
        <v>948</v>
      </c>
      <c r="D953" s="41"/>
      <c r="E953" s="41"/>
      <c r="F953" s="41"/>
      <c r="G953" s="41"/>
      <c r="H953" s="41"/>
      <c r="I953" s="41"/>
      <c r="J953" s="42" t="s">
        <v>14</v>
      </c>
      <c r="K953" s="43" t="s">
        <v>828</v>
      </c>
      <c r="L953" s="43" t="s">
        <v>921</v>
      </c>
      <c r="M953" s="43" t="s">
        <v>469</v>
      </c>
      <c r="N953" s="44" t="s">
        <v>923</v>
      </c>
      <c r="O953" s="43" t="s">
        <v>12</v>
      </c>
      <c r="P953" s="42" t="s">
        <v>925</v>
      </c>
      <c r="Q953" s="43" t="s">
        <v>44</v>
      </c>
      <c r="R953" s="43" t="s">
        <v>926</v>
      </c>
      <c r="S953" s="51" t="s">
        <v>927</v>
      </c>
    </row>
    <row r="954" spans="1:19" ht="18.75" customHeight="1" x14ac:dyDescent="0.25">
      <c r="A954" s="38"/>
      <c r="B954" s="40"/>
      <c r="C954" s="31" t="s">
        <v>6</v>
      </c>
      <c r="D954" s="27">
        <f>SUM(D955:D958)</f>
        <v>34095</v>
      </c>
      <c r="E954" s="23">
        <f t="shared" ref="E954" si="222">SUM(E955:E958)</f>
        <v>34095</v>
      </c>
      <c r="F954" s="23"/>
      <c r="G954" s="23"/>
      <c r="H954" s="23"/>
      <c r="I954" s="23"/>
      <c r="J954" s="42"/>
      <c r="K954" s="43"/>
      <c r="L954" s="43"/>
      <c r="M954" s="43"/>
      <c r="N954" s="44"/>
      <c r="O954" s="43"/>
      <c r="P954" s="42"/>
      <c r="Q954" s="43"/>
      <c r="R954" s="43"/>
      <c r="S954" s="51"/>
    </row>
    <row r="955" spans="1:19" ht="18.75" customHeight="1" x14ac:dyDescent="0.25">
      <c r="A955" s="38"/>
      <c r="B955" s="40"/>
      <c r="C955" s="31" t="s">
        <v>0</v>
      </c>
      <c r="D955" s="27"/>
      <c r="E955" s="23"/>
      <c r="F955" s="23"/>
      <c r="G955" s="23"/>
      <c r="H955" s="23"/>
      <c r="I955" s="23"/>
      <c r="J955" s="42"/>
      <c r="K955" s="43"/>
      <c r="L955" s="43"/>
      <c r="M955" s="43"/>
      <c r="N955" s="44"/>
      <c r="O955" s="43"/>
      <c r="P955" s="42"/>
      <c r="Q955" s="43"/>
      <c r="R955" s="43"/>
      <c r="S955" s="51"/>
    </row>
    <row r="956" spans="1:19" ht="18.75" customHeight="1" x14ac:dyDescent="0.25">
      <c r="A956" s="38"/>
      <c r="B956" s="40"/>
      <c r="C956" s="31" t="s">
        <v>1</v>
      </c>
      <c r="D956" s="27">
        <f t="shared" ref="D956:D957" si="223">SUM(E956:I956)</f>
        <v>33413.1</v>
      </c>
      <c r="E956" s="23">
        <v>33413.1</v>
      </c>
      <c r="F956" s="23"/>
      <c r="G956" s="23"/>
      <c r="H956" s="23"/>
      <c r="I956" s="23"/>
      <c r="J956" s="42"/>
      <c r="K956" s="43"/>
      <c r="L956" s="43"/>
      <c r="M956" s="43"/>
      <c r="N956" s="44"/>
      <c r="O956" s="43"/>
      <c r="P956" s="42"/>
      <c r="Q956" s="43"/>
      <c r="R956" s="43"/>
      <c r="S956" s="51"/>
    </row>
    <row r="957" spans="1:19" ht="18.75" customHeight="1" x14ac:dyDescent="0.25">
      <c r="A957" s="38"/>
      <c r="B957" s="40"/>
      <c r="C957" s="31" t="s">
        <v>2</v>
      </c>
      <c r="D957" s="27">
        <f t="shared" si="223"/>
        <v>681.9</v>
      </c>
      <c r="E957" s="25">
        <f>E956*2/98</f>
        <v>681.9</v>
      </c>
      <c r="F957" s="23"/>
      <c r="G957" s="23"/>
      <c r="H957" s="23"/>
      <c r="I957" s="23"/>
      <c r="J957" s="42"/>
      <c r="K957" s="43"/>
      <c r="L957" s="43"/>
      <c r="M957" s="43"/>
      <c r="N957" s="44"/>
      <c r="O957" s="43"/>
      <c r="P957" s="42"/>
      <c r="Q957" s="43"/>
      <c r="R957" s="43"/>
      <c r="S957" s="51"/>
    </row>
    <row r="958" spans="1:19" ht="18.75" customHeight="1" x14ac:dyDescent="0.25">
      <c r="A958" s="38"/>
      <c r="B958" s="40"/>
      <c r="C958" s="31" t="s">
        <v>3</v>
      </c>
      <c r="D958" s="27"/>
      <c r="E958" s="23"/>
      <c r="F958" s="23"/>
      <c r="G958" s="23"/>
      <c r="H958" s="23"/>
      <c r="I958" s="23"/>
      <c r="J958" s="42"/>
      <c r="K958" s="43"/>
      <c r="L958" s="43"/>
      <c r="M958" s="43"/>
      <c r="N958" s="44"/>
      <c r="O958" s="43"/>
      <c r="P958" s="42"/>
      <c r="Q958" s="43"/>
      <c r="R958" s="43"/>
      <c r="S958" s="51"/>
    </row>
    <row r="959" spans="1:19" ht="18.75" customHeight="1" x14ac:dyDescent="0.25">
      <c r="A959" s="37" t="s">
        <v>78</v>
      </c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</row>
    <row r="960" spans="1:19" ht="21" customHeight="1" x14ac:dyDescent="0.25">
      <c r="A960" s="38"/>
      <c r="B960" s="48" t="s">
        <v>578</v>
      </c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</row>
    <row r="961" spans="1:19" ht="24.75" customHeight="1" x14ac:dyDescent="0.25">
      <c r="A961" s="38"/>
      <c r="B961" s="40" t="s">
        <v>298</v>
      </c>
      <c r="C961" s="41" t="s">
        <v>949</v>
      </c>
      <c r="D961" s="41"/>
      <c r="E961" s="41"/>
      <c r="F961" s="41"/>
      <c r="G961" s="41"/>
      <c r="H961" s="41"/>
      <c r="I961" s="41"/>
      <c r="J961" s="42" t="s">
        <v>14</v>
      </c>
      <c r="K961" s="43" t="s">
        <v>828</v>
      </c>
      <c r="L961" s="43" t="s">
        <v>922</v>
      </c>
      <c r="M961" s="43" t="s">
        <v>469</v>
      </c>
      <c r="N961" s="44" t="s">
        <v>924</v>
      </c>
      <c r="O961" s="43" t="s">
        <v>12</v>
      </c>
      <c r="P961" s="42" t="s">
        <v>925</v>
      </c>
      <c r="Q961" s="43" t="s">
        <v>44</v>
      </c>
      <c r="R961" s="43" t="s">
        <v>926</v>
      </c>
      <c r="S961" s="51" t="s">
        <v>928</v>
      </c>
    </row>
    <row r="962" spans="1:19" ht="18.75" customHeight="1" x14ac:dyDescent="0.25">
      <c r="A962" s="38"/>
      <c r="B962" s="40"/>
      <c r="C962" s="31" t="s">
        <v>6</v>
      </c>
      <c r="D962" s="27">
        <f>SUM(D963:D966)</f>
        <v>5919.6938775510207</v>
      </c>
      <c r="E962" s="23">
        <f t="shared" ref="E962" si="224">SUM(E963:E966)</f>
        <v>5919.6938775510207</v>
      </c>
      <c r="F962" s="23"/>
      <c r="G962" s="23"/>
      <c r="H962" s="23"/>
      <c r="I962" s="23"/>
      <c r="J962" s="42"/>
      <c r="K962" s="43"/>
      <c r="L962" s="43"/>
      <c r="M962" s="43"/>
      <c r="N962" s="44"/>
      <c r="O962" s="43"/>
      <c r="P962" s="42"/>
      <c r="Q962" s="43"/>
      <c r="R962" s="43"/>
      <c r="S962" s="51"/>
    </row>
    <row r="963" spans="1:19" ht="18.75" customHeight="1" x14ac:dyDescent="0.25">
      <c r="A963" s="38"/>
      <c r="B963" s="40"/>
      <c r="C963" s="31" t="s">
        <v>0</v>
      </c>
      <c r="D963" s="27"/>
      <c r="E963" s="23"/>
      <c r="F963" s="23"/>
      <c r="G963" s="23"/>
      <c r="H963" s="23"/>
      <c r="I963" s="23"/>
      <c r="J963" s="42"/>
      <c r="K963" s="43"/>
      <c r="L963" s="43"/>
      <c r="M963" s="43"/>
      <c r="N963" s="44"/>
      <c r="O963" s="43"/>
      <c r="P963" s="42"/>
      <c r="Q963" s="43"/>
      <c r="R963" s="43"/>
      <c r="S963" s="51"/>
    </row>
    <row r="964" spans="1:19" ht="18.75" customHeight="1" x14ac:dyDescent="0.25">
      <c r="A964" s="38"/>
      <c r="B964" s="40"/>
      <c r="C964" s="31" t="s">
        <v>1</v>
      </c>
      <c r="D964" s="27">
        <f t="shared" ref="D964:D965" si="225">SUM(E964:I964)</f>
        <v>5801.3</v>
      </c>
      <c r="E964" s="23">
        <v>5801.3</v>
      </c>
      <c r="F964" s="23"/>
      <c r="G964" s="23"/>
      <c r="H964" s="23"/>
      <c r="I964" s="23"/>
      <c r="J964" s="42"/>
      <c r="K964" s="43"/>
      <c r="L964" s="43"/>
      <c r="M964" s="43"/>
      <c r="N964" s="44"/>
      <c r="O964" s="43"/>
      <c r="P964" s="42"/>
      <c r="Q964" s="43"/>
      <c r="R964" s="43"/>
      <c r="S964" s="51"/>
    </row>
    <row r="965" spans="1:19" ht="18.75" customHeight="1" x14ac:dyDescent="0.25">
      <c r="A965" s="38"/>
      <c r="B965" s="40"/>
      <c r="C965" s="31" t="s">
        <v>2</v>
      </c>
      <c r="D965" s="27">
        <f t="shared" si="225"/>
        <v>118.39387755102041</v>
      </c>
      <c r="E965" s="25">
        <f>E964*2/98</f>
        <v>118.39387755102041</v>
      </c>
      <c r="F965" s="23"/>
      <c r="G965" s="23"/>
      <c r="H965" s="23"/>
      <c r="I965" s="23"/>
      <c r="J965" s="42"/>
      <c r="K965" s="43"/>
      <c r="L965" s="43"/>
      <c r="M965" s="43"/>
      <c r="N965" s="44"/>
      <c r="O965" s="43"/>
      <c r="P965" s="42"/>
      <c r="Q965" s="43"/>
      <c r="R965" s="43"/>
      <c r="S965" s="51"/>
    </row>
    <row r="966" spans="1:19" ht="18.75" customHeight="1" x14ac:dyDescent="0.25">
      <c r="A966" s="38"/>
      <c r="B966" s="40"/>
      <c r="C966" s="31" t="s">
        <v>3</v>
      </c>
      <c r="D966" s="27"/>
      <c r="E966" s="23"/>
      <c r="F966" s="23"/>
      <c r="G966" s="23"/>
      <c r="H966" s="23"/>
      <c r="I966" s="23"/>
      <c r="J966" s="42"/>
      <c r="K966" s="43"/>
      <c r="L966" s="43"/>
      <c r="M966" s="43"/>
      <c r="N966" s="44"/>
      <c r="O966" s="43"/>
      <c r="P966" s="42"/>
      <c r="Q966" s="43"/>
      <c r="R966" s="43"/>
      <c r="S966" s="51"/>
    </row>
    <row r="967" spans="1:19" ht="18.75" customHeight="1" x14ac:dyDescent="0.25">
      <c r="A967" s="37" t="s">
        <v>78</v>
      </c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</row>
    <row r="968" spans="1:19" ht="21" customHeight="1" x14ac:dyDescent="0.25">
      <c r="A968" s="38"/>
      <c r="B968" s="39" t="s">
        <v>988</v>
      </c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</row>
    <row r="969" spans="1:19" ht="24.75" customHeight="1" x14ac:dyDescent="0.25">
      <c r="A969" s="38"/>
      <c r="B969" s="40" t="s">
        <v>299</v>
      </c>
      <c r="C969" s="41" t="s">
        <v>990</v>
      </c>
      <c r="D969" s="41"/>
      <c r="E969" s="41"/>
      <c r="F969" s="41"/>
      <c r="G969" s="41"/>
      <c r="H969" s="41"/>
      <c r="I969" s="41"/>
      <c r="J969" s="42" t="s">
        <v>1003</v>
      </c>
      <c r="K969" s="42" t="s">
        <v>828</v>
      </c>
      <c r="L969" s="42" t="s">
        <v>1027</v>
      </c>
      <c r="M969" s="42" t="s">
        <v>991</v>
      </c>
      <c r="N969" s="44">
        <f>E970</f>
        <v>140.26000000000067</v>
      </c>
      <c r="O969" s="42" t="s">
        <v>12</v>
      </c>
      <c r="P969" s="42" t="s">
        <v>13</v>
      </c>
      <c r="Q969" s="42" t="s">
        <v>44</v>
      </c>
      <c r="R969" s="42"/>
      <c r="S969" s="45"/>
    </row>
    <row r="970" spans="1:19" ht="18.75" customHeight="1" x14ac:dyDescent="0.25">
      <c r="A970" s="38"/>
      <c r="B970" s="40"/>
      <c r="C970" s="30" t="s">
        <v>6</v>
      </c>
      <c r="D970" s="29">
        <f>SUM(D971:D974)</f>
        <v>140.26000000000067</v>
      </c>
      <c r="E970" s="25">
        <f t="shared" ref="E970" si="226">SUM(E971:E974)</f>
        <v>140.26000000000067</v>
      </c>
      <c r="F970" s="25"/>
      <c r="G970" s="25"/>
      <c r="H970" s="25"/>
      <c r="I970" s="25"/>
      <c r="J970" s="42"/>
      <c r="K970" s="42"/>
      <c r="L970" s="42"/>
      <c r="M970" s="42"/>
      <c r="N970" s="44"/>
      <c r="O970" s="42"/>
      <c r="P970" s="42"/>
      <c r="Q970" s="42"/>
      <c r="R970" s="42"/>
      <c r="S970" s="45"/>
    </row>
    <row r="971" spans="1:19" ht="18.75" customHeight="1" x14ac:dyDescent="0.25">
      <c r="A971" s="38"/>
      <c r="B971" s="40"/>
      <c r="C971" s="30" t="s">
        <v>0</v>
      </c>
      <c r="D971" s="29"/>
      <c r="E971" s="25"/>
      <c r="F971" s="25"/>
      <c r="G971" s="25"/>
      <c r="H971" s="25"/>
      <c r="I971" s="25"/>
      <c r="J971" s="42"/>
      <c r="K971" s="42"/>
      <c r="L971" s="42"/>
      <c r="M971" s="42"/>
      <c r="N971" s="44"/>
      <c r="O971" s="42"/>
      <c r="P971" s="42"/>
      <c r="Q971" s="42"/>
      <c r="R971" s="42"/>
      <c r="S971" s="45"/>
    </row>
    <row r="972" spans="1:19" ht="18.75" customHeight="1" x14ac:dyDescent="0.25">
      <c r="A972" s="38"/>
      <c r="B972" s="40"/>
      <c r="C972" s="30" t="s">
        <v>1</v>
      </c>
      <c r="D972" s="29">
        <f t="shared" ref="D972:D973" si="227">SUM(E972:I972)</f>
        <v>112.20800000000054</v>
      </c>
      <c r="E972" s="25">
        <f>16182.894-16070.686</f>
        <v>112.20800000000054</v>
      </c>
      <c r="F972" s="25"/>
      <c r="G972" s="25"/>
      <c r="H972" s="25"/>
      <c r="I972" s="25"/>
      <c r="J972" s="42"/>
      <c r="K972" s="42"/>
      <c r="L972" s="42"/>
      <c r="M972" s="42"/>
      <c r="N972" s="44"/>
      <c r="O972" s="42"/>
      <c r="P972" s="42"/>
      <c r="Q972" s="42"/>
      <c r="R972" s="42"/>
      <c r="S972" s="45"/>
    </row>
    <row r="973" spans="1:19" ht="18.75" customHeight="1" x14ac:dyDescent="0.25">
      <c r="A973" s="38"/>
      <c r="B973" s="40"/>
      <c r="C973" s="30" t="s">
        <v>2</v>
      </c>
      <c r="D973" s="29">
        <f t="shared" si="227"/>
        <v>28.052000000000135</v>
      </c>
      <c r="E973" s="25">
        <f>E972*20/80</f>
        <v>28.052000000000135</v>
      </c>
      <c r="F973" s="25"/>
      <c r="G973" s="25"/>
      <c r="H973" s="25"/>
      <c r="I973" s="25"/>
      <c r="J973" s="42"/>
      <c r="K973" s="42"/>
      <c r="L973" s="42"/>
      <c r="M973" s="42"/>
      <c r="N973" s="44"/>
      <c r="O973" s="42"/>
      <c r="P973" s="42"/>
      <c r="Q973" s="42"/>
      <c r="R973" s="42"/>
      <c r="S973" s="45"/>
    </row>
    <row r="974" spans="1:19" ht="18.75" customHeight="1" x14ac:dyDescent="0.25">
      <c r="A974" s="38"/>
      <c r="B974" s="40"/>
      <c r="C974" s="30" t="s">
        <v>3</v>
      </c>
      <c r="D974" s="29"/>
      <c r="E974" s="25"/>
      <c r="F974" s="25"/>
      <c r="G974" s="25"/>
      <c r="H974" s="25"/>
      <c r="I974" s="25"/>
      <c r="J974" s="42"/>
      <c r="K974" s="42"/>
      <c r="L974" s="42"/>
      <c r="M974" s="42"/>
      <c r="N974" s="44"/>
      <c r="O974" s="42"/>
      <c r="P974" s="42"/>
      <c r="Q974" s="42"/>
      <c r="R974" s="42"/>
      <c r="S974" s="45"/>
    </row>
    <row r="975" spans="1:19" ht="18.75" customHeight="1" x14ac:dyDescent="0.25">
      <c r="A975" s="37" t="s">
        <v>78</v>
      </c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</row>
    <row r="976" spans="1:19" ht="21" customHeight="1" x14ac:dyDescent="0.25">
      <c r="A976" s="38"/>
      <c r="B976" s="39" t="s">
        <v>988</v>
      </c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</row>
    <row r="977" spans="1:19" ht="24.75" customHeight="1" x14ac:dyDescent="0.25">
      <c r="A977" s="38"/>
      <c r="B977" s="40" t="s">
        <v>300</v>
      </c>
      <c r="C977" s="41" t="s">
        <v>993</v>
      </c>
      <c r="D977" s="41"/>
      <c r="E977" s="41"/>
      <c r="F977" s="41"/>
      <c r="G977" s="41"/>
      <c r="H977" s="41"/>
      <c r="I977" s="41"/>
      <c r="J977" s="42" t="s">
        <v>1003</v>
      </c>
      <c r="K977" s="42" t="s">
        <v>828</v>
      </c>
      <c r="L977" s="78" t="s">
        <v>994</v>
      </c>
      <c r="M977" s="42" t="s">
        <v>991</v>
      </c>
      <c r="N977" s="44">
        <v>1180.66462</v>
      </c>
      <c r="O977" s="42" t="s">
        <v>12</v>
      </c>
      <c r="P977" s="42" t="s">
        <v>13</v>
      </c>
      <c r="Q977" s="42" t="s">
        <v>44</v>
      </c>
      <c r="R977" s="42"/>
      <c r="S977" s="45"/>
    </row>
    <row r="978" spans="1:19" ht="18.75" customHeight="1" x14ac:dyDescent="0.25">
      <c r="A978" s="38"/>
      <c r="B978" s="40"/>
      <c r="C978" s="30" t="s">
        <v>6</v>
      </c>
      <c r="D978" s="29">
        <f>SUM(D979:D982)</f>
        <v>1180.66462</v>
      </c>
      <c r="E978" s="25">
        <f t="shared" ref="E978" si="228">SUM(E979:E982)</f>
        <v>1180.66462</v>
      </c>
      <c r="F978" s="25"/>
      <c r="G978" s="25"/>
      <c r="H978" s="25"/>
      <c r="I978" s="25"/>
      <c r="J978" s="42"/>
      <c r="K978" s="42"/>
      <c r="L978" s="42"/>
      <c r="M978" s="42"/>
      <c r="N978" s="44"/>
      <c r="O978" s="42"/>
      <c r="P978" s="42"/>
      <c r="Q978" s="42"/>
      <c r="R978" s="42"/>
      <c r="S978" s="45"/>
    </row>
    <row r="979" spans="1:19" ht="18.75" customHeight="1" x14ac:dyDescent="0.25">
      <c r="A979" s="38"/>
      <c r="B979" s="40"/>
      <c r="C979" s="30" t="s">
        <v>0</v>
      </c>
      <c r="D979" s="29"/>
      <c r="E979" s="25"/>
      <c r="F979" s="25"/>
      <c r="G979" s="25"/>
      <c r="H979" s="25"/>
      <c r="I979" s="25"/>
      <c r="J979" s="42"/>
      <c r="K979" s="42"/>
      <c r="L979" s="42"/>
      <c r="M979" s="42"/>
      <c r="N979" s="44"/>
      <c r="O979" s="42"/>
      <c r="P979" s="42"/>
      <c r="Q979" s="42"/>
      <c r="R979" s="42"/>
      <c r="S979" s="45"/>
    </row>
    <row r="980" spans="1:19" ht="18.75" customHeight="1" x14ac:dyDescent="0.25">
      <c r="A980" s="38"/>
      <c r="B980" s="40"/>
      <c r="C980" s="30" t="s">
        <v>1</v>
      </c>
      <c r="D980" s="29">
        <f t="shared" ref="D980:D981" si="229">SUM(E980:I980)</f>
        <v>908.20399999999995</v>
      </c>
      <c r="E980" s="25">
        <v>908.20399999999995</v>
      </c>
      <c r="F980" s="25"/>
      <c r="G980" s="25"/>
      <c r="H980" s="25"/>
      <c r="I980" s="25"/>
      <c r="J980" s="42"/>
      <c r="K980" s="42"/>
      <c r="L980" s="42"/>
      <c r="M980" s="42"/>
      <c r="N980" s="44"/>
      <c r="O980" s="42"/>
      <c r="P980" s="42"/>
      <c r="Q980" s="42"/>
      <c r="R980" s="42"/>
      <c r="S980" s="45"/>
    </row>
    <row r="981" spans="1:19" ht="18.75" customHeight="1" x14ac:dyDescent="0.25">
      <c r="A981" s="38"/>
      <c r="B981" s="40"/>
      <c r="C981" s="30" t="s">
        <v>2</v>
      </c>
      <c r="D981" s="29">
        <f t="shared" si="229"/>
        <v>272.46062000000001</v>
      </c>
      <c r="E981" s="25">
        <v>272.46062000000001</v>
      </c>
      <c r="F981" s="25"/>
      <c r="G981" s="25"/>
      <c r="H981" s="25"/>
      <c r="I981" s="25"/>
      <c r="J981" s="42"/>
      <c r="K981" s="42"/>
      <c r="L981" s="42"/>
      <c r="M981" s="42"/>
      <c r="N981" s="44"/>
      <c r="O981" s="42"/>
      <c r="P981" s="42"/>
      <c r="Q981" s="42"/>
      <c r="R981" s="42"/>
      <c r="S981" s="45"/>
    </row>
    <row r="982" spans="1:19" ht="18.75" customHeight="1" x14ac:dyDescent="0.25">
      <c r="A982" s="38"/>
      <c r="B982" s="40"/>
      <c r="C982" s="30" t="s">
        <v>3</v>
      </c>
      <c r="D982" s="29"/>
      <c r="E982" s="25"/>
      <c r="F982" s="25"/>
      <c r="G982" s="25"/>
      <c r="H982" s="25"/>
      <c r="I982" s="25"/>
      <c r="J982" s="42"/>
      <c r="K982" s="42"/>
      <c r="L982" s="42"/>
      <c r="M982" s="42"/>
      <c r="N982" s="44"/>
      <c r="O982" s="42"/>
      <c r="P982" s="42"/>
      <c r="Q982" s="42"/>
      <c r="R982" s="42"/>
      <c r="S982" s="45"/>
    </row>
    <row r="983" spans="1:19" ht="18.75" customHeight="1" x14ac:dyDescent="0.25">
      <c r="A983" s="37" t="s">
        <v>78</v>
      </c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</row>
    <row r="984" spans="1:19" ht="21" customHeight="1" x14ac:dyDescent="0.25">
      <c r="A984" s="38"/>
      <c r="B984" s="39" t="s">
        <v>988</v>
      </c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</row>
    <row r="985" spans="1:19" ht="24.75" customHeight="1" x14ac:dyDescent="0.25">
      <c r="A985" s="38"/>
      <c r="B985" s="40" t="s">
        <v>301</v>
      </c>
      <c r="C985" s="41" t="s">
        <v>996</v>
      </c>
      <c r="D985" s="41"/>
      <c r="E985" s="41"/>
      <c r="F985" s="41"/>
      <c r="G985" s="41"/>
      <c r="H985" s="41"/>
      <c r="I985" s="41"/>
      <c r="J985" s="42" t="s">
        <v>1003</v>
      </c>
      <c r="K985" s="42" t="s">
        <v>828</v>
      </c>
      <c r="L985" s="42" t="s">
        <v>1028</v>
      </c>
      <c r="M985" s="42" t="s">
        <v>991</v>
      </c>
      <c r="N985" s="44">
        <v>4799.4087</v>
      </c>
      <c r="O985" s="42" t="s">
        <v>12</v>
      </c>
      <c r="P985" s="42" t="s">
        <v>13</v>
      </c>
      <c r="Q985" s="42" t="s">
        <v>44</v>
      </c>
      <c r="R985" s="42"/>
      <c r="S985" s="45"/>
    </row>
    <row r="986" spans="1:19" ht="18.75" customHeight="1" x14ac:dyDescent="0.25">
      <c r="A986" s="38"/>
      <c r="B986" s="40"/>
      <c r="C986" s="30" t="s">
        <v>6</v>
      </c>
      <c r="D986" s="29">
        <f>SUM(D987:D990)</f>
        <v>4799.4087</v>
      </c>
      <c r="E986" s="25">
        <f t="shared" ref="E986" si="230">SUM(E987:E990)</f>
        <v>4799.4087</v>
      </c>
      <c r="F986" s="25"/>
      <c r="G986" s="25"/>
      <c r="H986" s="25"/>
      <c r="I986" s="25"/>
      <c r="J986" s="42"/>
      <c r="K986" s="42"/>
      <c r="L986" s="42"/>
      <c r="M986" s="42"/>
      <c r="N986" s="44"/>
      <c r="O986" s="42"/>
      <c r="P986" s="42"/>
      <c r="Q986" s="42"/>
      <c r="R986" s="42"/>
      <c r="S986" s="45"/>
    </row>
    <row r="987" spans="1:19" ht="18.75" customHeight="1" x14ac:dyDescent="0.25">
      <c r="A987" s="38"/>
      <c r="B987" s="40"/>
      <c r="C987" s="30" t="s">
        <v>0</v>
      </c>
      <c r="D987" s="29"/>
      <c r="E987" s="25"/>
      <c r="F987" s="25"/>
      <c r="G987" s="25"/>
      <c r="H987" s="25"/>
      <c r="I987" s="25"/>
      <c r="J987" s="42"/>
      <c r="K987" s="42"/>
      <c r="L987" s="42"/>
      <c r="M987" s="42"/>
      <c r="N987" s="44"/>
      <c r="O987" s="42"/>
      <c r="P987" s="42"/>
      <c r="Q987" s="42"/>
      <c r="R987" s="42"/>
      <c r="S987" s="45"/>
    </row>
    <row r="988" spans="1:19" ht="18.75" customHeight="1" x14ac:dyDescent="0.25">
      <c r="A988" s="38"/>
      <c r="B988" s="40"/>
      <c r="C988" s="30" t="s">
        <v>1</v>
      </c>
      <c r="D988" s="29">
        <f t="shared" ref="D988:D989" si="231">SUM(E988:I988)</f>
        <v>3691.8530000000001</v>
      </c>
      <c r="E988" s="25">
        <v>3691.8530000000001</v>
      </c>
      <c r="F988" s="25"/>
      <c r="G988" s="25"/>
      <c r="H988" s="25"/>
      <c r="I988" s="25"/>
      <c r="J988" s="42"/>
      <c r="K988" s="42"/>
      <c r="L988" s="42"/>
      <c r="M988" s="42"/>
      <c r="N988" s="44"/>
      <c r="O988" s="42"/>
      <c r="P988" s="42"/>
      <c r="Q988" s="42"/>
      <c r="R988" s="42"/>
      <c r="S988" s="45"/>
    </row>
    <row r="989" spans="1:19" ht="18.75" customHeight="1" x14ac:dyDescent="0.25">
      <c r="A989" s="38"/>
      <c r="B989" s="40"/>
      <c r="C989" s="30" t="s">
        <v>2</v>
      </c>
      <c r="D989" s="29">
        <f t="shared" si="231"/>
        <v>1107.5556999999999</v>
      </c>
      <c r="E989" s="25">
        <v>1107.5556999999999</v>
      </c>
      <c r="F989" s="25"/>
      <c r="G989" s="25"/>
      <c r="H989" s="25"/>
      <c r="I989" s="25"/>
      <c r="J989" s="42"/>
      <c r="K989" s="42"/>
      <c r="L989" s="42"/>
      <c r="M989" s="42"/>
      <c r="N989" s="44"/>
      <c r="O989" s="42"/>
      <c r="P989" s="42"/>
      <c r="Q989" s="42"/>
      <c r="R989" s="42"/>
      <c r="S989" s="45"/>
    </row>
    <row r="990" spans="1:19" ht="18.75" customHeight="1" x14ac:dyDescent="0.25">
      <c r="A990" s="38"/>
      <c r="B990" s="40"/>
      <c r="C990" s="30" t="s">
        <v>3</v>
      </c>
      <c r="D990" s="29"/>
      <c r="E990" s="25"/>
      <c r="F990" s="25"/>
      <c r="G990" s="25"/>
      <c r="H990" s="25"/>
      <c r="I990" s="25"/>
      <c r="J990" s="42"/>
      <c r="K990" s="42"/>
      <c r="L990" s="42"/>
      <c r="M990" s="42"/>
      <c r="N990" s="44"/>
      <c r="O990" s="42"/>
      <c r="P990" s="42"/>
      <c r="Q990" s="42"/>
      <c r="R990" s="42"/>
      <c r="S990" s="45"/>
    </row>
    <row r="991" spans="1:19" ht="18.75" customHeight="1" x14ac:dyDescent="0.25">
      <c r="A991" s="37" t="s">
        <v>78</v>
      </c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</row>
    <row r="992" spans="1:19" ht="21" customHeight="1" x14ac:dyDescent="0.25">
      <c r="A992" s="38"/>
      <c r="B992" s="39" t="s">
        <v>988</v>
      </c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</row>
    <row r="993" spans="1:19" ht="24.75" customHeight="1" x14ac:dyDescent="0.25">
      <c r="A993" s="38"/>
      <c r="B993" s="40" t="s">
        <v>302</v>
      </c>
      <c r="C993" s="41" t="s">
        <v>998</v>
      </c>
      <c r="D993" s="41"/>
      <c r="E993" s="41"/>
      <c r="F993" s="41"/>
      <c r="G993" s="41"/>
      <c r="H993" s="41"/>
      <c r="I993" s="41"/>
      <c r="J993" s="42" t="s">
        <v>1003</v>
      </c>
      <c r="K993" s="42" t="s">
        <v>828</v>
      </c>
      <c r="L993" s="42" t="s">
        <v>999</v>
      </c>
      <c r="M993" s="42" t="s">
        <v>991</v>
      </c>
      <c r="N993" s="44">
        <f>E994</f>
        <v>4767.9331499999998</v>
      </c>
      <c r="O993" s="42" t="s">
        <v>12</v>
      </c>
      <c r="P993" s="42" t="s">
        <v>13</v>
      </c>
      <c r="Q993" s="42" t="s">
        <v>44</v>
      </c>
      <c r="R993" s="42"/>
      <c r="S993" s="45"/>
    </row>
    <row r="994" spans="1:19" ht="18.75" customHeight="1" x14ac:dyDescent="0.25">
      <c r="A994" s="38"/>
      <c r="B994" s="40"/>
      <c r="C994" s="30" t="s">
        <v>6</v>
      </c>
      <c r="D994" s="29">
        <f>SUM(D995:D998)</f>
        <v>4767.9331499999998</v>
      </c>
      <c r="E994" s="25">
        <f t="shared" ref="E994" si="232">SUM(E995:E998)</f>
        <v>4767.9331499999998</v>
      </c>
      <c r="F994" s="25"/>
      <c r="G994" s="25"/>
      <c r="H994" s="25"/>
      <c r="I994" s="25"/>
      <c r="J994" s="42"/>
      <c r="K994" s="42"/>
      <c r="L994" s="42"/>
      <c r="M994" s="42"/>
      <c r="N994" s="44"/>
      <c r="O994" s="42"/>
      <c r="P994" s="42"/>
      <c r="Q994" s="42"/>
      <c r="R994" s="42"/>
      <c r="S994" s="45"/>
    </row>
    <row r="995" spans="1:19" ht="18.75" customHeight="1" x14ac:dyDescent="0.25">
      <c r="A995" s="38"/>
      <c r="B995" s="40"/>
      <c r="C995" s="30" t="s">
        <v>0</v>
      </c>
      <c r="D995" s="29"/>
      <c r="E995" s="25"/>
      <c r="F995" s="25"/>
      <c r="G995" s="25"/>
      <c r="H995" s="25"/>
      <c r="I995" s="25"/>
      <c r="J995" s="42"/>
      <c r="K995" s="42"/>
      <c r="L995" s="42"/>
      <c r="M995" s="42"/>
      <c r="N995" s="44"/>
      <c r="O995" s="42"/>
      <c r="P995" s="42"/>
      <c r="Q995" s="42"/>
      <c r="R995" s="42"/>
      <c r="S995" s="45"/>
    </row>
    <row r="996" spans="1:19" ht="18.75" customHeight="1" x14ac:dyDescent="0.25">
      <c r="A996" s="38"/>
      <c r="B996" s="40"/>
      <c r="C996" s="30" t="s">
        <v>1</v>
      </c>
      <c r="D996" s="29">
        <f t="shared" ref="D996:D997" si="233">SUM(E996:I996)</f>
        <v>3962.8437699999999</v>
      </c>
      <c r="E996" s="25">
        <f>3962.844-0.00023</f>
        <v>3962.8437699999999</v>
      </c>
      <c r="F996" s="25"/>
      <c r="G996" s="25"/>
      <c r="H996" s="25"/>
      <c r="I996" s="25"/>
      <c r="J996" s="42"/>
      <c r="K996" s="42"/>
      <c r="L996" s="42"/>
      <c r="M996" s="42"/>
      <c r="N996" s="44"/>
      <c r="O996" s="42"/>
      <c r="P996" s="42"/>
      <c r="Q996" s="42"/>
      <c r="R996" s="42"/>
      <c r="S996" s="45"/>
    </row>
    <row r="997" spans="1:19" ht="18.75" customHeight="1" x14ac:dyDescent="0.25">
      <c r="A997" s="38"/>
      <c r="B997" s="40"/>
      <c r="C997" s="30" t="s">
        <v>2</v>
      </c>
      <c r="D997" s="29">
        <f t="shared" si="233"/>
        <v>805.08938000000001</v>
      </c>
      <c r="E997" s="25">
        <v>805.08938000000001</v>
      </c>
      <c r="F997" s="25"/>
      <c r="G997" s="25"/>
      <c r="H997" s="25"/>
      <c r="I997" s="25"/>
      <c r="J997" s="42"/>
      <c r="K997" s="42"/>
      <c r="L997" s="42"/>
      <c r="M997" s="42"/>
      <c r="N997" s="44"/>
      <c r="O997" s="42"/>
      <c r="P997" s="42"/>
      <c r="Q997" s="42"/>
      <c r="R997" s="42"/>
      <c r="S997" s="45"/>
    </row>
    <row r="998" spans="1:19" ht="18.75" customHeight="1" x14ac:dyDescent="0.25">
      <c r="A998" s="38"/>
      <c r="B998" s="40"/>
      <c r="C998" s="30" t="s">
        <v>3</v>
      </c>
      <c r="D998" s="29"/>
      <c r="E998" s="25"/>
      <c r="F998" s="25"/>
      <c r="G998" s="25"/>
      <c r="H998" s="25"/>
      <c r="I998" s="25"/>
      <c r="J998" s="42"/>
      <c r="K998" s="42"/>
      <c r="L998" s="42"/>
      <c r="M998" s="42"/>
      <c r="N998" s="44"/>
      <c r="O998" s="42"/>
      <c r="P998" s="42"/>
      <c r="Q998" s="42"/>
      <c r="R998" s="42"/>
      <c r="S998" s="45"/>
    </row>
    <row r="999" spans="1:19" ht="18.75" customHeight="1" x14ac:dyDescent="0.25">
      <c r="A999" s="37" t="s">
        <v>78</v>
      </c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</row>
    <row r="1000" spans="1:19" ht="21" customHeight="1" x14ac:dyDescent="0.25">
      <c r="A1000" s="38"/>
      <c r="B1000" s="39" t="s">
        <v>988</v>
      </c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</row>
    <row r="1001" spans="1:19" ht="29.25" customHeight="1" x14ac:dyDescent="0.25">
      <c r="A1001" s="38"/>
      <c r="B1001" s="40" t="s">
        <v>989</v>
      </c>
      <c r="C1001" s="41" t="s">
        <v>1001</v>
      </c>
      <c r="D1001" s="41"/>
      <c r="E1001" s="41"/>
      <c r="F1001" s="41"/>
      <c r="G1001" s="41"/>
      <c r="H1001" s="41"/>
      <c r="I1001" s="41"/>
      <c r="J1001" s="42" t="s">
        <v>1003</v>
      </c>
      <c r="K1001" s="42" t="s">
        <v>828</v>
      </c>
      <c r="L1001" s="42" t="s">
        <v>1002</v>
      </c>
      <c r="M1001" s="42" t="s">
        <v>991</v>
      </c>
      <c r="N1001" s="44">
        <f>E1002</f>
        <v>2257.7128600000001</v>
      </c>
      <c r="O1001" s="42" t="s">
        <v>12</v>
      </c>
      <c r="P1001" s="42" t="s">
        <v>13</v>
      </c>
      <c r="Q1001" s="42" t="s">
        <v>44</v>
      </c>
      <c r="R1001" s="42"/>
      <c r="S1001" s="45"/>
    </row>
    <row r="1002" spans="1:19" ht="18.75" customHeight="1" x14ac:dyDescent="0.25">
      <c r="A1002" s="38"/>
      <c r="B1002" s="40"/>
      <c r="C1002" s="30" t="s">
        <v>6</v>
      </c>
      <c r="D1002" s="29">
        <f>SUM(D1003:D1006)</f>
        <v>2257.7128600000001</v>
      </c>
      <c r="E1002" s="25">
        <f t="shared" ref="E1002" si="234">SUM(E1003:E1006)</f>
        <v>2257.7128600000001</v>
      </c>
      <c r="F1002" s="25"/>
      <c r="G1002" s="25"/>
      <c r="H1002" s="25"/>
      <c r="I1002" s="25"/>
      <c r="J1002" s="42"/>
      <c r="K1002" s="42"/>
      <c r="L1002" s="42"/>
      <c r="M1002" s="42"/>
      <c r="N1002" s="44"/>
      <c r="O1002" s="42"/>
      <c r="P1002" s="42"/>
      <c r="Q1002" s="42"/>
      <c r="R1002" s="42"/>
      <c r="S1002" s="45"/>
    </row>
    <row r="1003" spans="1:19" ht="18.75" customHeight="1" x14ac:dyDescent="0.25">
      <c r="A1003" s="38"/>
      <c r="B1003" s="40"/>
      <c r="C1003" s="30" t="s">
        <v>0</v>
      </c>
      <c r="D1003" s="29"/>
      <c r="E1003" s="25"/>
      <c r="F1003" s="25"/>
      <c r="G1003" s="25"/>
      <c r="H1003" s="25"/>
      <c r="I1003" s="25"/>
      <c r="J1003" s="42"/>
      <c r="K1003" s="42"/>
      <c r="L1003" s="42"/>
      <c r="M1003" s="42"/>
      <c r="N1003" s="44"/>
      <c r="O1003" s="42"/>
      <c r="P1003" s="42"/>
      <c r="Q1003" s="42"/>
      <c r="R1003" s="42"/>
      <c r="S1003" s="45"/>
    </row>
    <row r="1004" spans="1:19" ht="18.75" customHeight="1" x14ac:dyDescent="0.25">
      <c r="A1004" s="38"/>
      <c r="B1004" s="40"/>
      <c r="C1004" s="30" t="s">
        <v>1</v>
      </c>
      <c r="D1004" s="29">
        <f t="shared" ref="D1004:D1005" si="235">SUM(E1004:I1004)</f>
        <v>1919.95407</v>
      </c>
      <c r="E1004" s="25">
        <f>1627.079+292.87507</f>
        <v>1919.95407</v>
      </c>
      <c r="F1004" s="25"/>
      <c r="G1004" s="25"/>
      <c r="H1004" s="25"/>
      <c r="I1004" s="25"/>
      <c r="J1004" s="42"/>
      <c r="K1004" s="42"/>
      <c r="L1004" s="42"/>
      <c r="M1004" s="42"/>
      <c r="N1004" s="44"/>
      <c r="O1004" s="42"/>
      <c r="P1004" s="42"/>
      <c r="Q1004" s="42"/>
      <c r="R1004" s="42"/>
      <c r="S1004" s="45"/>
    </row>
    <row r="1005" spans="1:19" ht="18.75" customHeight="1" x14ac:dyDescent="0.25">
      <c r="A1005" s="38"/>
      <c r="B1005" s="40"/>
      <c r="C1005" s="30" t="s">
        <v>2</v>
      </c>
      <c r="D1005" s="29">
        <f t="shared" si="235"/>
        <v>337.75878999999998</v>
      </c>
      <c r="E1005" s="25">
        <v>337.75878999999998</v>
      </c>
      <c r="F1005" s="25"/>
      <c r="G1005" s="25"/>
      <c r="H1005" s="25"/>
      <c r="I1005" s="25"/>
      <c r="J1005" s="42"/>
      <c r="K1005" s="42"/>
      <c r="L1005" s="42"/>
      <c r="M1005" s="42"/>
      <c r="N1005" s="44"/>
      <c r="O1005" s="42"/>
      <c r="P1005" s="42"/>
      <c r="Q1005" s="42"/>
      <c r="R1005" s="42"/>
      <c r="S1005" s="45"/>
    </row>
    <row r="1006" spans="1:19" ht="18.75" customHeight="1" x14ac:dyDescent="0.25">
      <c r="A1006" s="38"/>
      <c r="B1006" s="40"/>
      <c r="C1006" s="30" t="s">
        <v>3</v>
      </c>
      <c r="D1006" s="29"/>
      <c r="E1006" s="25"/>
      <c r="F1006" s="25"/>
      <c r="G1006" s="25"/>
      <c r="H1006" s="25"/>
      <c r="I1006" s="25"/>
      <c r="J1006" s="42"/>
      <c r="K1006" s="42"/>
      <c r="L1006" s="42"/>
      <c r="M1006" s="42"/>
      <c r="N1006" s="44"/>
      <c r="O1006" s="42"/>
      <c r="P1006" s="42"/>
      <c r="Q1006" s="42"/>
      <c r="R1006" s="42"/>
      <c r="S1006" s="45"/>
    </row>
    <row r="1007" spans="1:19" ht="18.75" customHeight="1" x14ac:dyDescent="0.25">
      <c r="A1007" s="37" t="s">
        <v>78</v>
      </c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</row>
    <row r="1008" spans="1:19" ht="18.75" customHeight="1" x14ac:dyDescent="0.25">
      <c r="A1008" s="38"/>
      <c r="B1008" s="39" t="s">
        <v>1004</v>
      </c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</row>
    <row r="1009" spans="1:19" ht="40.5" customHeight="1" x14ac:dyDescent="0.25">
      <c r="A1009" s="38"/>
      <c r="B1009" s="40" t="s">
        <v>992</v>
      </c>
      <c r="C1009" s="41" t="s">
        <v>1029</v>
      </c>
      <c r="D1009" s="41"/>
      <c r="E1009" s="41"/>
      <c r="F1009" s="41"/>
      <c r="G1009" s="41"/>
      <c r="H1009" s="41"/>
      <c r="I1009" s="41"/>
      <c r="J1009" s="42">
        <v>2014</v>
      </c>
      <c r="K1009" s="42" t="s">
        <v>828</v>
      </c>
      <c r="L1009" s="42"/>
      <c r="M1009" s="42" t="s">
        <v>1006</v>
      </c>
      <c r="N1009" s="44">
        <f>E1010</f>
        <v>404.08163265306121</v>
      </c>
      <c r="O1009" s="42" t="s">
        <v>12</v>
      </c>
      <c r="P1009" s="42" t="s">
        <v>1007</v>
      </c>
      <c r="Q1009" s="42"/>
      <c r="R1009" s="42"/>
      <c r="S1009" s="45"/>
    </row>
    <row r="1010" spans="1:19" ht="18.75" customHeight="1" x14ac:dyDescent="0.25">
      <c r="A1010" s="38"/>
      <c r="B1010" s="40"/>
      <c r="C1010" s="30" t="s">
        <v>6</v>
      </c>
      <c r="D1010" s="29">
        <f>SUM(D1011:D1014)</f>
        <v>404.08163265306121</v>
      </c>
      <c r="E1010" s="25">
        <f t="shared" ref="E1010" si="236">SUM(E1011:E1014)</f>
        <v>404.08163265306121</v>
      </c>
      <c r="F1010" s="25"/>
      <c r="G1010" s="25"/>
      <c r="H1010" s="25"/>
      <c r="I1010" s="25"/>
      <c r="J1010" s="42"/>
      <c r="K1010" s="42"/>
      <c r="L1010" s="42"/>
      <c r="M1010" s="42"/>
      <c r="N1010" s="44"/>
      <c r="O1010" s="42"/>
      <c r="P1010" s="42"/>
      <c r="Q1010" s="42"/>
      <c r="R1010" s="42"/>
      <c r="S1010" s="45"/>
    </row>
    <row r="1011" spans="1:19" ht="18.75" customHeight="1" x14ac:dyDescent="0.25">
      <c r="A1011" s="38"/>
      <c r="B1011" s="40"/>
      <c r="C1011" s="30" t="s">
        <v>0</v>
      </c>
      <c r="D1011" s="29"/>
      <c r="E1011" s="25"/>
      <c r="F1011" s="25"/>
      <c r="G1011" s="25"/>
      <c r="H1011" s="25"/>
      <c r="I1011" s="25"/>
      <c r="J1011" s="42"/>
      <c r="K1011" s="42"/>
      <c r="L1011" s="42"/>
      <c r="M1011" s="42"/>
      <c r="N1011" s="44"/>
      <c r="O1011" s="42"/>
      <c r="P1011" s="42"/>
      <c r="Q1011" s="42"/>
      <c r="R1011" s="42"/>
      <c r="S1011" s="45"/>
    </row>
    <row r="1012" spans="1:19" ht="18.75" customHeight="1" x14ac:dyDescent="0.25">
      <c r="A1012" s="38"/>
      <c r="B1012" s="40"/>
      <c r="C1012" s="30" t="s">
        <v>1</v>
      </c>
      <c r="D1012" s="29">
        <f t="shared" ref="D1012:D1013" si="237">SUM(E1012:I1012)</f>
        <v>396</v>
      </c>
      <c r="E1012" s="25">
        <v>396</v>
      </c>
      <c r="F1012" s="25"/>
      <c r="G1012" s="25"/>
      <c r="H1012" s="25"/>
      <c r="I1012" s="25"/>
      <c r="J1012" s="42"/>
      <c r="K1012" s="42"/>
      <c r="L1012" s="42"/>
      <c r="M1012" s="42"/>
      <c r="N1012" s="44"/>
      <c r="O1012" s="42"/>
      <c r="P1012" s="42"/>
      <c r="Q1012" s="42"/>
      <c r="R1012" s="42"/>
      <c r="S1012" s="45"/>
    </row>
    <row r="1013" spans="1:19" ht="18.75" customHeight="1" x14ac:dyDescent="0.25">
      <c r="A1013" s="38"/>
      <c r="B1013" s="40"/>
      <c r="C1013" s="30" t="s">
        <v>2</v>
      </c>
      <c r="D1013" s="29">
        <f t="shared" si="237"/>
        <v>8.0816326530612237</v>
      </c>
      <c r="E1013" s="25">
        <f>E1012*2/98</f>
        <v>8.0816326530612237</v>
      </c>
      <c r="F1013" s="25"/>
      <c r="G1013" s="25"/>
      <c r="H1013" s="25"/>
      <c r="I1013" s="25"/>
      <c r="J1013" s="42"/>
      <c r="K1013" s="42"/>
      <c r="L1013" s="42"/>
      <c r="M1013" s="42"/>
      <c r="N1013" s="44"/>
      <c r="O1013" s="42"/>
      <c r="P1013" s="42"/>
      <c r="Q1013" s="42"/>
      <c r="R1013" s="42"/>
      <c r="S1013" s="45"/>
    </row>
    <row r="1014" spans="1:19" ht="18.75" customHeight="1" x14ac:dyDescent="0.25">
      <c r="A1014" s="38"/>
      <c r="B1014" s="40"/>
      <c r="C1014" s="30" t="s">
        <v>3</v>
      </c>
      <c r="D1014" s="29"/>
      <c r="E1014" s="25"/>
      <c r="F1014" s="25"/>
      <c r="G1014" s="25"/>
      <c r="H1014" s="25"/>
      <c r="I1014" s="25"/>
      <c r="J1014" s="42"/>
      <c r="K1014" s="42"/>
      <c r="L1014" s="42"/>
      <c r="M1014" s="42"/>
      <c r="N1014" s="44"/>
      <c r="O1014" s="42"/>
      <c r="P1014" s="42"/>
      <c r="Q1014" s="42"/>
      <c r="R1014" s="42"/>
      <c r="S1014" s="45"/>
    </row>
    <row r="1015" spans="1:19" ht="18.75" customHeight="1" x14ac:dyDescent="0.25">
      <c r="A1015" s="37" t="s">
        <v>78</v>
      </c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</row>
    <row r="1016" spans="1:19" ht="18.75" customHeight="1" x14ac:dyDescent="0.25">
      <c r="A1016" s="38"/>
      <c r="B1016" s="39" t="s">
        <v>1004</v>
      </c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</row>
    <row r="1017" spans="1:19" ht="40.5" customHeight="1" x14ac:dyDescent="0.25">
      <c r="A1017" s="38"/>
      <c r="B1017" s="40" t="s">
        <v>995</v>
      </c>
      <c r="C1017" s="41" t="s">
        <v>1030</v>
      </c>
      <c r="D1017" s="41"/>
      <c r="E1017" s="41"/>
      <c r="F1017" s="41"/>
      <c r="G1017" s="41"/>
      <c r="H1017" s="41"/>
      <c r="I1017" s="41"/>
      <c r="J1017" s="42">
        <v>2014</v>
      </c>
      <c r="K1017" s="42" t="s">
        <v>828</v>
      </c>
      <c r="L1017" s="42"/>
      <c r="M1017" s="42" t="s">
        <v>1009</v>
      </c>
      <c r="N1017" s="44">
        <f>E1018</f>
        <v>404.08163265306121</v>
      </c>
      <c r="O1017" s="42" t="s">
        <v>12</v>
      </c>
      <c r="P1017" s="42" t="s">
        <v>1010</v>
      </c>
      <c r="Q1017" s="42"/>
      <c r="R1017" s="42"/>
      <c r="S1017" s="45"/>
    </row>
    <row r="1018" spans="1:19" ht="18.75" customHeight="1" x14ac:dyDescent="0.25">
      <c r="A1018" s="38"/>
      <c r="B1018" s="40"/>
      <c r="C1018" s="30" t="s">
        <v>6</v>
      </c>
      <c r="D1018" s="29">
        <f>SUM(D1019:D1022)</f>
        <v>404.08163265306121</v>
      </c>
      <c r="E1018" s="25">
        <f t="shared" ref="E1018" si="238">SUM(E1019:E1022)</f>
        <v>404.08163265306121</v>
      </c>
      <c r="F1018" s="25"/>
      <c r="G1018" s="25"/>
      <c r="H1018" s="25"/>
      <c r="I1018" s="25"/>
      <c r="J1018" s="42"/>
      <c r="K1018" s="42"/>
      <c r="L1018" s="42"/>
      <c r="M1018" s="42"/>
      <c r="N1018" s="44"/>
      <c r="O1018" s="42"/>
      <c r="P1018" s="42"/>
      <c r="Q1018" s="42"/>
      <c r="R1018" s="42"/>
      <c r="S1018" s="45"/>
    </row>
    <row r="1019" spans="1:19" ht="18.75" customHeight="1" x14ac:dyDescent="0.25">
      <c r="A1019" s="38"/>
      <c r="B1019" s="40"/>
      <c r="C1019" s="30" t="s">
        <v>0</v>
      </c>
      <c r="D1019" s="29"/>
      <c r="E1019" s="25"/>
      <c r="F1019" s="25"/>
      <c r="G1019" s="25"/>
      <c r="H1019" s="25"/>
      <c r="I1019" s="25"/>
      <c r="J1019" s="42"/>
      <c r="K1019" s="42"/>
      <c r="L1019" s="42"/>
      <c r="M1019" s="42"/>
      <c r="N1019" s="44"/>
      <c r="O1019" s="42"/>
      <c r="P1019" s="42"/>
      <c r="Q1019" s="42"/>
      <c r="R1019" s="42"/>
      <c r="S1019" s="45"/>
    </row>
    <row r="1020" spans="1:19" ht="18.75" customHeight="1" x14ac:dyDescent="0.25">
      <c r="A1020" s="38"/>
      <c r="B1020" s="40"/>
      <c r="C1020" s="30" t="s">
        <v>1</v>
      </c>
      <c r="D1020" s="29">
        <f t="shared" ref="D1020:D1021" si="239">SUM(E1020:I1020)</f>
        <v>396</v>
      </c>
      <c r="E1020" s="25">
        <v>396</v>
      </c>
      <c r="F1020" s="25"/>
      <c r="G1020" s="25"/>
      <c r="H1020" s="25"/>
      <c r="I1020" s="25"/>
      <c r="J1020" s="42"/>
      <c r="K1020" s="42"/>
      <c r="L1020" s="42"/>
      <c r="M1020" s="42"/>
      <c r="N1020" s="44"/>
      <c r="O1020" s="42"/>
      <c r="P1020" s="42"/>
      <c r="Q1020" s="42"/>
      <c r="R1020" s="42"/>
      <c r="S1020" s="45"/>
    </row>
    <row r="1021" spans="1:19" ht="18.75" customHeight="1" x14ac:dyDescent="0.25">
      <c r="A1021" s="38"/>
      <c r="B1021" s="40"/>
      <c r="C1021" s="30" t="s">
        <v>2</v>
      </c>
      <c r="D1021" s="29">
        <f t="shared" si="239"/>
        <v>8.0816326530612237</v>
      </c>
      <c r="E1021" s="25">
        <f>E1020*2/98</f>
        <v>8.0816326530612237</v>
      </c>
      <c r="F1021" s="25"/>
      <c r="G1021" s="25"/>
      <c r="H1021" s="25"/>
      <c r="I1021" s="25"/>
      <c r="J1021" s="42"/>
      <c r="K1021" s="42"/>
      <c r="L1021" s="42"/>
      <c r="M1021" s="42"/>
      <c r="N1021" s="44"/>
      <c r="O1021" s="42"/>
      <c r="P1021" s="42"/>
      <c r="Q1021" s="42"/>
      <c r="R1021" s="42"/>
      <c r="S1021" s="45"/>
    </row>
    <row r="1022" spans="1:19" ht="18.75" customHeight="1" x14ac:dyDescent="0.25">
      <c r="A1022" s="38"/>
      <c r="B1022" s="40"/>
      <c r="C1022" s="30" t="s">
        <v>3</v>
      </c>
      <c r="D1022" s="29"/>
      <c r="E1022" s="25"/>
      <c r="F1022" s="25"/>
      <c r="G1022" s="25"/>
      <c r="H1022" s="25"/>
      <c r="I1022" s="25"/>
      <c r="J1022" s="42"/>
      <c r="K1022" s="42"/>
      <c r="L1022" s="42"/>
      <c r="M1022" s="42"/>
      <c r="N1022" s="44"/>
      <c r="O1022" s="42"/>
      <c r="P1022" s="42"/>
      <c r="Q1022" s="42"/>
      <c r="R1022" s="42"/>
      <c r="S1022" s="45"/>
    </row>
    <row r="1023" spans="1:19" ht="18.75" customHeight="1" x14ac:dyDescent="0.25">
      <c r="A1023" s="37" t="s">
        <v>78</v>
      </c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</row>
    <row r="1024" spans="1:19" ht="18.75" customHeight="1" x14ac:dyDescent="0.25">
      <c r="A1024" s="38"/>
      <c r="B1024" s="39" t="s">
        <v>1004</v>
      </c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</row>
    <row r="1025" spans="1:19" ht="37.5" customHeight="1" x14ac:dyDescent="0.25">
      <c r="A1025" s="38"/>
      <c r="B1025" s="40" t="s">
        <v>997</v>
      </c>
      <c r="C1025" s="41" t="s">
        <v>1031</v>
      </c>
      <c r="D1025" s="41"/>
      <c r="E1025" s="41"/>
      <c r="F1025" s="41"/>
      <c r="G1025" s="41"/>
      <c r="H1025" s="41"/>
      <c r="I1025" s="41"/>
      <c r="J1025" s="42">
        <v>2014</v>
      </c>
      <c r="K1025" s="42" t="s">
        <v>828</v>
      </c>
      <c r="L1025" s="42"/>
      <c r="M1025" s="42" t="s">
        <v>1012</v>
      </c>
      <c r="N1025" s="44">
        <f>E1026</f>
        <v>404.08163265306121</v>
      </c>
      <c r="O1025" s="42" t="s">
        <v>12</v>
      </c>
      <c r="P1025" s="42" t="s">
        <v>1013</v>
      </c>
      <c r="Q1025" s="42"/>
      <c r="R1025" s="42"/>
      <c r="S1025" s="45"/>
    </row>
    <row r="1026" spans="1:19" ht="18.75" customHeight="1" x14ac:dyDescent="0.25">
      <c r="A1026" s="38"/>
      <c r="B1026" s="40"/>
      <c r="C1026" s="30" t="s">
        <v>6</v>
      </c>
      <c r="D1026" s="29">
        <f>SUM(D1027:D1030)</f>
        <v>404.08163265306121</v>
      </c>
      <c r="E1026" s="25">
        <f t="shared" ref="E1026" si="240">SUM(E1027:E1030)</f>
        <v>404.08163265306121</v>
      </c>
      <c r="F1026" s="25"/>
      <c r="G1026" s="25"/>
      <c r="H1026" s="25"/>
      <c r="I1026" s="25"/>
      <c r="J1026" s="42"/>
      <c r="K1026" s="42"/>
      <c r="L1026" s="42"/>
      <c r="M1026" s="42"/>
      <c r="N1026" s="44"/>
      <c r="O1026" s="42"/>
      <c r="P1026" s="42"/>
      <c r="Q1026" s="42"/>
      <c r="R1026" s="42"/>
      <c r="S1026" s="45"/>
    </row>
    <row r="1027" spans="1:19" ht="18.75" customHeight="1" x14ac:dyDescent="0.25">
      <c r="A1027" s="38"/>
      <c r="B1027" s="40"/>
      <c r="C1027" s="30" t="s">
        <v>0</v>
      </c>
      <c r="D1027" s="29"/>
      <c r="E1027" s="25"/>
      <c r="F1027" s="25"/>
      <c r="G1027" s="25"/>
      <c r="H1027" s="25"/>
      <c r="I1027" s="25"/>
      <c r="J1027" s="42"/>
      <c r="K1027" s="42"/>
      <c r="L1027" s="42"/>
      <c r="M1027" s="42"/>
      <c r="N1027" s="44"/>
      <c r="O1027" s="42"/>
      <c r="P1027" s="42"/>
      <c r="Q1027" s="42"/>
      <c r="R1027" s="42"/>
      <c r="S1027" s="45"/>
    </row>
    <row r="1028" spans="1:19" ht="18.75" customHeight="1" x14ac:dyDescent="0.25">
      <c r="A1028" s="38"/>
      <c r="B1028" s="40"/>
      <c r="C1028" s="30" t="s">
        <v>1</v>
      </c>
      <c r="D1028" s="29">
        <f t="shared" ref="D1028:D1029" si="241">SUM(E1028:I1028)</f>
        <v>396</v>
      </c>
      <c r="E1028" s="25">
        <v>396</v>
      </c>
      <c r="F1028" s="25"/>
      <c r="G1028" s="25"/>
      <c r="H1028" s="25"/>
      <c r="I1028" s="25"/>
      <c r="J1028" s="42"/>
      <c r="K1028" s="42"/>
      <c r="L1028" s="42"/>
      <c r="M1028" s="42"/>
      <c r="N1028" s="44"/>
      <c r="O1028" s="42"/>
      <c r="P1028" s="42"/>
      <c r="Q1028" s="42"/>
      <c r="R1028" s="42"/>
      <c r="S1028" s="45"/>
    </row>
    <row r="1029" spans="1:19" ht="18.75" customHeight="1" x14ac:dyDescent="0.25">
      <c r="A1029" s="38"/>
      <c r="B1029" s="40"/>
      <c r="C1029" s="30" t="s">
        <v>2</v>
      </c>
      <c r="D1029" s="29">
        <f t="shared" si="241"/>
        <v>8.0816326530612237</v>
      </c>
      <c r="E1029" s="25">
        <f>E1028*2/98</f>
        <v>8.0816326530612237</v>
      </c>
      <c r="F1029" s="25"/>
      <c r="G1029" s="25"/>
      <c r="H1029" s="25"/>
      <c r="I1029" s="25"/>
      <c r="J1029" s="42"/>
      <c r="K1029" s="42"/>
      <c r="L1029" s="42"/>
      <c r="M1029" s="42"/>
      <c r="N1029" s="44"/>
      <c r="O1029" s="42"/>
      <c r="P1029" s="42"/>
      <c r="Q1029" s="42"/>
      <c r="R1029" s="42"/>
      <c r="S1029" s="45"/>
    </row>
    <row r="1030" spans="1:19" ht="18.75" customHeight="1" x14ac:dyDescent="0.25">
      <c r="A1030" s="38"/>
      <c r="B1030" s="40"/>
      <c r="C1030" s="30" t="s">
        <v>3</v>
      </c>
      <c r="D1030" s="29"/>
      <c r="E1030" s="25"/>
      <c r="F1030" s="25"/>
      <c r="G1030" s="25"/>
      <c r="H1030" s="25"/>
      <c r="I1030" s="25"/>
      <c r="J1030" s="42"/>
      <c r="K1030" s="42"/>
      <c r="L1030" s="42"/>
      <c r="M1030" s="42"/>
      <c r="N1030" s="44"/>
      <c r="O1030" s="42"/>
      <c r="P1030" s="42"/>
      <c r="Q1030" s="42"/>
      <c r="R1030" s="42"/>
      <c r="S1030" s="45"/>
    </row>
    <row r="1031" spans="1:19" ht="18.75" customHeight="1" x14ac:dyDescent="0.25">
      <c r="A1031" s="37" t="s">
        <v>78</v>
      </c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</row>
    <row r="1032" spans="1:19" ht="18.75" customHeight="1" x14ac:dyDescent="0.25">
      <c r="A1032" s="38"/>
      <c r="B1032" s="39" t="s">
        <v>1004</v>
      </c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</row>
    <row r="1033" spans="1:19" ht="43.5" customHeight="1" x14ac:dyDescent="0.25">
      <c r="A1033" s="38"/>
      <c r="B1033" s="40" t="s">
        <v>1000</v>
      </c>
      <c r="C1033" s="41" t="s">
        <v>1032</v>
      </c>
      <c r="D1033" s="41"/>
      <c r="E1033" s="41"/>
      <c r="F1033" s="41"/>
      <c r="G1033" s="41"/>
      <c r="H1033" s="41"/>
      <c r="I1033" s="41"/>
      <c r="J1033" s="42">
        <v>2014</v>
      </c>
      <c r="K1033" s="42" t="s">
        <v>828</v>
      </c>
      <c r="L1033" s="42"/>
      <c r="M1033" s="42" t="s">
        <v>1015</v>
      </c>
      <c r="N1033" s="44">
        <v>408.16327000000001</v>
      </c>
      <c r="O1033" s="42" t="s">
        <v>12</v>
      </c>
      <c r="P1033" s="42" t="s">
        <v>1016</v>
      </c>
      <c r="Q1033" s="42"/>
      <c r="R1033" s="42"/>
      <c r="S1033" s="45"/>
    </row>
    <row r="1034" spans="1:19" ht="18.75" customHeight="1" x14ac:dyDescent="0.25">
      <c r="A1034" s="38"/>
      <c r="B1034" s="40"/>
      <c r="C1034" s="30" t="s">
        <v>6</v>
      </c>
      <c r="D1034" s="29">
        <f>SUM(D1035:D1038)</f>
        <v>408.16326530612247</v>
      </c>
      <c r="E1034" s="25">
        <f t="shared" ref="E1034" si="242">SUM(E1035:E1038)</f>
        <v>408.16326530612247</v>
      </c>
      <c r="F1034" s="25"/>
      <c r="G1034" s="25"/>
      <c r="H1034" s="25"/>
      <c r="I1034" s="25"/>
      <c r="J1034" s="42"/>
      <c r="K1034" s="42"/>
      <c r="L1034" s="42"/>
      <c r="M1034" s="42"/>
      <c r="N1034" s="44"/>
      <c r="O1034" s="42"/>
      <c r="P1034" s="42"/>
      <c r="Q1034" s="42"/>
      <c r="R1034" s="42"/>
      <c r="S1034" s="45"/>
    </row>
    <row r="1035" spans="1:19" ht="18.75" customHeight="1" x14ac:dyDescent="0.25">
      <c r="A1035" s="38"/>
      <c r="B1035" s="40"/>
      <c r="C1035" s="30" t="s">
        <v>0</v>
      </c>
      <c r="D1035" s="29"/>
      <c r="E1035" s="25"/>
      <c r="F1035" s="25"/>
      <c r="G1035" s="25"/>
      <c r="H1035" s="25"/>
      <c r="I1035" s="25"/>
      <c r="J1035" s="42"/>
      <c r="K1035" s="42"/>
      <c r="L1035" s="42"/>
      <c r="M1035" s="42"/>
      <c r="N1035" s="44"/>
      <c r="O1035" s="42"/>
      <c r="P1035" s="42"/>
      <c r="Q1035" s="42"/>
      <c r="R1035" s="42"/>
      <c r="S1035" s="45"/>
    </row>
    <row r="1036" spans="1:19" ht="18.75" customHeight="1" x14ac:dyDescent="0.25">
      <c r="A1036" s="38"/>
      <c r="B1036" s="40"/>
      <c r="C1036" s="30" t="s">
        <v>1</v>
      </c>
      <c r="D1036" s="29">
        <f t="shared" ref="D1036:D1037" si="243">SUM(E1036:I1036)</f>
        <v>400</v>
      </c>
      <c r="E1036" s="25">
        <v>400</v>
      </c>
      <c r="F1036" s="25"/>
      <c r="G1036" s="25"/>
      <c r="H1036" s="25"/>
      <c r="I1036" s="25"/>
      <c r="J1036" s="42"/>
      <c r="K1036" s="42"/>
      <c r="L1036" s="42"/>
      <c r="M1036" s="42"/>
      <c r="N1036" s="44"/>
      <c r="O1036" s="42"/>
      <c r="P1036" s="42"/>
      <c r="Q1036" s="42"/>
      <c r="R1036" s="42"/>
      <c r="S1036" s="45"/>
    </row>
    <row r="1037" spans="1:19" ht="18.75" customHeight="1" x14ac:dyDescent="0.25">
      <c r="A1037" s="38"/>
      <c r="B1037" s="40"/>
      <c r="C1037" s="30" t="s">
        <v>2</v>
      </c>
      <c r="D1037" s="29">
        <f t="shared" si="243"/>
        <v>8.1632653061224492</v>
      </c>
      <c r="E1037" s="25">
        <f>E1036*2/98</f>
        <v>8.1632653061224492</v>
      </c>
      <c r="F1037" s="25"/>
      <c r="G1037" s="25"/>
      <c r="H1037" s="25"/>
      <c r="I1037" s="25"/>
      <c r="J1037" s="42"/>
      <c r="K1037" s="42"/>
      <c r="L1037" s="42"/>
      <c r="M1037" s="42"/>
      <c r="N1037" s="44"/>
      <c r="O1037" s="42"/>
      <c r="P1037" s="42"/>
      <c r="Q1037" s="42"/>
      <c r="R1037" s="42"/>
      <c r="S1037" s="45"/>
    </row>
    <row r="1038" spans="1:19" ht="18.75" customHeight="1" x14ac:dyDescent="0.25">
      <c r="A1038" s="38"/>
      <c r="B1038" s="40"/>
      <c r="C1038" s="30" t="s">
        <v>3</v>
      </c>
      <c r="D1038" s="29"/>
      <c r="E1038" s="25"/>
      <c r="F1038" s="25"/>
      <c r="G1038" s="25"/>
      <c r="H1038" s="25"/>
      <c r="I1038" s="25"/>
      <c r="J1038" s="42"/>
      <c r="K1038" s="42"/>
      <c r="L1038" s="42"/>
      <c r="M1038" s="42"/>
      <c r="N1038" s="44"/>
      <c r="O1038" s="42"/>
      <c r="P1038" s="42"/>
      <c r="Q1038" s="42"/>
      <c r="R1038" s="42"/>
      <c r="S1038" s="45"/>
    </row>
    <row r="1039" spans="1:19" ht="18.75" customHeight="1" x14ac:dyDescent="0.25">
      <c r="A1039" s="37" t="s">
        <v>78</v>
      </c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</row>
    <row r="1040" spans="1:19" ht="18.75" customHeight="1" x14ac:dyDescent="0.25">
      <c r="A1040" s="38"/>
      <c r="B1040" s="39" t="s">
        <v>1004</v>
      </c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</row>
    <row r="1041" spans="1:19" ht="32.25" customHeight="1" x14ac:dyDescent="0.25">
      <c r="A1041" s="38"/>
      <c r="B1041" s="40" t="s">
        <v>1005</v>
      </c>
      <c r="C1041" s="41" t="s">
        <v>1018</v>
      </c>
      <c r="D1041" s="41"/>
      <c r="E1041" s="41"/>
      <c r="F1041" s="41"/>
      <c r="G1041" s="41"/>
      <c r="H1041" s="41"/>
      <c r="I1041" s="41"/>
      <c r="J1041" s="42">
        <v>2018</v>
      </c>
      <c r="K1041" s="42" t="s">
        <v>828</v>
      </c>
      <c r="L1041" s="42" t="s">
        <v>1019</v>
      </c>
      <c r="M1041" s="42" t="s">
        <v>1006</v>
      </c>
      <c r="N1041" s="44">
        <v>82722</v>
      </c>
      <c r="O1041" s="42" t="s">
        <v>12</v>
      </c>
      <c r="P1041" s="42" t="s">
        <v>1007</v>
      </c>
      <c r="Q1041" s="42"/>
      <c r="R1041" s="42"/>
      <c r="S1041" s="45" t="s">
        <v>1020</v>
      </c>
    </row>
    <row r="1042" spans="1:19" ht="18.75" customHeight="1" x14ac:dyDescent="0.25">
      <c r="A1042" s="38"/>
      <c r="B1042" s="40"/>
      <c r="C1042" s="30" t="s">
        <v>6</v>
      </c>
      <c r="D1042" s="29">
        <f>SUM(D1043:D1046)</f>
        <v>1643.9299795918366</v>
      </c>
      <c r="E1042" s="25">
        <f t="shared" ref="E1042" si="244">SUM(E1043:E1046)</f>
        <v>1643.9299795918366</v>
      </c>
      <c r="F1042" s="25"/>
      <c r="G1042" s="25"/>
      <c r="H1042" s="25"/>
      <c r="I1042" s="25"/>
      <c r="J1042" s="42"/>
      <c r="K1042" s="42"/>
      <c r="L1042" s="42"/>
      <c r="M1042" s="42"/>
      <c r="N1042" s="44"/>
      <c r="O1042" s="42"/>
      <c r="P1042" s="42"/>
      <c r="Q1042" s="42"/>
      <c r="R1042" s="42"/>
      <c r="S1042" s="45"/>
    </row>
    <row r="1043" spans="1:19" ht="18.75" customHeight="1" x14ac:dyDescent="0.25">
      <c r="A1043" s="38"/>
      <c r="B1043" s="40"/>
      <c r="C1043" s="30" t="s">
        <v>0</v>
      </c>
      <c r="D1043" s="29"/>
      <c r="E1043" s="25"/>
      <c r="F1043" s="25"/>
      <c r="G1043" s="25"/>
      <c r="H1043" s="25"/>
      <c r="I1043" s="25"/>
      <c r="J1043" s="42"/>
      <c r="K1043" s="42"/>
      <c r="L1043" s="42"/>
      <c r="M1043" s="42"/>
      <c r="N1043" s="44"/>
      <c r="O1043" s="42"/>
      <c r="P1043" s="42"/>
      <c r="Q1043" s="42"/>
      <c r="R1043" s="42"/>
      <c r="S1043" s="45"/>
    </row>
    <row r="1044" spans="1:19" ht="18.75" customHeight="1" x14ac:dyDescent="0.25">
      <c r="A1044" s="38"/>
      <c r="B1044" s="40"/>
      <c r="C1044" s="30" t="s">
        <v>1</v>
      </c>
      <c r="D1044" s="29">
        <f t="shared" ref="D1044:D1045" si="245">SUM(E1044:I1044)</f>
        <v>1611.0513799999999</v>
      </c>
      <c r="E1044" s="25">
        <f>1643.92998-32.8786</f>
        <v>1611.0513799999999</v>
      </c>
      <c r="F1044" s="25"/>
      <c r="G1044" s="25"/>
      <c r="H1044" s="25"/>
      <c r="I1044" s="25"/>
      <c r="J1044" s="42"/>
      <c r="K1044" s="42"/>
      <c r="L1044" s="42"/>
      <c r="M1044" s="42"/>
      <c r="N1044" s="44"/>
      <c r="O1044" s="42"/>
      <c r="P1044" s="42"/>
      <c r="Q1044" s="42"/>
      <c r="R1044" s="42"/>
      <c r="S1044" s="45"/>
    </row>
    <row r="1045" spans="1:19" ht="18.75" customHeight="1" x14ac:dyDescent="0.25">
      <c r="A1045" s="38"/>
      <c r="B1045" s="40"/>
      <c r="C1045" s="30" t="s">
        <v>2</v>
      </c>
      <c r="D1045" s="29">
        <f t="shared" si="245"/>
        <v>32.878599591836732</v>
      </c>
      <c r="E1045" s="25">
        <f>E1044*2/98</f>
        <v>32.878599591836732</v>
      </c>
      <c r="F1045" s="25"/>
      <c r="G1045" s="25"/>
      <c r="H1045" s="25"/>
      <c r="I1045" s="25"/>
      <c r="J1045" s="42"/>
      <c r="K1045" s="42"/>
      <c r="L1045" s="42"/>
      <c r="M1045" s="42"/>
      <c r="N1045" s="44"/>
      <c r="O1045" s="42"/>
      <c r="P1045" s="42"/>
      <c r="Q1045" s="42"/>
      <c r="R1045" s="42"/>
      <c r="S1045" s="45"/>
    </row>
    <row r="1046" spans="1:19" ht="18.75" customHeight="1" x14ac:dyDescent="0.25">
      <c r="A1046" s="38"/>
      <c r="B1046" s="40"/>
      <c r="C1046" s="30" t="s">
        <v>3</v>
      </c>
      <c r="D1046" s="29"/>
      <c r="E1046" s="25"/>
      <c r="F1046" s="25"/>
      <c r="G1046" s="25"/>
      <c r="H1046" s="25"/>
      <c r="I1046" s="25"/>
      <c r="J1046" s="42"/>
      <c r="K1046" s="42"/>
      <c r="L1046" s="42"/>
      <c r="M1046" s="42"/>
      <c r="N1046" s="44"/>
      <c r="O1046" s="42"/>
      <c r="P1046" s="42"/>
      <c r="Q1046" s="42"/>
      <c r="R1046" s="42"/>
      <c r="S1046" s="45"/>
    </row>
    <row r="1047" spans="1:19" ht="18.75" customHeight="1" x14ac:dyDescent="0.25">
      <c r="A1047" s="37" t="s">
        <v>78</v>
      </c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</row>
    <row r="1048" spans="1:19" ht="18.75" customHeight="1" x14ac:dyDescent="0.25">
      <c r="A1048" s="38"/>
      <c r="B1048" s="39" t="s">
        <v>1021</v>
      </c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</row>
    <row r="1049" spans="1:19" ht="22.5" customHeight="1" x14ac:dyDescent="0.25">
      <c r="A1049" s="38"/>
      <c r="B1049" s="40" t="s">
        <v>1008</v>
      </c>
      <c r="C1049" s="41" t="s">
        <v>1023</v>
      </c>
      <c r="D1049" s="41"/>
      <c r="E1049" s="41"/>
      <c r="F1049" s="41"/>
      <c r="G1049" s="41"/>
      <c r="H1049" s="41"/>
      <c r="I1049" s="41"/>
      <c r="J1049" s="42">
        <v>2014</v>
      </c>
      <c r="K1049" s="42" t="s">
        <v>828</v>
      </c>
      <c r="L1049" s="42" t="s">
        <v>1024</v>
      </c>
      <c r="M1049" s="42" t="s">
        <v>1025</v>
      </c>
      <c r="N1049" s="44">
        <v>39706.812890000001</v>
      </c>
      <c r="O1049" s="42" t="s">
        <v>12</v>
      </c>
      <c r="P1049" s="42" t="s">
        <v>22</v>
      </c>
      <c r="Q1049" s="42"/>
      <c r="R1049" s="42"/>
      <c r="S1049" s="45" t="s">
        <v>1026</v>
      </c>
    </row>
    <row r="1050" spans="1:19" ht="18.75" customHeight="1" x14ac:dyDescent="0.25">
      <c r="A1050" s="38"/>
      <c r="B1050" s="40"/>
      <c r="C1050" s="30" t="s">
        <v>6</v>
      </c>
      <c r="D1050" s="29">
        <f>SUM(D1051:D1054)</f>
        <v>3904.5510204081634</v>
      </c>
      <c r="E1050" s="25">
        <f t="shared" ref="E1050" si="246">SUM(E1051:E1054)</f>
        <v>3904.5510204081634</v>
      </c>
      <c r="F1050" s="25"/>
      <c r="G1050" s="25"/>
      <c r="H1050" s="25"/>
      <c r="I1050" s="25"/>
      <c r="J1050" s="42"/>
      <c r="K1050" s="42"/>
      <c r="L1050" s="42"/>
      <c r="M1050" s="42"/>
      <c r="N1050" s="44"/>
      <c r="O1050" s="42"/>
      <c r="P1050" s="42"/>
      <c r="Q1050" s="42"/>
      <c r="R1050" s="42"/>
      <c r="S1050" s="45"/>
    </row>
    <row r="1051" spans="1:19" ht="18.75" customHeight="1" x14ac:dyDescent="0.25">
      <c r="A1051" s="38"/>
      <c r="B1051" s="40"/>
      <c r="C1051" s="30" t="s">
        <v>0</v>
      </c>
      <c r="D1051" s="29"/>
      <c r="E1051" s="25"/>
      <c r="F1051" s="25"/>
      <c r="G1051" s="25"/>
      <c r="H1051" s="25"/>
      <c r="I1051" s="25"/>
      <c r="J1051" s="42"/>
      <c r="K1051" s="42"/>
      <c r="L1051" s="42"/>
      <c r="M1051" s="42"/>
      <c r="N1051" s="44"/>
      <c r="O1051" s="42"/>
      <c r="P1051" s="42"/>
      <c r="Q1051" s="42"/>
      <c r="R1051" s="42"/>
      <c r="S1051" s="45"/>
    </row>
    <row r="1052" spans="1:19" ht="18.75" customHeight="1" x14ac:dyDescent="0.25">
      <c r="A1052" s="38"/>
      <c r="B1052" s="40"/>
      <c r="C1052" s="30" t="s">
        <v>1</v>
      </c>
      <c r="D1052" s="29">
        <f t="shared" ref="D1052:D1053" si="247">SUM(E1052:I1052)</f>
        <v>3826.46</v>
      </c>
      <c r="E1052" s="25">
        <v>3826.46</v>
      </c>
      <c r="F1052" s="25"/>
      <c r="G1052" s="25"/>
      <c r="H1052" s="25"/>
      <c r="I1052" s="25"/>
      <c r="J1052" s="42"/>
      <c r="K1052" s="42"/>
      <c r="L1052" s="42"/>
      <c r="M1052" s="42"/>
      <c r="N1052" s="44"/>
      <c r="O1052" s="42"/>
      <c r="P1052" s="42"/>
      <c r="Q1052" s="42"/>
      <c r="R1052" s="42"/>
      <c r="S1052" s="45"/>
    </row>
    <row r="1053" spans="1:19" ht="18.75" customHeight="1" x14ac:dyDescent="0.25">
      <c r="A1053" s="38"/>
      <c r="B1053" s="40"/>
      <c r="C1053" s="30" t="s">
        <v>2</v>
      </c>
      <c r="D1053" s="29">
        <f t="shared" si="247"/>
        <v>78.09102040816326</v>
      </c>
      <c r="E1053" s="25">
        <f>E1052*2/98</f>
        <v>78.09102040816326</v>
      </c>
      <c r="F1053" s="25"/>
      <c r="G1053" s="25"/>
      <c r="H1053" s="25"/>
      <c r="I1053" s="25"/>
      <c r="J1053" s="42"/>
      <c r="K1053" s="42"/>
      <c r="L1053" s="42"/>
      <c r="M1053" s="42"/>
      <c r="N1053" s="44"/>
      <c r="O1053" s="42"/>
      <c r="P1053" s="42"/>
      <c r="Q1053" s="42"/>
      <c r="R1053" s="42"/>
      <c r="S1053" s="45"/>
    </row>
    <row r="1054" spans="1:19" ht="18.75" customHeight="1" x14ac:dyDescent="0.25">
      <c r="A1054" s="38"/>
      <c r="B1054" s="40"/>
      <c r="C1054" s="30" t="s">
        <v>3</v>
      </c>
      <c r="D1054" s="29"/>
      <c r="E1054" s="25"/>
      <c r="F1054" s="25"/>
      <c r="G1054" s="25"/>
      <c r="H1054" s="25"/>
      <c r="I1054" s="25"/>
      <c r="J1054" s="42"/>
      <c r="K1054" s="42"/>
      <c r="L1054" s="42"/>
      <c r="M1054" s="42"/>
      <c r="N1054" s="44"/>
      <c r="O1054" s="42"/>
      <c r="P1054" s="42"/>
      <c r="Q1054" s="42"/>
      <c r="R1054" s="42"/>
      <c r="S1054" s="45"/>
    </row>
    <row r="1055" spans="1:19" ht="18.75" customHeight="1" x14ac:dyDescent="0.25">
      <c r="A1055" s="37" t="s">
        <v>78</v>
      </c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</row>
    <row r="1056" spans="1:19" ht="18.75" customHeight="1" x14ac:dyDescent="0.25">
      <c r="A1056" s="38"/>
      <c r="B1056" s="39" t="s">
        <v>988</v>
      </c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</row>
    <row r="1057" spans="1:19" ht="22.5" customHeight="1" x14ac:dyDescent="0.25">
      <c r="A1057" s="38"/>
      <c r="B1057" s="40" t="s">
        <v>1011</v>
      </c>
      <c r="C1057" s="41" t="s">
        <v>1040</v>
      </c>
      <c r="D1057" s="41"/>
      <c r="E1057" s="41"/>
      <c r="F1057" s="41"/>
      <c r="G1057" s="41"/>
      <c r="H1057" s="41"/>
      <c r="I1057" s="41"/>
      <c r="J1057" s="42">
        <v>2015</v>
      </c>
      <c r="K1057" s="42" t="s">
        <v>828</v>
      </c>
      <c r="L1057" s="42" t="s">
        <v>796</v>
      </c>
      <c r="M1057" s="42" t="s">
        <v>1054</v>
      </c>
      <c r="N1057" s="44"/>
      <c r="O1057" s="42" t="s">
        <v>12</v>
      </c>
      <c r="P1057" s="42" t="s">
        <v>13</v>
      </c>
      <c r="Q1057" s="42"/>
      <c r="R1057" s="42"/>
      <c r="S1057" s="45" t="s">
        <v>1055</v>
      </c>
    </row>
    <row r="1058" spans="1:19" ht="18.75" customHeight="1" x14ac:dyDescent="0.25">
      <c r="A1058" s="38"/>
      <c r="B1058" s="40"/>
      <c r="C1058" s="36" t="s">
        <v>6</v>
      </c>
      <c r="D1058" s="29">
        <f>SUM(D1059:D1062)</f>
        <v>2000</v>
      </c>
      <c r="E1058" s="25">
        <f t="shared" ref="E1058" si="248">SUM(E1059:E1062)</f>
        <v>2000</v>
      </c>
      <c r="F1058" s="25"/>
      <c r="G1058" s="25"/>
      <c r="H1058" s="25"/>
      <c r="I1058" s="25"/>
      <c r="J1058" s="42"/>
      <c r="K1058" s="42"/>
      <c r="L1058" s="42"/>
      <c r="M1058" s="42"/>
      <c r="N1058" s="44"/>
      <c r="O1058" s="42"/>
      <c r="P1058" s="42"/>
      <c r="Q1058" s="42"/>
      <c r="R1058" s="42"/>
      <c r="S1058" s="45"/>
    </row>
    <row r="1059" spans="1:19" ht="18.75" customHeight="1" x14ac:dyDescent="0.25">
      <c r="A1059" s="38"/>
      <c r="B1059" s="40"/>
      <c r="C1059" s="36" t="s">
        <v>0</v>
      </c>
      <c r="D1059" s="29"/>
      <c r="E1059" s="25"/>
      <c r="F1059" s="25"/>
      <c r="G1059" s="25"/>
      <c r="H1059" s="25"/>
      <c r="I1059" s="25"/>
      <c r="J1059" s="42"/>
      <c r="K1059" s="42"/>
      <c r="L1059" s="42"/>
      <c r="M1059" s="42"/>
      <c r="N1059" s="44"/>
      <c r="O1059" s="42"/>
      <c r="P1059" s="42"/>
      <c r="Q1059" s="42"/>
      <c r="R1059" s="42"/>
      <c r="S1059" s="45"/>
    </row>
    <row r="1060" spans="1:19" ht="18.75" customHeight="1" x14ac:dyDescent="0.25">
      <c r="A1060" s="38"/>
      <c r="B1060" s="40"/>
      <c r="C1060" s="36" t="s">
        <v>1</v>
      </c>
      <c r="D1060" s="29">
        <f t="shared" ref="D1060" si="249">SUM(E1060:I1060)</f>
        <v>2000</v>
      </c>
      <c r="E1060" s="25">
        <v>2000</v>
      </c>
      <c r="F1060" s="25"/>
      <c r="G1060" s="25"/>
      <c r="H1060" s="25"/>
      <c r="I1060" s="25"/>
      <c r="J1060" s="42"/>
      <c r="K1060" s="42"/>
      <c r="L1060" s="42"/>
      <c r="M1060" s="42"/>
      <c r="N1060" s="44"/>
      <c r="O1060" s="42"/>
      <c r="P1060" s="42"/>
      <c r="Q1060" s="42"/>
      <c r="R1060" s="42"/>
      <c r="S1060" s="45"/>
    </row>
    <row r="1061" spans="1:19" ht="18.75" customHeight="1" x14ac:dyDescent="0.25">
      <c r="A1061" s="38"/>
      <c r="B1061" s="40"/>
      <c r="C1061" s="36" t="s">
        <v>2</v>
      </c>
      <c r="D1061" s="29"/>
      <c r="E1061" s="25"/>
      <c r="F1061" s="25"/>
      <c r="G1061" s="25"/>
      <c r="H1061" s="25"/>
      <c r="I1061" s="25"/>
      <c r="J1061" s="42"/>
      <c r="K1061" s="42"/>
      <c r="L1061" s="42"/>
      <c r="M1061" s="42"/>
      <c r="N1061" s="44"/>
      <c r="O1061" s="42"/>
      <c r="P1061" s="42"/>
      <c r="Q1061" s="42"/>
      <c r="R1061" s="42"/>
      <c r="S1061" s="45"/>
    </row>
    <row r="1062" spans="1:19" ht="18.75" customHeight="1" x14ac:dyDescent="0.25">
      <c r="A1062" s="38"/>
      <c r="B1062" s="40"/>
      <c r="C1062" s="36" t="s">
        <v>3</v>
      </c>
      <c r="D1062" s="29"/>
      <c r="E1062" s="25"/>
      <c r="F1062" s="25"/>
      <c r="G1062" s="25"/>
      <c r="H1062" s="25"/>
      <c r="I1062" s="25"/>
      <c r="J1062" s="42"/>
      <c r="K1062" s="42"/>
      <c r="L1062" s="42"/>
      <c r="M1062" s="42"/>
      <c r="N1062" s="44"/>
      <c r="O1062" s="42"/>
      <c r="P1062" s="42"/>
      <c r="Q1062" s="42"/>
      <c r="R1062" s="42"/>
      <c r="S1062" s="45"/>
    </row>
    <row r="1063" spans="1:19" ht="18.75" customHeight="1" x14ac:dyDescent="0.25">
      <c r="A1063" s="37" t="s">
        <v>78</v>
      </c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</row>
    <row r="1064" spans="1:19" ht="18.75" customHeight="1" x14ac:dyDescent="0.25">
      <c r="A1064" s="38"/>
      <c r="B1064" s="39" t="s">
        <v>988</v>
      </c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</row>
    <row r="1065" spans="1:19" ht="22.5" customHeight="1" x14ac:dyDescent="0.25">
      <c r="A1065" s="38"/>
      <c r="B1065" s="40" t="s">
        <v>1014</v>
      </c>
      <c r="C1065" s="41" t="s">
        <v>1041</v>
      </c>
      <c r="D1065" s="41"/>
      <c r="E1065" s="41"/>
      <c r="F1065" s="41"/>
      <c r="G1065" s="41"/>
      <c r="H1065" s="41"/>
      <c r="I1065" s="41"/>
      <c r="J1065" s="42">
        <v>2015</v>
      </c>
      <c r="K1065" s="42" t="s">
        <v>828</v>
      </c>
      <c r="L1065" s="42" t="s">
        <v>796</v>
      </c>
      <c r="M1065" s="42" t="s">
        <v>1054</v>
      </c>
      <c r="N1065" s="44"/>
      <c r="O1065" s="42" t="s">
        <v>12</v>
      </c>
      <c r="P1065" s="42" t="s">
        <v>13</v>
      </c>
      <c r="Q1065" s="42"/>
      <c r="R1065" s="42"/>
      <c r="S1065" s="45" t="s">
        <v>1055</v>
      </c>
    </row>
    <row r="1066" spans="1:19" ht="18.75" customHeight="1" x14ac:dyDescent="0.25">
      <c r="A1066" s="38"/>
      <c r="B1066" s="40"/>
      <c r="C1066" s="36" t="s">
        <v>6</v>
      </c>
      <c r="D1066" s="29">
        <f>SUM(D1067:D1070)</f>
        <v>4000</v>
      </c>
      <c r="E1066" s="25">
        <f t="shared" ref="E1066" si="250">SUM(E1067:E1070)</f>
        <v>4000</v>
      </c>
      <c r="F1066" s="25"/>
      <c r="G1066" s="25"/>
      <c r="H1066" s="25"/>
      <c r="I1066" s="25"/>
      <c r="J1066" s="42"/>
      <c r="K1066" s="42"/>
      <c r="L1066" s="42"/>
      <c r="M1066" s="42"/>
      <c r="N1066" s="44"/>
      <c r="O1066" s="42"/>
      <c r="P1066" s="42"/>
      <c r="Q1066" s="42"/>
      <c r="R1066" s="42"/>
      <c r="S1066" s="45"/>
    </row>
    <row r="1067" spans="1:19" ht="18.75" customHeight="1" x14ac:dyDescent="0.25">
      <c r="A1067" s="38"/>
      <c r="B1067" s="40"/>
      <c r="C1067" s="36" t="s">
        <v>0</v>
      </c>
      <c r="D1067" s="29"/>
      <c r="E1067" s="25"/>
      <c r="F1067" s="25"/>
      <c r="G1067" s="25"/>
      <c r="H1067" s="25"/>
      <c r="I1067" s="25"/>
      <c r="J1067" s="42"/>
      <c r="K1067" s="42"/>
      <c r="L1067" s="42"/>
      <c r="M1067" s="42"/>
      <c r="N1067" s="44"/>
      <c r="O1067" s="42"/>
      <c r="P1067" s="42"/>
      <c r="Q1067" s="42"/>
      <c r="R1067" s="42"/>
      <c r="S1067" s="45"/>
    </row>
    <row r="1068" spans="1:19" ht="18.75" customHeight="1" x14ac:dyDescent="0.25">
      <c r="A1068" s="38"/>
      <c r="B1068" s="40"/>
      <c r="C1068" s="36" t="s">
        <v>1</v>
      </c>
      <c r="D1068" s="29">
        <f t="shared" ref="D1068" si="251">SUM(E1068:I1068)</f>
        <v>4000</v>
      </c>
      <c r="E1068" s="25">
        <v>4000</v>
      </c>
      <c r="F1068" s="25"/>
      <c r="G1068" s="25"/>
      <c r="H1068" s="25"/>
      <c r="I1068" s="25"/>
      <c r="J1068" s="42"/>
      <c r="K1068" s="42"/>
      <c r="L1068" s="42"/>
      <c r="M1068" s="42"/>
      <c r="N1068" s="44"/>
      <c r="O1068" s="42"/>
      <c r="P1068" s="42"/>
      <c r="Q1068" s="42"/>
      <c r="R1068" s="42"/>
      <c r="S1068" s="45"/>
    </row>
    <row r="1069" spans="1:19" ht="18.75" customHeight="1" x14ac:dyDescent="0.25">
      <c r="A1069" s="38"/>
      <c r="B1069" s="40"/>
      <c r="C1069" s="36" t="s">
        <v>2</v>
      </c>
      <c r="D1069" s="29"/>
      <c r="E1069" s="25"/>
      <c r="F1069" s="25"/>
      <c r="G1069" s="25"/>
      <c r="H1069" s="25"/>
      <c r="I1069" s="25"/>
      <c r="J1069" s="42"/>
      <c r="K1069" s="42"/>
      <c r="L1069" s="42"/>
      <c r="M1069" s="42"/>
      <c r="N1069" s="44"/>
      <c r="O1069" s="42"/>
      <c r="P1069" s="42"/>
      <c r="Q1069" s="42"/>
      <c r="R1069" s="42"/>
      <c r="S1069" s="45"/>
    </row>
    <row r="1070" spans="1:19" ht="18.75" customHeight="1" x14ac:dyDescent="0.25">
      <c r="A1070" s="38"/>
      <c r="B1070" s="40"/>
      <c r="C1070" s="36" t="s">
        <v>3</v>
      </c>
      <c r="D1070" s="29"/>
      <c r="E1070" s="25"/>
      <c r="F1070" s="25"/>
      <c r="G1070" s="25"/>
      <c r="H1070" s="25"/>
      <c r="I1070" s="25"/>
      <c r="J1070" s="42"/>
      <c r="K1070" s="42"/>
      <c r="L1070" s="42"/>
      <c r="M1070" s="42"/>
      <c r="N1070" s="44"/>
      <c r="O1070" s="42"/>
      <c r="P1070" s="42"/>
      <c r="Q1070" s="42"/>
      <c r="R1070" s="42"/>
      <c r="S1070" s="45"/>
    </row>
    <row r="1071" spans="1:19" ht="18.75" customHeight="1" x14ac:dyDescent="0.25">
      <c r="A1071" s="37" t="s">
        <v>78</v>
      </c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</row>
    <row r="1072" spans="1:19" ht="18.75" customHeight="1" x14ac:dyDescent="0.25">
      <c r="A1072" s="38"/>
      <c r="B1072" s="39" t="s">
        <v>988</v>
      </c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</row>
    <row r="1073" spans="1:19" ht="34.5" customHeight="1" x14ac:dyDescent="0.25">
      <c r="A1073" s="38"/>
      <c r="B1073" s="40" t="s">
        <v>1017</v>
      </c>
      <c r="C1073" s="41" t="s">
        <v>1042</v>
      </c>
      <c r="D1073" s="41"/>
      <c r="E1073" s="41"/>
      <c r="F1073" s="41"/>
      <c r="G1073" s="41"/>
      <c r="H1073" s="41"/>
      <c r="I1073" s="41"/>
      <c r="J1073" s="42">
        <v>2015</v>
      </c>
      <c r="K1073" s="42" t="s">
        <v>828</v>
      </c>
      <c r="L1073" s="42" t="s">
        <v>796</v>
      </c>
      <c r="M1073" s="42" t="s">
        <v>1054</v>
      </c>
      <c r="N1073" s="44">
        <f>618350+15183.08+3700</f>
        <v>637233.07999999996</v>
      </c>
      <c r="O1073" s="42" t="s">
        <v>12</v>
      </c>
      <c r="P1073" s="42" t="s">
        <v>13</v>
      </c>
      <c r="Q1073" s="42"/>
      <c r="R1073" s="42"/>
      <c r="S1073" s="45" t="s">
        <v>1026</v>
      </c>
    </row>
    <row r="1074" spans="1:19" ht="18.75" customHeight="1" x14ac:dyDescent="0.25">
      <c r="A1074" s="38"/>
      <c r="B1074" s="40"/>
      <c r="C1074" s="36" t="s">
        <v>6</v>
      </c>
      <c r="D1074" s="29">
        <f>SUM(D1075:D1078)</f>
        <v>83.186999999999998</v>
      </c>
      <c r="E1074" s="25">
        <f t="shared" ref="E1074" si="252">SUM(E1075:E1078)</f>
        <v>83.186999999999998</v>
      </c>
      <c r="F1074" s="25"/>
      <c r="G1074" s="25"/>
      <c r="H1074" s="25"/>
      <c r="I1074" s="25"/>
      <c r="J1074" s="42"/>
      <c r="K1074" s="42"/>
      <c r="L1074" s="42"/>
      <c r="M1074" s="42"/>
      <c r="N1074" s="44"/>
      <c r="O1074" s="42"/>
      <c r="P1074" s="42"/>
      <c r="Q1074" s="42"/>
      <c r="R1074" s="42"/>
      <c r="S1074" s="45"/>
    </row>
    <row r="1075" spans="1:19" ht="18.75" customHeight="1" x14ac:dyDescent="0.25">
      <c r="A1075" s="38"/>
      <c r="B1075" s="40"/>
      <c r="C1075" s="36" t="s">
        <v>0</v>
      </c>
      <c r="D1075" s="29"/>
      <c r="E1075" s="25"/>
      <c r="F1075" s="25"/>
      <c r="G1075" s="25"/>
      <c r="H1075" s="25"/>
      <c r="I1075" s="25"/>
      <c r="J1075" s="42"/>
      <c r="K1075" s="42"/>
      <c r="L1075" s="42"/>
      <c r="M1075" s="42"/>
      <c r="N1075" s="44"/>
      <c r="O1075" s="42"/>
      <c r="P1075" s="42"/>
      <c r="Q1075" s="42"/>
      <c r="R1075" s="42"/>
      <c r="S1075" s="45"/>
    </row>
    <row r="1076" spans="1:19" ht="18.75" customHeight="1" x14ac:dyDescent="0.25">
      <c r="A1076" s="38"/>
      <c r="B1076" s="40"/>
      <c r="C1076" s="36" t="s">
        <v>1</v>
      </c>
      <c r="D1076" s="29">
        <f t="shared" ref="D1076" si="253">SUM(E1076:I1076)</f>
        <v>83.186999999999998</v>
      </c>
      <c r="E1076" s="25">
        <v>83.186999999999998</v>
      </c>
      <c r="F1076" s="25"/>
      <c r="G1076" s="25"/>
      <c r="H1076" s="25"/>
      <c r="I1076" s="25"/>
      <c r="J1076" s="42"/>
      <c r="K1076" s="42"/>
      <c r="L1076" s="42"/>
      <c r="M1076" s="42"/>
      <c r="N1076" s="44"/>
      <c r="O1076" s="42"/>
      <c r="P1076" s="42"/>
      <c r="Q1076" s="42"/>
      <c r="R1076" s="42"/>
      <c r="S1076" s="45"/>
    </row>
    <row r="1077" spans="1:19" ht="18.75" customHeight="1" x14ac:dyDescent="0.25">
      <c r="A1077" s="38"/>
      <c r="B1077" s="40"/>
      <c r="C1077" s="36" t="s">
        <v>2</v>
      </c>
      <c r="D1077" s="29"/>
      <c r="E1077" s="25"/>
      <c r="F1077" s="25"/>
      <c r="G1077" s="25"/>
      <c r="H1077" s="25"/>
      <c r="I1077" s="25"/>
      <c r="J1077" s="42"/>
      <c r="K1077" s="42"/>
      <c r="L1077" s="42"/>
      <c r="M1077" s="42"/>
      <c r="N1077" s="44"/>
      <c r="O1077" s="42"/>
      <c r="P1077" s="42"/>
      <c r="Q1077" s="42"/>
      <c r="R1077" s="42"/>
      <c r="S1077" s="45"/>
    </row>
    <row r="1078" spans="1:19" ht="18.75" customHeight="1" x14ac:dyDescent="0.25">
      <c r="A1078" s="38"/>
      <c r="B1078" s="40"/>
      <c r="C1078" s="36" t="s">
        <v>3</v>
      </c>
      <c r="D1078" s="29"/>
      <c r="E1078" s="25"/>
      <c r="F1078" s="25"/>
      <c r="G1078" s="25"/>
      <c r="H1078" s="25"/>
      <c r="I1078" s="25"/>
      <c r="J1078" s="42"/>
      <c r="K1078" s="42"/>
      <c r="L1078" s="42"/>
      <c r="M1078" s="42"/>
      <c r="N1078" s="44"/>
      <c r="O1078" s="42"/>
      <c r="P1078" s="42"/>
      <c r="Q1078" s="42"/>
      <c r="R1078" s="42"/>
      <c r="S1078" s="45"/>
    </row>
    <row r="1079" spans="1:19" ht="18.75" customHeight="1" x14ac:dyDescent="0.25">
      <c r="A1079" s="37" t="s">
        <v>78</v>
      </c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</row>
    <row r="1080" spans="1:19" ht="18.75" customHeight="1" x14ac:dyDescent="0.25">
      <c r="A1080" s="38"/>
      <c r="B1080" s="39" t="s">
        <v>988</v>
      </c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</row>
    <row r="1081" spans="1:19" ht="29.25" customHeight="1" x14ac:dyDescent="0.25">
      <c r="A1081" s="38"/>
      <c r="B1081" s="40" t="s">
        <v>1022</v>
      </c>
      <c r="C1081" s="41" t="s">
        <v>1043</v>
      </c>
      <c r="D1081" s="41"/>
      <c r="E1081" s="41"/>
      <c r="F1081" s="41"/>
      <c r="G1081" s="41"/>
      <c r="H1081" s="41"/>
      <c r="I1081" s="41"/>
      <c r="J1081" s="42">
        <v>2015</v>
      </c>
      <c r="K1081" s="42" t="s">
        <v>828</v>
      </c>
      <c r="L1081" s="42" t="s">
        <v>796</v>
      </c>
      <c r="M1081" s="42" t="s">
        <v>1054</v>
      </c>
      <c r="N1081" s="44">
        <f>1316240+23634.5+3700</f>
        <v>1343574.5</v>
      </c>
      <c r="O1081" s="42" t="s">
        <v>12</v>
      </c>
      <c r="P1081" s="42" t="s">
        <v>13</v>
      </c>
      <c r="Q1081" s="42"/>
      <c r="R1081" s="42"/>
      <c r="S1081" s="45" t="s">
        <v>1026</v>
      </c>
    </row>
    <row r="1082" spans="1:19" ht="18.75" customHeight="1" x14ac:dyDescent="0.25">
      <c r="A1082" s="38"/>
      <c r="B1082" s="40"/>
      <c r="C1082" s="36" t="s">
        <v>6</v>
      </c>
      <c r="D1082" s="29">
        <f>SUM(D1083:D1086)</f>
        <v>120.422</v>
      </c>
      <c r="E1082" s="25">
        <f t="shared" ref="E1082" si="254">SUM(E1083:E1086)</f>
        <v>120.422</v>
      </c>
      <c r="F1082" s="25"/>
      <c r="G1082" s="25"/>
      <c r="H1082" s="25"/>
      <c r="I1082" s="25"/>
      <c r="J1082" s="42"/>
      <c r="K1082" s="42"/>
      <c r="L1082" s="42"/>
      <c r="M1082" s="42"/>
      <c r="N1082" s="44"/>
      <c r="O1082" s="42"/>
      <c r="P1082" s="42"/>
      <c r="Q1082" s="42"/>
      <c r="R1082" s="42"/>
      <c r="S1082" s="45"/>
    </row>
    <row r="1083" spans="1:19" ht="18.75" customHeight="1" x14ac:dyDescent="0.25">
      <c r="A1083" s="38"/>
      <c r="B1083" s="40"/>
      <c r="C1083" s="36" t="s">
        <v>0</v>
      </c>
      <c r="D1083" s="29"/>
      <c r="E1083" s="25"/>
      <c r="F1083" s="25"/>
      <c r="G1083" s="25"/>
      <c r="H1083" s="25"/>
      <c r="I1083" s="25"/>
      <c r="J1083" s="42"/>
      <c r="K1083" s="42"/>
      <c r="L1083" s="42"/>
      <c r="M1083" s="42"/>
      <c r="N1083" s="44"/>
      <c r="O1083" s="42"/>
      <c r="P1083" s="42"/>
      <c r="Q1083" s="42"/>
      <c r="R1083" s="42"/>
      <c r="S1083" s="45"/>
    </row>
    <row r="1084" spans="1:19" ht="18.75" customHeight="1" x14ac:dyDescent="0.25">
      <c r="A1084" s="38"/>
      <c r="B1084" s="40"/>
      <c r="C1084" s="36" t="s">
        <v>1</v>
      </c>
      <c r="D1084" s="29">
        <f t="shared" ref="D1084" si="255">SUM(E1084:I1084)</f>
        <v>120.422</v>
      </c>
      <c r="E1084" s="25">
        <v>120.422</v>
      </c>
      <c r="F1084" s="25"/>
      <c r="G1084" s="25"/>
      <c r="H1084" s="25"/>
      <c r="I1084" s="25"/>
      <c r="J1084" s="42"/>
      <c r="K1084" s="42"/>
      <c r="L1084" s="42"/>
      <c r="M1084" s="42"/>
      <c r="N1084" s="44"/>
      <c r="O1084" s="42"/>
      <c r="P1084" s="42"/>
      <c r="Q1084" s="42"/>
      <c r="R1084" s="42"/>
      <c r="S1084" s="45"/>
    </row>
    <row r="1085" spans="1:19" ht="18.75" customHeight="1" x14ac:dyDescent="0.25">
      <c r="A1085" s="38"/>
      <c r="B1085" s="40"/>
      <c r="C1085" s="36" t="s">
        <v>2</v>
      </c>
      <c r="D1085" s="29"/>
      <c r="E1085" s="25"/>
      <c r="F1085" s="25"/>
      <c r="G1085" s="25"/>
      <c r="H1085" s="25"/>
      <c r="I1085" s="25"/>
      <c r="J1085" s="42"/>
      <c r="K1085" s="42"/>
      <c r="L1085" s="42"/>
      <c r="M1085" s="42"/>
      <c r="N1085" s="44"/>
      <c r="O1085" s="42"/>
      <c r="P1085" s="42"/>
      <c r="Q1085" s="42"/>
      <c r="R1085" s="42"/>
      <c r="S1085" s="45"/>
    </row>
    <row r="1086" spans="1:19" ht="18.75" customHeight="1" x14ac:dyDescent="0.25">
      <c r="A1086" s="38"/>
      <c r="B1086" s="40"/>
      <c r="C1086" s="36" t="s">
        <v>3</v>
      </c>
      <c r="D1086" s="29"/>
      <c r="E1086" s="25"/>
      <c r="F1086" s="25"/>
      <c r="G1086" s="25"/>
      <c r="H1086" s="25"/>
      <c r="I1086" s="25"/>
      <c r="J1086" s="42"/>
      <c r="K1086" s="42"/>
      <c r="L1086" s="42"/>
      <c r="M1086" s="42"/>
      <c r="N1086" s="44"/>
      <c r="O1086" s="42"/>
      <c r="P1086" s="42"/>
      <c r="Q1086" s="42"/>
      <c r="R1086" s="42"/>
      <c r="S1086" s="45"/>
    </row>
    <row r="1087" spans="1:19" ht="18.75" customHeight="1" x14ac:dyDescent="0.25">
      <c r="A1087" s="37" t="s">
        <v>78</v>
      </c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</row>
    <row r="1088" spans="1:19" ht="18.75" customHeight="1" x14ac:dyDescent="0.25">
      <c r="A1088" s="38"/>
      <c r="B1088" s="39" t="s">
        <v>988</v>
      </c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</row>
    <row r="1089" spans="1:19" ht="22.5" customHeight="1" x14ac:dyDescent="0.25">
      <c r="A1089" s="38"/>
      <c r="B1089" s="40" t="s">
        <v>1051</v>
      </c>
      <c r="C1089" s="41" t="s">
        <v>1044</v>
      </c>
      <c r="D1089" s="41"/>
      <c r="E1089" s="41"/>
      <c r="F1089" s="41"/>
      <c r="G1089" s="41"/>
      <c r="H1089" s="41"/>
      <c r="I1089" s="41"/>
      <c r="J1089" s="42">
        <v>2014</v>
      </c>
      <c r="K1089" s="42" t="s">
        <v>828</v>
      </c>
      <c r="L1089" s="42" t="s">
        <v>796</v>
      </c>
      <c r="M1089" s="42" t="s">
        <v>1054</v>
      </c>
      <c r="N1089" s="44">
        <f>1783892.03+269509.2</f>
        <v>2053401.23</v>
      </c>
      <c r="O1089" s="42" t="s">
        <v>12</v>
      </c>
      <c r="P1089" s="42" t="s">
        <v>13</v>
      </c>
      <c r="Q1089" s="42"/>
      <c r="R1089" s="42"/>
      <c r="S1089" s="45" t="s">
        <v>1026</v>
      </c>
    </row>
    <row r="1090" spans="1:19" ht="18.75" customHeight="1" x14ac:dyDescent="0.25">
      <c r="A1090" s="38"/>
      <c r="B1090" s="40"/>
      <c r="C1090" s="36" t="s">
        <v>6</v>
      </c>
      <c r="D1090" s="29">
        <f>SUM(D1091:D1094)</f>
        <v>1911.94517</v>
      </c>
      <c r="E1090" s="25">
        <f t="shared" ref="E1090" si="256">SUM(E1091:E1094)</f>
        <v>1911.94517</v>
      </c>
      <c r="F1090" s="25"/>
      <c r="G1090" s="25"/>
      <c r="H1090" s="25"/>
      <c r="I1090" s="25"/>
      <c r="J1090" s="42"/>
      <c r="K1090" s="42"/>
      <c r="L1090" s="42"/>
      <c r="M1090" s="42"/>
      <c r="N1090" s="44"/>
      <c r="O1090" s="42"/>
      <c r="P1090" s="42"/>
      <c r="Q1090" s="42"/>
      <c r="R1090" s="42"/>
      <c r="S1090" s="45"/>
    </row>
    <row r="1091" spans="1:19" ht="18.75" customHeight="1" x14ac:dyDescent="0.25">
      <c r="A1091" s="38"/>
      <c r="B1091" s="40"/>
      <c r="C1091" s="36" t="s">
        <v>0</v>
      </c>
      <c r="D1091" s="29"/>
      <c r="E1091" s="25"/>
      <c r="F1091" s="25"/>
      <c r="G1091" s="25"/>
      <c r="H1091" s="25"/>
      <c r="I1091" s="25"/>
      <c r="J1091" s="42"/>
      <c r="K1091" s="42"/>
      <c r="L1091" s="42"/>
      <c r="M1091" s="42"/>
      <c r="N1091" s="44"/>
      <c r="O1091" s="42"/>
      <c r="P1091" s="42"/>
      <c r="Q1091" s="42"/>
      <c r="R1091" s="42"/>
      <c r="S1091" s="45"/>
    </row>
    <row r="1092" spans="1:19" ht="18.75" customHeight="1" x14ac:dyDescent="0.25">
      <c r="A1092" s="38"/>
      <c r="B1092" s="40"/>
      <c r="C1092" s="36" t="s">
        <v>1</v>
      </c>
      <c r="D1092" s="29">
        <f t="shared" ref="D1092" si="257">SUM(E1092:I1092)</f>
        <v>1911.94517</v>
      </c>
      <c r="E1092" s="25">
        <v>1911.94517</v>
      </c>
      <c r="F1092" s="25"/>
      <c r="G1092" s="25"/>
      <c r="H1092" s="25"/>
      <c r="I1092" s="25"/>
      <c r="J1092" s="42"/>
      <c r="K1092" s="42"/>
      <c r="L1092" s="42"/>
      <c r="M1092" s="42"/>
      <c r="N1092" s="44"/>
      <c r="O1092" s="42"/>
      <c r="P1092" s="42"/>
      <c r="Q1092" s="42"/>
      <c r="R1092" s="42"/>
      <c r="S1092" s="45"/>
    </row>
    <row r="1093" spans="1:19" ht="18.75" customHeight="1" x14ac:dyDescent="0.25">
      <c r="A1093" s="38"/>
      <c r="B1093" s="40"/>
      <c r="C1093" s="36" t="s">
        <v>2</v>
      </c>
      <c r="D1093" s="29"/>
      <c r="E1093" s="25"/>
      <c r="F1093" s="25"/>
      <c r="G1093" s="25"/>
      <c r="H1093" s="25"/>
      <c r="I1093" s="25"/>
      <c r="J1093" s="42"/>
      <c r="K1093" s="42"/>
      <c r="L1093" s="42"/>
      <c r="M1093" s="42"/>
      <c r="N1093" s="44"/>
      <c r="O1093" s="42"/>
      <c r="P1093" s="42"/>
      <c r="Q1093" s="42"/>
      <c r="R1093" s="42"/>
      <c r="S1093" s="45"/>
    </row>
    <row r="1094" spans="1:19" ht="18.75" customHeight="1" x14ac:dyDescent="0.25">
      <c r="A1094" s="38"/>
      <c r="B1094" s="40"/>
      <c r="C1094" s="36" t="s">
        <v>3</v>
      </c>
      <c r="D1094" s="29"/>
      <c r="E1094" s="25"/>
      <c r="F1094" s="25"/>
      <c r="G1094" s="25"/>
      <c r="H1094" s="25"/>
      <c r="I1094" s="25"/>
      <c r="J1094" s="42"/>
      <c r="K1094" s="42"/>
      <c r="L1094" s="42"/>
      <c r="M1094" s="42"/>
      <c r="N1094" s="44"/>
      <c r="O1094" s="42"/>
      <c r="P1094" s="42"/>
      <c r="Q1094" s="42"/>
      <c r="R1094" s="42"/>
      <c r="S1094" s="45"/>
    </row>
    <row r="1095" spans="1:19" ht="21" customHeight="1" x14ac:dyDescent="0.25">
      <c r="A1095" s="54" t="s">
        <v>649</v>
      </c>
      <c r="B1095" s="65" t="s">
        <v>127</v>
      </c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</row>
    <row r="1096" spans="1:19" ht="18" customHeight="1" x14ac:dyDescent="0.25">
      <c r="A1096" s="54"/>
      <c r="B1096" s="56" t="s">
        <v>6</v>
      </c>
      <c r="C1096" s="56"/>
      <c r="D1096" s="16">
        <f t="shared" ref="D1096" si="258">SUM(D1097:D1100)</f>
        <v>10388.197519999998</v>
      </c>
      <c r="E1096" s="16">
        <f>E1112+E1120+E1128+E1104+E1136</f>
        <v>10388.197519999998</v>
      </c>
      <c r="F1096" s="16"/>
      <c r="G1096" s="16"/>
      <c r="H1096" s="16"/>
      <c r="I1096" s="1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</row>
    <row r="1097" spans="1:19" ht="18" customHeight="1" x14ac:dyDescent="0.25">
      <c r="A1097" s="54"/>
      <c r="B1097" s="56" t="s">
        <v>0</v>
      </c>
      <c r="C1097" s="56"/>
      <c r="D1097" s="28"/>
      <c r="E1097" s="16"/>
      <c r="F1097" s="16"/>
      <c r="G1097" s="16"/>
      <c r="H1097" s="16"/>
      <c r="I1097" s="16"/>
      <c r="J1097" s="26"/>
      <c r="K1097" s="26"/>
      <c r="L1097" s="26"/>
      <c r="M1097" s="26"/>
      <c r="N1097" s="26"/>
      <c r="O1097" s="26"/>
      <c r="P1097" s="26"/>
      <c r="Q1097" s="26"/>
      <c r="R1097" s="26"/>
      <c r="S1097" s="26"/>
    </row>
    <row r="1098" spans="1:19" ht="18" customHeight="1" x14ac:dyDescent="0.25">
      <c r="A1098" s="54"/>
      <c r="B1098" s="56" t="s">
        <v>1</v>
      </c>
      <c r="C1098" s="56"/>
      <c r="D1098" s="16">
        <f>SUM(E1098:I1098)</f>
        <v>10388.197519999998</v>
      </c>
      <c r="E1098" s="16">
        <f t="shared" ref="E1098" si="259">E1114+E1122+E1130+E1106+E1138</f>
        <v>10388.197519999998</v>
      </c>
      <c r="F1098" s="16"/>
      <c r="G1098" s="16"/>
      <c r="H1098" s="16"/>
      <c r="I1098" s="16"/>
      <c r="J1098" s="26"/>
      <c r="K1098" s="26"/>
      <c r="L1098" s="26"/>
      <c r="M1098" s="26"/>
      <c r="N1098" s="26"/>
      <c r="O1098" s="26"/>
      <c r="P1098" s="26"/>
      <c r="Q1098" s="26"/>
      <c r="R1098" s="26"/>
      <c r="S1098" s="26"/>
    </row>
    <row r="1099" spans="1:19" ht="18" customHeight="1" x14ac:dyDescent="0.25">
      <c r="A1099" s="54"/>
      <c r="B1099" s="56" t="s">
        <v>2</v>
      </c>
      <c r="C1099" s="56"/>
      <c r="D1099" s="28"/>
      <c r="E1099" s="16"/>
      <c r="F1099" s="16"/>
      <c r="G1099" s="16"/>
      <c r="H1099" s="16"/>
      <c r="I1099" s="16"/>
      <c r="J1099" s="26"/>
      <c r="K1099" s="26"/>
      <c r="L1099" s="26"/>
      <c r="M1099" s="26"/>
      <c r="N1099" s="26"/>
      <c r="O1099" s="26"/>
      <c r="P1099" s="26"/>
      <c r="Q1099" s="26"/>
      <c r="R1099" s="26"/>
      <c r="S1099" s="26"/>
    </row>
    <row r="1100" spans="1:19" ht="18" customHeight="1" x14ac:dyDescent="0.25">
      <c r="A1100" s="54"/>
      <c r="B1100" s="56" t="s">
        <v>3</v>
      </c>
      <c r="C1100" s="56"/>
      <c r="D1100" s="28"/>
      <c r="E1100" s="16"/>
      <c r="F1100" s="16"/>
      <c r="G1100" s="16"/>
      <c r="H1100" s="16"/>
      <c r="I1100" s="16"/>
      <c r="J1100" s="26"/>
      <c r="K1100" s="26"/>
      <c r="L1100" s="26"/>
      <c r="M1100" s="26"/>
      <c r="N1100" s="26"/>
      <c r="O1100" s="26"/>
      <c r="P1100" s="26"/>
      <c r="Q1100" s="26"/>
      <c r="R1100" s="26"/>
      <c r="S1100" s="26"/>
    </row>
    <row r="1101" spans="1:19" ht="18.75" customHeight="1" x14ac:dyDescent="0.25">
      <c r="A1101" s="37" t="s">
        <v>106</v>
      </c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</row>
    <row r="1102" spans="1:19" ht="21" customHeight="1" x14ac:dyDescent="0.25">
      <c r="A1102" s="38"/>
      <c r="B1102" s="48" t="s">
        <v>575</v>
      </c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</row>
    <row r="1103" spans="1:19" ht="42.75" customHeight="1" x14ac:dyDescent="0.25">
      <c r="A1103" s="38"/>
      <c r="B1103" s="49" t="s">
        <v>650</v>
      </c>
      <c r="C1103" s="50" t="s">
        <v>180</v>
      </c>
      <c r="D1103" s="50"/>
      <c r="E1103" s="50"/>
      <c r="F1103" s="50"/>
      <c r="G1103" s="50"/>
      <c r="H1103" s="50"/>
      <c r="I1103" s="50"/>
      <c r="J1103" s="43" t="s">
        <v>15</v>
      </c>
      <c r="K1103" s="43" t="s">
        <v>821</v>
      </c>
      <c r="L1103" s="43" t="s">
        <v>93</v>
      </c>
      <c r="M1103" s="43" t="s">
        <v>499</v>
      </c>
      <c r="N1103" s="53" t="s">
        <v>656</v>
      </c>
      <c r="O1103" s="43" t="s">
        <v>17</v>
      </c>
      <c r="P1103" s="43" t="s">
        <v>18</v>
      </c>
      <c r="Q1103" s="43" t="s">
        <v>9</v>
      </c>
      <c r="R1103" s="43"/>
      <c r="S1103" s="51" t="s">
        <v>765</v>
      </c>
    </row>
    <row r="1104" spans="1:19" ht="18" customHeight="1" x14ac:dyDescent="0.25">
      <c r="A1104" s="38"/>
      <c r="B1104" s="49"/>
      <c r="C1104" s="31" t="s">
        <v>6</v>
      </c>
      <c r="D1104" s="27">
        <f>SUM(D1105:D1108)</f>
        <v>6572.9494299999997</v>
      </c>
      <c r="E1104" s="23">
        <f t="shared" ref="E1104" si="260">SUM(E1105:E1108)</f>
        <v>6572.9494299999997</v>
      </c>
      <c r="F1104" s="23"/>
      <c r="G1104" s="23"/>
      <c r="H1104" s="23"/>
      <c r="I1104" s="23"/>
      <c r="J1104" s="43"/>
      <c r="K1104" s="43"/>
      <c r="L1104" s="43"/>
      <c r="M1104" s="43"/>
      <c r="N1104" s="53"/>
      <c r="O1104" s="43"/>
      <c r="P1104" s="43"/>
      <c r="Q1104" s="43"/>
      <c r="R1104" s="43"/>
      <c r="S1104" s="51"/>
    </row>
    <row r="1105" spans="1:19" ht="18" customHeight="1" x14ac:dyDescent="0.25">
      <c r="A1105" s="38"/>
      <c r="B1105" s="49"/>
      <c r="C1105" s="31" t="s">
        <v>0</v>
      </c>
      <c r="D1105" s="27"/>
      <c r="E1105" s="23"/>
      <c r="F1105" s="23"/>
      <c r="G1105" s="23"/>
      <c r="H1105" s="23"/>
      <c r="I1105" s="23"/>
      <c r="J1105" s="43"/>
      <c r="K1105" s="43"/>
      <c r="L1105" s="43"/>
      <c r="M1105" s="43"/>
      <c r="N1105" s="53"/>
      <c r="O1105" s="43"/>
      <c r="P1105" s="43"/>
      <c r="Q1105" s="43"/>
      <c r="R1105" s="43"/>
      <c r="S1105" s="51"/>
    </row>
    <row r="1106" spans="1:19" ht="18" customHeight="1" x14ac:dyDescent="0.25">
      <c r="A1106" s="38"/>
      <c r="B1106" s="49"/>
      <c r="C1106" s="31" t="s">
        <v>1</v>
      </c>
      <c r="D1106" s="27">
        <f t="shared" ref="D1106" si="261">SUM(E1106:I1106)</f>
        <v>6572.9494299999997</v>
      </c>
      <c r="E1106" s="23">
        <f>6572.94945-0.00002</f>
        <v>6572.9494299999997</v>
      </c>
      <c r="F1106" s="23"/>
      <c r="G1106" s="23"/>
      <c r="H1106" s="23"/>
      <c r="I1106" s="23"/>
      <c r="J1106" s="43"/>
      <c r="K1106" s="43"/>
      <c r="L1106" s="43"/>
      <c r="M1106" s="43"/>
      <c r="N1106" s="53"/>
      <c r="O1106" s="43"/>
      <c r="P1106" s="43"/>
      <c r="Q1106" s="43"/>
      <c r="R1106" s="43"/>
      <c r="S1106" s="51"/>
    </row>
    <row r="1107" spans="1:19" ht="18" customHeight="1" x14ac:dyDescent="0.25">
      <c r="A1107" s="38"/>
      <c r="B1107" s="49"/>
      <c r="C1107" s="31" t="s">
        <v>2</v>
      </c>
      <c r="D1107" s="27"/>
      <c r="E1107" s="23"/>
      <c r="F1107" s="23"/>
      <c r="G1107" s="23"/>
      <c r="H1107" s="23"/>
      <c r="I1107" s="23"/>
      <c r="J1107" s="43"/>
      <c r="K1107" s="43"/>
      <c r="L1107" s="43"/>
      <c r="M1107" s="43"/>
      <c r="N1107" s="53"/>
      <c r="O1107" s="43"/>
      <c r="P1107" s="43"/>
      <c r="Q1107" s="43"/>
      <c r="R1107" s="43"/>
      <c r="S1107" s="51"/>
    </row>
    <row r="1108" spans="1:19" ht="18" customHeight="1" x14ac:dyDescent="0.25">
      <c r="A1108" s="38"/>
      <c r="B1108" s="49"/>
      <c r="C1108" s="31" t="s">
        <v>3</v>
      </c>
      <c r="D1108" s="27"/>
      <c r="E1108" s="23"/>
      <c r="F1108" s="23"/>
      <c r="G1108" s="23"/>
      <c r="H1108" s="23"/>
      <c r="I1108" s="23"/>
      <c r="J1108" s="43"/>
      <c r="K1108" s="43"/>
      <c r="L1108" s="43"/>
      <c r="M1108" s="43"/>
      <c r="N1108" s="53"/>
      <c r="O1108" s="43"/>
      <c r="P1108" s="43"/>
      <c r="Q1108" s="43"/>
      <c r="R1108" s="43"/>
      <c r="S1108" s="51"/>
    </row>
    <row r="1109" spans="1:19" ht="18" customHeight="1" x14ac:dyDescent="0.25">
      <c r="A1109" s="37" t="s">
        <v>94</v>
      </c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</row>
    <row r="1110" spans="1:19" ht="21" customHeight="1" x14ac:dyDescent="0.25">
      <c r="A1110" s="38"/>
      <c r="B1110" s="48" t="s">
        <v>576</v>
      </c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</row>
    <row r="1111" spans="1:19" ht="18.75" customHeight="1" x14ac:dyDescent="0.25">
      <c r="A1111" s="38"/>
      <c r="B1111" s="49" t="s">
        <v>651</v>
      </c>
      <c r="C1111" s="50" t="s">
        <v>654</v>
      </c>
      <c r="D1111" s="50"/>
      <c r="E1111" s="50"/>
      <c r="F1111" s="50"/>
      <c r="G1111" s="50"/>
      <c r="H1111" s="50"/>
      <c r="I1111" s="50"/>
      <c r="J1111" s="43" t="s">
        <v>15</v>
      </c>
      <c r="K1111" s="43" t="s">
        <v>821</v>
      </c>
      <c r="L1111" s="43" t="s">
        <v>502</v>
      </c>
      <c r="M1111" s="43" t="s">
        <v>499</v>
      </c>
      <c r="N1111" s="53" t="s">
        <v>500</v>
      </c>
      <c r="O1111" s="43" t="s">
        <v>17</v>
      </c>
      <c r="P1111" s="43" t="s">
        <v>91</v>
      </c>
      <c r="Q1111" s="43" t="s">
        <v>44</v>
      </c>
      <c r="R1111" s="43"/>
      <c r="S1111" s="51"/>
    </row>
    <row r="1112" spans="1:19" ht="18" customHeight="1" x14ac:dyDescent="0.25">
      <c r="A1112" s="38"/>
      <c r="B1112" s="49"/>
      <c r="C1112" s="31" t="s">
        <v>6</v>
      </c>
      <c r="D1112" s="27">
        <f>SUM(D1113:D1116)</f>
        <v>1123.81358</v>
      </c>
      <c r="E1112" s="23">
        <f t="shared" ref="E1112" si="262">SUM(E1113:E1116)</f>
        <v>1123.81358</v>
      </c>
      <c r="F1112" s="23"/>
      <c r="G1112" s="23"/>
      <c r="H1112" s="23"/>
      <c r="I1112" s="23"/>
      <c r="J1112" s="43"/>
      <c r="K1112" s="43"/>
      <c r="L1112" s="43"/>
      <c r="M1112" s="43"/>
      <c r="N1112" s="53"/>
      <c r="O1112" s="43"/>
      <c r="P1112" s="43"/>
      <c r="Q1112" s="43"/>
      <c r="R1112" s="43"/>
      <c r="S1112" s="51"/>
    </row>
    <row r="1113" spans="1:19" ht="18" customHeight="1" x14ac:dyDescent="0.25">
      <c r="A1113" s="38"/>
      <c r="B1113" s="49"/>
      <c r="C1113" s="31" t="s">
        <v>0</v>
      </c>
      <c r="D1113" s="27"/>
      <c r="E1113" s="23"/>
      <c r="F1113" s="23"/>
      <c r="G1113" s="23"/>
      <c r="H1113" s="23"/>
      <c r="I1113" s="23"/>
      <c r="J1113" s="43"/>
      <c r="K1113" s="43"/>
      <c r="L1113" s="43"/>
      <c r="M1113" s="43"/>
      <c r="N1113" s="53"/>
      <c r="O1113" s="43"/>
      <c r="P1113" s="43"/>
      <c r="Q1113" s="43"/>
      <c r="R1113" s="43"/>
      <c r="S1113" s="51"/>
    </row>
    <row r="1114" spans="1:19" ht="18" customHeight="1" x14ac:dyDescent="0.25">
      <c r="A1114" s="38"/>
      <c r="B1114" s="49"/>
      <c r="C1114" s="31" t="s">
        <v>1</v>
      </c>
      <c r="D1114" s="27">
        <f t="shared" ref="D1114" si="263">SUM(E1114:I1114)</f>
        <v>1123.81358</v>
      </c>
      <c r="E1114" s="23">
        <f>1200-76.18642</f>
        <v>1123.81358</v>
      </c>
      <c r="F1114" s="23"/>
      <c r="G1114" s="23"/>
      <c r="H1114" s="23"/>
      <c r="I1114" s="23"/>
      <c r="J1114" s="43"/>
      <c r="K1114" s="43"/>
      <c r="L1114" s="43"/>
      <c r="M1114" s="43"/>
      <c r="N1114" s="53"/>
      <c r="O1114" s="43"/>
      <c r="P1114" s="43"/>
      <c r="Q1114" s="43"/>
      <c r="R1114" s="43"/>
      <c r="S1114" s="51"/>
    </row>
    <row r="1115" spans="1:19" ht="18" customHeight="1" x14ac:dyDescent="0.25">
      <c r="A1115" s="38"/>
      <c r="B1115" s="49"/>
      <c r="C1115" s="31" t="s">
        <v>2</v>
      </c>
      <c r="D1115" s="27"/>
      <c r="E1115" s="23"/>
      <c r="F1115" s="23"/>
      <c r="G1115" s="23"/>
      <c r="H1115" s="23"/>
      <c r="I1115" s="23"/>
      <c r="J1115" s="43"/>
      <c r="K1115" s="43"/>
      <c r="L1115" s="43"/>
      <c r="M1115" s="43"/>
      <c r="N1115" s="53"/>
      <c r="O1115" s="43"/>
      <c r="P1115" s="43"/>
      <c r="Q1115" s="43"/>
      <c r="R1115" s="43"/>
      <c r="S1115" s="51"/>
    </row>
    <row r="1116" spans="1:19" ht="18" customHeight="1" x14ac:dyDescent="0.25">
      <c r="A1116" s="38"/>
      <c r="B1116" s="49"/>
      <c r="C1116" s="31" t="s">
        <v>3</v>
      </c>
      <c r="D1116" s="27"/>
      <c r="E1116" s="23"/>
      <c r="F1116" s="23"/>
      <c r="G1116" s="23"/>
      <c r="H1116" s="23"/>
      <c r="I1116" s="23"/>
      <c r="J1116" s="43"/>
      <c r="K1116" s="43"/>
      <c r="L1116" s="43"/>
      <c r="M1116" s="43"/>
      <c r="N1116" s="53"/>
      <c r="O1116" s="43"/>
      <c r="P1116" s="43"/>
      <c r="Q1116" s="43"/>
      <c r="R1116" s="43"/>
      <c r="S1116" s="51"/>
    </row>
    <row r="1117" spans="1:19" ht="18.75" customHeight="1" x14ac:dyDescent="0.25">
      <c r="A1117" s="37" t="s">
        <v>94</v>
      </c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</row>
    <row r="1118" spans="1:19" ht="21" customHeight="1" x14ac:dyDescent="0.25">
      <c r="A1118" s="38"/>
      <c r="B1118" s="48" t="s">
        <v>576</v>
      </c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</row>
    <row r="1119" spans="1:19" ht="18.75" customHeight="1" x14ac:dyDescent="0.25">
      <c r="A1119" s="38"/>
      <c r="B1119" s="49" t="s">
        <v>652</v>
      </c>
      <c r="C1119" s="50" t="s">
        <v>310</v>
      </c>
      <c r="D1119" s="50"/>
      <c r="E1119" s="50"/>
      <c r="F1119" s="50"/>
      <c r="G1119" s="50"/>
      <c r="H1119" s="50"/>
      <c r="I1119" s="50"/>
      <c r="J1119" s="43" t="s">
        <v>15</v>
      </c>
      <c r="K1119" s="43" t="s">
        <v>821</v>
      </c>
      <c r="L1119" s="43" t="s">
        <v>502</v>
      </c>
      <c r="M1119" s="43" t="s">
        <v>499</v>
      </c>
      <c r="N1119" s="53" t="s">
        <v>501</v>
      </c>
      <c r="O1119" s="43" t="s">
        <v>17</v>
      </c>
      <c r="P1119" s="43" t="s">
        <v>21</v>
      </c>
      <c r="Q1119" s="43" t="s">
        <v>44</v>
      </c>
      <c r="R1119" s="43"/>
      <c r="S1119" s="51"/>
    </row>
    <row r="1120" spans="1:19" ht="15.75" x14ac:dyDescent="0.25">
      <c r="A1120" s="38"/>
      <c r="B1120" s="49"/>
      <c r="C1120" s="31" t="s">
        <v>6</v>
      </c>
      <c r="D1120" s="27">
        <f>SUM(D1121:D1124)</f>
        <v>663.30133999999998</v>
      </c>
      <c r="E1120" s="23">
        <f t="shared" ref="E1120" si="264">SUM(E1121:E1124)</f>
        <v>663.30133999999998</v>
      </c>
      <c r="F1120" s="23"/>
      <c r="G1120" s="23"/>
      <c r="H1120" s="23"/>
      <c r="I1120" s="23"/>
      <c r="J1120" s="43"/>
      <c r="K1120" s="43"/>
      <c r="L1120" s="43"/>
      <c r="M1120" s="43"/>
      <c r="N1120" s="53"/>
      <c r="O1120" s="43"/>
      <c r="P1120" s="43"/>
      <c r="Q1120" s="43"/>
      <c r="R1120" s="43"/>
      <c r="S1120" s="51"/>
    </row>
    <row r="1121" spans="1:19" ht="15.75" x14ac:dyDescent="0.25">
      <c r="A1121" s="38"/>
      <c r="B1121" s="49"/>
      <c r="C1121" s="31" t="s">
        <v>0</v>
      </c>
      <c r="D1121" s="27"/>
      <c r="E1121" s="23"/>
      <c r="F1121" s="23"/>
      <c r="G1121" s="23"/>
      <c r="H1121" s="23"/>
      <c r="I1121" s="23"/>
      <c r="J1121" s="43"/>
      <c r="K1121" s="43"/>
      <c r="L1121" s="43"/>
      <c r="M1121" s="43"/>
      <c r="N1121" s="53"/>
      <c r="O1121" s="43"/>
      <c r="P1121" s="43"/>
      <c r="Q1121" s="43"/>
      <c r="R1121" s="43"/>
      <c r="S1121" s="51"/>
    </row>
    <row r="1122" spans="1:19" ht="15.75" x14ac:dyDescent="0.25">
      <c r="A1122" s="38"/>
      <c r="B1122" s="49"/>
      <c r="C1122" s="31" t="s">
        <v>1</v>
      </c>
      <c r="D1122" s="27">
        <f t="shared" ref="D1122" si="265">SUM(E1122:I1122)</f>
        <v>663.30133999999998</v>
      </c>
      <c r="E1122" s="23">
        <v>663.30133999999998</v>
      </c>
      <c r="F1122" s="23"/>
      <c r="G1122" s="23"/>
      <c r="H1122" s="23"/>
      <c r="I1122" s="23"/>
      <c r="J1122" s="43"/>
      <c r="K1122" s="43"/>
      <c r="L1122" s="43"/>
      <c r="M1122" s="43"/>
      <c r="N1122" s="53"/>
      <c r="O1122" s="43"/>
      <c r="P1122" s="43"/>
      <c r="Q1122" s="43"/>
      <c r="R1122" s="43"/>
      <c r="S1122" s="51"/>
    </row>
    <row r="1123" spans="1:19" ht="15.75" x14ac:dyDescent="0.25">
      <c r="A1123" s="38"/>
      <c r="B1123" s="49"/>
      <c r="C1123" s="31" t="s">
        <v>2</v>
      </c>
      <c r="D1123" s="27"/>
      <c r="E1123" s="23"/>
      <c r="F1123" s="23"/>
      <c r="G1123" s="23"/>
      <c r="H1123" s="23"/>
      <c r="I1123" s="23"/>
      <c r="J1123" s="43"/>
      <c r="K1123" s="43"/>
      <c r="L1123" s="43"/>
      <c r="M1123" s="43"/>
      <c r="N1123" s="53"/>
      <c r="O1123" s="43"/>
      <c r="P1123" s="43"/>
      <c r="Q1123" s="43"/>
      <c r="R1123" s="43"/>
      <c r="S1123" s="51"/>
    </row>
    <row r="1124" spans="1:19" ht="15.75" x14ac:dyDescent="0.25">
      <c r="A1124" s="38"/>
      <c r="B1124" s="49"/>
      <c r="C1124" s="31" t="s">
        <v>3</v>
      </c>
      <c r="D1124" s="27"/>
      <c r="E1124" s="23"/>
      <c r="F1124" s="23"/>
      <c r="G1124" s="23"/>
      <c r="H1124" s="23"/>
      <c r="I1124" s="23"/>
      <c r="J1124" s="43"/>
      <c r="K1124" s="43"/>
      <c r="L1124" s="43"/>
      <c r="M1124" s="43"/>
      <c r="N1124" s="53"/>
      <c r="O1124" s="43"/>
      <c r="P1124" s="43"/>
      <c r="Q1124" s="43"/>
      <c r="R1124" s="43"/>
      <c r="S1124" s="51"/>
    </row>
    <row r="1125" spans="1:19" ht="18.75" customHeight="1" x14ac:dyDescent="0.25">
      <c r="A1125" s="37" t="s">
        <v>94</v>
      </c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</row>
    <row r="1126" spans="1:19" ht="21" customHeight="1" x14ac:dyDescent="0.25">
      <c r="A1126" s="38"/>
      <c r="B1126" s="48" t="s">
        <v>575</v>
      </c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</row>
    <row r="1127" spans="1:19" ht="36.75" customHeight="1" x14ac:dyDescent="0.25">
      <c r="A1127" s="38"/>
      <c r="B1127" s="49" t="s">
        <v>653</v>
      </c>
      <c r="C1127" s="50" t="s">
        <v>655</v>
      </c>
      <c r="D1127" s="50"/>
      <c r="E1127" s="50"/>
      <c r="F1127" s="50"/>
      <c r="G1127" s="50"/>
      <c r="H1127" s="50"/>
      <c r="I1127" s="50"/>
      <c r="J1127" s="43" t="s">
        <v>15</v>
      </c>
      <c r="K1127" s="43" t="s">
        <v>821</v>
      </c>
      <c r="L1127" s="43" t="s">
        <v>502</v>
      </c>
      <c r="M1127" s="43" t="s">
        <v>499</v>
      </c>
      <c r="N1127" s="53"/>
      <c r="O1127" s="43" t="s">
        <v>17</v>
      </c>
      <c r="P1127" s="43" t="s">
        <v>22</v>
      </c>
      <c r="Q1127" s="43" t="s">
        <v>9</v>
      </c>
      <c r="R1127" s="43"/>
      <c r="S1127" s="51"/>
    </row>
    <row r="1128" spans="1:19" ht="18" customHeight="1" x14ac:dyDescent="0.25">
      <c r="A1128" s="38"/>
      <c r="B1128" s="49"/>
      <c r="C1128" s="31" t="s">
        <v>6</v>
      </c>
      <c r="D1128" s="27">
        <f>SUM(D1129:D1132)</f>
        <v>1201.3733500000001</v>
      </c>
      <c r="E1128" s="23">
        <f t="shared" ref="E1128" si="266">SUM(E1129:E1132)</f>
        <v>1201.3733500000001</v>
      </c>
      <c r="F1128" s="23"/>
      <c r="G1128" s="23"/>
      <c r="H1128" s="23"/>
      <c r="I1128" s="23"/>
      <c r="J1128" s="43"/>
      <c r="K1128" s="43"/>
      <c r="L1128" s="43"/>
      <c r="M1128" s="43"/>
      <c r="N1128" s="53"/>
      <c r="O1128" s="43"/>
      <c r="P1128" s="43"/>
      <c r="Q1128" s="43"/>
      <c r="R1128" s="43"/>
      <c r="S1128" s="51"/>
    </row>
    <row r="1129" spans="1:19" ht="18" customHeight="1" x14ac:dyDescent="0.25">
      <c r="A1129" s="38"/>
      <c r="B1129" s="49"/>
      <c r="C1129" s="31" t="s">
        <v>0</v>
      </c>
      <c r="D1129" s="27"/>
      <c r="E1129" s="23"/>
      <c r="F1129" s="23"/>
      <c r="G1129" s="23"/>
      <c r="H1129" s="23"/>
      <c r="I1129" s="23"/>
      <c r="J1129" s="43"/>
      <c r="K1129" s="43"/>
      <c r="L1129" s="43"/>
      <c r="M1129" s="43"/>
      <c r="N1129" s="53"/>
      <c r="O1129" s="43"/>
      <c r="P1129" s="43"/>
      <c r="Q1129" s="43"/>
      <c r="R1129" s="43"/>
      <c r="S1129" s="51"/>
    </row>
    <row r="1130" spans="1:19" ht="18" customHeight="1" x14ac:dyDescent="0.25">
      <c r="A1130" s="38"/>
      <c r="B1130" s="49"/>
      <c r="C1130" s="31" t="s">
        <v>1</v>
      </c>
      <c r="D1130" s="27">
        <f t="shared" ref="D1130" si="267">SUM(E1130:I1130)</f>
        <v>1201.3733500000001</v>
      </c>
      <c r="E1130" s="23">
        <v>1201.3733500000001</v>
      </c>
      <c r="F1130" s="23"/>
      <c r="G1130" s="23"/>
      <c r="H1130" s="23"/>
      <c r="I1130" s="23"/>
      <c r="J1130" s="43"/>
      <c r="K1130" s="43"/>
      <c r="L1130" s="43"/>
      <c r="M1130" s="43"/>
      <c r="N1130" s="53"/>
      <c r="O1130" s="43"/>
      <c r="P1130" s="43"/>
      <c r="Q1130" s="43"/>
      <c r="R1130" s="43"/>
      <c r="S1130" s="51"/>
    </row>
    <row r="1131" spans="1:19" ht="18" customHeight="1" x14ac:dyDescent="0.25">
      <c r="A1131" s="38"/>
      <c r="B1131" s="49"/>
      <c r="C1131" s="31" t="s">
        <v>2</v>
      </c>
      <c r="D1131" s="27"/>
      <c r="E1131" s="23"/>
      <c r="F1131" s="23"/>
      <c r="G1131" s="23"/>
      <c r="H1131" s="23"/>
      <c r="I1131" s="23"/>
      <c r="J1131" s="43"/>
      <c r="K1131" s="43"/>
      <c r="L1131" s="43"/>
      <c r="M1131" s="43"/>
      <c r="N1131" s="53"/>
      <c r="O1131" s="43"/>
      <c r="P1131" s="43"/>
      <c r="Q1131" s="43"/>
      <c r="R1131" s="43"/>
      <c r="S1131" s="51"/>
    </row>
    <row r="1132" spans="1:19" ht="18" customHeight="1" x14ac:dyDescent="0.25">
      <c r="A1132" s="38"/>
      <c r="B1132" s="49"/>
      <c r="C1132" s="31" t="s">
        <v>3</v>
      </c>
      <c r="D1132" s="27"/>
      <c r="E1132" s="23"/>
      <c r="F1132" s="23"/>
      <c r="G1132" s="23"/>
      <c r="H1132" s="23"/>
      <c r="I1132" s="23"/>
      <c r="J1132" s="43"/>
      <c r="K1132" s="43"/>
      <c r="L1132" s="43"/>
      <c r="M1132" s="43"/>
      <c r="N1132" s="53"/>
      <c r="O1132" s="43"/>
      <c r="P1132" s="43"/>
      <c r="Q1132" s="43"/>
      <c r="R1132" s="43"/>
      <c r="S1132" s="51"/>
    </row>
    <row r="1133" spans="1:19" ht="18.75" customHeight="1" x14ac:dyDescent="0.25">
      <c r="A1133" s="37" t="s">
        <v>94</v>
      </c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</row>
    <row r="1134" spans="1:19" ht="21" customHeight="1" x14ac:dyDescent="0.25">
      <c r="A1134" s="38"/>
      <c r="B1134" s="48" t="s">
        <v>575</v>
      </c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</row>
    <row r="1135" spans="1:19" ht="18.75" customHeight="1" x14ac:dyDescent="0.25">
      <c r="A1135" s="38"/>
      <c r="B1135" s="49" t="s">
        <v>657</v>
      </c>
      <c r="C1135" s="50" t="s">
        <v>658</v>
      </c>
      <c r="D1135" s="50"/>
      <c r="E1135" s="50"/>
      <c r="F1135" s="50"/>
      <c r="G1135" s="50"/>
      <c r="H1135" s="50"/>
      <c r="I1135" s="50"/>
      <c r="J1135" s="43" t="s">
        <v>15</v>
      </c>
      <c r="K1135" s="43" t="s">
        <v>821</v>
      </c>
      <c r="L1135" s="43" t="s">
        <v>502</v>
      </c>
      <c r="M1135" s="43" t="s">
        <v>499</v>
      </c>
      <c r="N1135" s="53"/>
      <c r="O1135" s="43" t="s">
        <v>17</v>
      </c>
      <c r="P1135" s="43" t="s">
        <v>22</v>
      </c>
      <c r="Q1135" s="43" t="s">
        <v>9</v>
      </c>
      <c r="R1135" s="43"/>
      <c r="S1135" s="51"/>
    </row>
    <row r="1136" spans="1:19" ht="18" customHeight="1" x14ac:dyDescent="0.25">
      <c r="A1136" s="38"/>
      <c r="B1136" s="49"/>
      <c r="C1136" s="31" t="s">
        <v>6</v>
      </c>
      <c r="D1136" s="27">
        <f>SUM(D1137:D1140)</f>
        <v>826.75982000000022</v>
      </c>
      <c r="E1136" s="23">
        <f t="shared" ref="E1136" si="268">SUM(E1137:E1140)</f>
        <v>826.75982000000022</v>
      </c>
      <c r="F1136" s="23"/>
      <c r="G1136" s="23"/>
      <c r="H1136" s="23"/>
      <c r="I1136" s="23"/>
      <c r="J1136" s="43"/>
      <c r="K1136" s="43"/>
      <c r="L1136" s="43"/>
      <c r="M1136" s="43"/>
      <c r="N1136" s="53"/>
      <c r="O1136" s="43"/>
      <c r="P1136" s="43"/>
      <c r="Q1136" s="43"/>
      <c r="R1136" s="43"/>
      <c r="S1136" s="51"/>
    </row>
    <row r="1137" spans="1:19" ht="18" customHeight="1" x14ac:dyDescent="0.25">
      <c r="A1137" s="38"/>
      <c r="B1137" s="49"/>
      <c r="C1137" s="31" t="s">
        <v>0</v>
      </c>
      <c r="D1137" s="27"/>
      <c r="E1137" s="23"/>
      <c r="F1137" s="23"/>
      <c r="G1137" s="23"/>
      <c r="H1137" s="23"/>
      <c r="I1137" s="23"/>
      <c r="J1137" s="43"/>
      <c r="K1137" s="43"/>
      <c r="L1137" s="43"/>
      <c r="M1137" s="43"/>
      <c r="N1137" s="53"/>
      <c r="O1137" s="43"/>
      <c r="P1137" s="43"/>
      <c r="Q1137" s="43"/>
      <c r="R1137" s="43"/>
      <c r="S1137" s="51"/>
    </row>
    <row r="1138" spans="1:19" ht="18" customHeight="1" x14ac:dyDescent="0.25">
      <c r="A1138" s="38"/>
      <c r="B1138" s="49"/>
      <c r="C1138" s="31" t="s">
        <v>1</v>
      </c>
      <c r="D1138" s="27">
        <f t="shared" ref="D1138" si="269">SUM(E1138:I1138)</f>
        <v>826.75982000000022</v>
      </c>
      <c r="E1138" s="23">
        <f>6491.03604-470.08735-5194.18887</f>
        <v>826.75982000000022</v>
      </c>
      <c r="F1138" s="23"/>
      <c r="G1138" s="23"/>
      <c r="H1138" s="23"/>
      <c r="I1138" s="23"/>
      <c r="J1138" s="43"/>
      <c r="K1138" s="43"/>
      <c r="L1138" s="43"/>
      <c r="M1138" s="43"/>
      <c r="N1138" s="53"/>
      <c r="O1138" s="43"/>
      <c r="P1138" s="43"/>
      <c r="Q1138" s="43"/>
      <c r="R1138" s="43"/>
      <c r="S1138" s="51"/>
    </row>
    <row r="1139" spans="1:19" ht="18" customHeight="1" x14ac:dyDescent="0.25">
      <c r="A1139" s="38"/>
      <c r="B1139" s="49"/>
      <c r="C1139" s="31" t="s">
        <v>2</v>
      </c>
      <c r="D1139" s="27"/>
      <c r="E1139" s="23"/>
      <c r="F1139" s="23"/>
      <c r="G1139" s="23"/>
      <c r="H1139" s="23"/>
      <c r="I1139" s="23"/>
      <c r="J1139" s="43"/>
      <c r="K1139" s="43"/>
      <c r="L1139" s="43"/>
      <c r="M1139" s="43"/>
      <c r="N1139" s="53"/>
      <c r="O1139" s="43"/>
      <c r="P1139" s="43"/>
      <c r="Q1139" s="43"/>
      <c r="R1139" s="43"/>
      <c r="S1139" s="51"/>
    </row>
    <row r="1140" spans="1:19" ht="18" customHeight="1" x14ac:dyDescent="0.25">
      <c r="A1140" s="38"/>
      <c r="B1140" s="49"/>
      <c r="C1140" s="31" t="s">
        <v>3</v>
      </c>
      <c r="D1140" s="27"/>
      <c r="E1140" s="23"/>
      <c r="F1140" s="23"/>
      <c r="G1140" s="23"/>
      <c r="H1140" s="23"/>
      <c r="I1140" s="23"/>
      <c r="J1140" s="43"/>
      <c r="K1140" s="43"/>
      <c r="L1140" s="43"/>
      <c r="M1140" s="43"/>
      <c r="N1140" s="53"/>
      <c r="O1140" s="43"/>
      <c r="P1140" s="43"/>
      <c r="Q1140" s="43"/>
      <c r="R1140" s="43"/>
      <c r="S1140" s="51"/>
    </row>
    <row r="1141" spans="1:19" ht="21" customHeight="1" x14ac:dyDescent="0.25">
      <c r="A1141" s="54" t="s">
        <v>659</v>
      </c>
      <c r="B1141" s="65" t="s">
        <v>128</v>
      </c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</row>
    <row r="1142" spans="1:19" ht="18" customHeight="1" x14ac:dyDescent="0.25">
      <c r="A1142" s="54"/>
      <c r="B1142" s="56" t="s">
        <v>6</v>
      </c>
      <c r="C1142" s="56"/>
      <c r="D1142" s="16">
        <f t="shared" ref="D1142" si="270">SUM(D1143:D1146)</f>
        <v>258000</v>
      </c>
      <c r="E1142" s="16">
        <f>E1150</f>
        <v>258000</v>
      </c>
      <c r="F1142" s="16"/>
      <c r="G1142" s="16"/>
      <c r="H1142" s="16"/>
      <c r="I1142" s="16"/>
      <c r="J1142" s="26"/>
      <c r="K1142" s="26"/>
      <c r="L1142" s="26"/>
      <c r="M1142" s="26"/>
      <c r="N1142" s="26"/>
      <c r="O1142" s="26"/>
      <c r="P1142" s="26"/>
      <c r="Q1142" s="26"/>
      <c r="R1142" s="26"/>
      <c r="S1142" s="26"/>
    </row>
    <row r="1143" spans="1:19" ht="18" customHeight="1" x14ac:dyDescent="0.25">
      <c r="A1143" s="54"/>
      <c r="B1143" s="56" t="s">
        <v>0</v>
      </c>
      <c r="C1143" s="56"/>
      <c r="D1143" s="28"/>
      <c r="E1143" s="16"/>
      <c r="F1143" s="16"/>
      <c r="G1143" s="16"/>
      <c r="H1143" s="16"/>
      <c r="I1143" s="16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</row>
    <row r="1144" spans="1:19" ht="18" customHeight="1" x14ac:dyDescent="0.25">
      <c r="A1144" s="54"/>
      <c r="B1144" s="56" t="s">
        <v>1</v>
      </c>
      <c r="C1144" s="56"/>
      <c r="D1144" s="16">
        <f>SUM(E1144:I1144)</f>
        <v>258000</v>
      </c>
      <c r="E1144" s="16">
        <f t="shared" ref="E1144" si="271">E1152</f>
        <v>258000</v>
      </c>
      <c r="F1144" s="16"/>
      <c r="G1144" s="16"/>
      <c r="H1144" s="16"/>
      <c r="I1144" s="16"/>
      <c r="J1144" s="26"/>
      <c r="K1144" s="26"/>
      <c r="L1144" s="26"/>
      <c r="M1144" s="26"/>
      <c r="N1144" s="26"/>
      <c r="O1144" s="26"/>
      <c r="P1144" s="26"/>
      <c r="Q1144" s="26"/>
      <c r="R1144" s="26"/>
      <c r="S1144" s="26"/>
    </row>
    <row r="1145" spans="1:19" ht="18" customHeight="1" x14ac:dyDescent="0.25">
      <c r="A1145" s="54"/>
      <c r="B1145" s="56" t="s">
        <v>2</v>
      </c>
      <c r="C1145" s="56"/>
      <c r="D1145" s="28"/>
      <c r="E1145" s="16"/>
      <c r="F1145" s="16"/>
      <c r="G1145" s="16"/>
      <c r="H1145" s="16"/>
      <c r="I1145" s="16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</row>
    <row r="1146" spans="1:19" ht="18" customHeight="1" x14ac:dyDescent="0.25">
      <c r="A1146" s="54"/>
      <c r="B1146" s="56" t="s">
        <v>3</v>
      </c>
      <c r="C1146" s="56"/>
      <c r="D1146" s="28"/>
      <c r="E1146" s="16"/>
      <c r="F1146" s="16"/>
      <c r="G1146" s="16"/>
      <c r="H1146" s="16"/>
      <c r="I1146" s="16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</row>
    <row r="1147" spans="1:19" ht="18.75" customHeight="1" x14ac:dyDescent="0.25">
      <c r="A1147" s="37" t="s">
        <v>845</v>
      </c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</row>
    <row r="1148" spans="1:19" ht="21" customHeight="1" x14ac:dyDescent="0.25">
      <c r="A1148" s="38"/>
      <c r="B1148" s="48" t="s">
        <v>574</v>
      </c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</row>
    <row r="1149" spans="1:19" ht="42.75" customHeight="1" x14ac:dyDescent="0.25">
      <c r="A1149" s="38"/>
      <c r="B1149" s="49" t="s">
        <v>660</v>
      </c>
      <c r="C1149" s="50" t="s">
        <v>767</v>
      </c>
      <c r="D1149" s="50"/>
      <c r="E1149" s="50"/>
      <c r="F1149" s="50"/>
      <c r="G1149" s="50"/>
      <c r="H1149" s="50"/>
      <c r="I1149" s="50"/>
      <c r="J1149" s="43" t="s">
        <v>16</v>
      </c>
      <c r="K1149" s="43" t="s">
        <v>829</v>
      </c>
      <c r="L1149" s="43" t="s">
        <v>460</v>
      </c>
      <c r="M1149" s="43" t="s">
        <v>867</v>
      </c>
      <c r="N1149" s="53" t="s">
        <v>504</v>
      </c>
      <c r="O1149" s="43" t="s">
        <v>17</v>
      </c>
      <c r="P1149" s="43" t="s">
        <v>18</v>
      </c>
      <c r="Q1149" s="43" t="s">
        <v>9</v>
      </c>
      <c r="R1149" s="43"/>
      <c r="S1149" s="51" t="s">
        <v>766</v>
      </c>
    </row>
    <row r="1150" spans="1:19" ht="18" customHeight="1" x14ac:dyDescent="0.25">
      <c r="A1150" s="38"/>
      <c r="B1150" s="49"/>
      <c r="C1150" s="31" t="s">
        <v>6</v>
      </c>
      <c r="D1150" s="27">
        <f t="shared" ref="D1150:E1150" si="272">SUM(D1151:D1154)</f>
        <v>258000</v>
      </c>
      <c r="E1150" s="23">
        <f t="shared" si="272"/>
        <v>258000</v>
      </c>
      <c r="F1150" s="23"/>
      <c r="G1150" s="23"/>
      <c r="H1150" s="23"/>
      <c r="I1150" s="23"/>
      <c r="J1150" s="43"/>
      <c r="K1150" s="43"/>
      <c r="L1150" s="43"/>
      <c r="M1150" s="43"/>
      <c r="N1150" s="53"/>
      <c r="O1150" s="43"/>
      <c r="P1150" s="43"/>
      <c r="Q1150" s="43"/>
      <c r="R1150" s="43"/>
      <c r="S1150" s="51"/>
    </row>
    <row r="1151" spans="1:19" ht="18" customHeight="1" x14ac:dyDescent="0.25">
      <c r="A1151" s="38"/>
      <c r="B1151" s="49"/>
      <c r="C1151" s="31" t="s">
        <v>0</v>
      </c>
      <c r="D1151" s="27"/>
      <c r="E1151" s="23"/>
      <c r="F1151" s="23"/>
      <c r="G1151" s="23"/>
      <c r="H1151" s="23"/>
      <c r="I1151" s="23"/>
      <c r="J1151" s="43"/>
      <c r="K1151" s="43"/>
      <c r="L1151" s="43"/>
      <c r="M1151" s="43"/>
      <c r="N1151" s="53"/>
      <c r="O1151" s="43"/>
      <c r="P1151" s="43"/>
      <c r="Q1151" s="43"/>
      <c r="R1151" s="43"/>
      <c r="S1151" s="51"/>
    </row>
    <row r="1152" spans="1:19" ht="18" customHeight="1" x14ac:dyDescent="0.25">
      <c r="A1152" s="38"/>
      <c r="B1152" s="49"/>
      <c r="C1152" s="31" t="s">
        <v>1</v>
      </c>
      <c r="D1152" s="27">
        <f t="shared" ref="D1152" si="273">SUM(E1152:I1152)</f>
        <v>258000</v>
      </c>
      <c r="E1152" s="23">
        <f>100000+50000+108000</f>
        <v>258000</v>
      </c>
      <c r="F1152" s="23"/>
      <c r="G1152" s="23"/>
      <c r="H1152" s="23"/>
      <c r="I1152" s="23"/>
      <c r="J1152" s="43"/>
      <c r="K1152" s="43"/>
      <c r="L1152" s="43"/>
      <c r="M1152" s="43"/>
      <c r="N1152" s="53"/>
      <c r="O1152" s="43"/>
      <c r="P1152" s="43"/>
      <c r="Q1152" s="43"/>
      <c r="R1152" s="43"/>
      <c r="S1152" s="51"/>
    </row>
    <row r="1153" spans="1:19" ht="18" customHeight="1" x14ac:dyDescent="0.25">
      <c r="A1153" s="38"/>
      <c r="B1153" s="49"/>
      <c r="C1153" s="31" t="s">
        <v>2</v>
      </c>
      <c r="D1153" s="27"/>
      <c r="E1153" s="23"/>
      <c r="F1153" s="23"/>
      <c r="G1153" s="23"/>
      <c r="H1153" s="23"/>
      <c r="I1153" s="23"/>
      <c r="J1153" s="43"/>
      <c r="K1153" s="43"/>
      <c r="L1153" s="43"/>
      <c r="M1153" s="43"/>
      <c r="N1153" s="53"/>
      <c r="O1153" s="43"/>
      <c r="P1153" s="43"/>
      <c r="Q1153" s="43"/>
      <c r="R1153" s="43"/>
      <c r="S1153" s="51"/>
    </row>
    <row r="1154" spans="1:19" ht="31.5" customHeight="1" x14ac:dyDescent="0.25">
      <c r="A1154" s="38"/>
      <c r="B1154" s="49"/>
      <c r="C1154" s="31" t="s">
        <v>3</v>
      </c>
      <c r="D1154" s="27"/>
      <c r="E1154" s="23"/>
      <c r="F1154" s="23"/>
      <c r="G1154" s="23"/>
      <c r="H1154" s="23"/>
      <c r="I1154" s="23"/>
      <c r="J1154" s="43"/>
      <c r="K1154" s="43"/>
      <c r="L1154" s="43"/>
      <c r="M1154" s="43"/>
      <c r="N1154" s="53"/>
      <c r="O1154" s="43"/>
      <c r="P1154" s="43"/>
      <c r="Q1154" s="43"/>
      <c r="R1154" s="43"/>
      <c r="S1154" s="51"/>
    </row>
    <row r="1155" spans="1:19" ht="21" customHeight="1" x14ac:dyDescent="0.25">
      <c r="A1155" s="54" t="s">
        <v>303</v>
      </c>
      <c r="B1155" s="65" t="s">
        <v>154</v>
      </c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</row>
    <row r="1156" spans="1:19" ht="18" customHeight="1" x14ac:dyDescent="0.25">
      <c r="A1156" s="54"/>
      <c r="B1156" s="56" t="s">
        <v>6</v>
      </c>
      <c r="C1156" s="56"/>
      <c r="D1156" s="16">
        <f t="shared" ref="D1156" si="274">SUM(D1157:D1160)</f>
        <v>78414.084929999997</v>
      </c>
      <c r="E1156" s="16">
        <f>E1164+E1172+E1180</f>
        <v>78414.084929999997</v>
      </c>
      <c r="F1156" s="16"/>
      <c r="G1156" s="16"/>
      <c r="H1156" s="16"/>
      <c r="I1156" s="16"/>
      <c r="J1156" s="26"/>
      <c r="K1156" s="26"/>
      <c r="L1156" s="26"/>
      <c r="M1156" s="26"/>
      <c r="N1156" s="26"/>
      <c r="O1156" s="26"/>
      <c r="P1156" s="26"/>
      <c r="Q1156" s="26"/>
      <c r="R1156" s="26"/>
      <c r="S1156" s="26"/>
    </row>
    <row r="1157" spans="1:19" ht="18" customHeight="1" x14ac:dyDescent="0.25">
      <c r="A1157" s="54"/>
      <c r="B1157" s="56" t="s">
        <v>0</v>
      </c>
      <c r="C1157" s="56"/>
      <c r="D1157" s="28"/>
      <c r="E1157" s="16"/>
      <c r="F1157" s="16"/>
      <c r="G1157" s="16"/>
      <c r="H1157" s="16"/>
      <c r="I1157" s="16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</row>
    <row r="1158" spans="1:19" ht="18" customHeight="1" x14ac:dyDescent="0.25">
      <c r="A1158" s="54"/>
      <c r="B1158" s="56" t="s">
        <v>1</v>
      </c>
      <c r="C1158" s="56"/>
      <c r="D1158" s="16">
        <f>SUM(E1158:I1158)</f>
        <v>78414.084929999997</v>
      </c>
      <c r="E1158" s="16">
        <f>E1166+E1174+E1182</f>
        <v>78414.084929999997</v>
      </c>
      <c r="F1158" s="16"/>
      <c r="G1158" s="16"/>
      <c r="H1158" s="16"/>
      <c r="I1158" s="16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</row>
    <row r="1159" spans="1:19" ht="18" customHeight="1" x14ac:dyDescent="0.25">
      <c r="A1159" s="54"/>
      <c r="B1159" s="56" t="s">
        <v>2</v>
      </c>
      <c r="C1159" s="56"/>
      <c r="D1159" s="28"/>
      <c r="E1159" s="16"/>
      <c r="F1159" s="16"/>
      <c r="G1159" s="16"/>
      <c r="H1159" s="16"/>
      <c r="I1159" s="16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</row>
    <row r="1160" spans="1:19" ht="18" customHeight="1" x14ac:dyDescent="0.25">
      <c r="A1160" s="54"/>
      <c r="B1160" s="56" t="s">
        <v>3</v>
      </c>
      <c r="C1160" s="56"/>
      <c r="D1160" s="28"/>
      <c r="E1160" s="16"/>
      <c r="F1160" s="16"/>
      <c r="G1160" s="16"/>
      <c r="H1160" s="16"/>
      <c r="I1160" s="16"/>
      <c r="J1160" s="26"/>
      <c r="K1160" s="26"/>
      <c r="L1160" s="26"/>
      <c r="M1160" s="26"/>
      <c r="N1160" s="26"/>
      <c r="O1160" s="26"/>
      <c r="P1160" s="26"/>
      <c r="Q1160" s="26"/>
      <c r="R1160" s="26"/>
      <c r="S1160" s="26"/>
    </row>
    <row r="1161" spans="1:19" ht="18.75" customHeight="1" x14ac:dyDescent="0.25">
      <c r="A1161" s="37" t="s">
        <v>23</v>
      </c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</row>
    <row r="1162" spans="1:19" ht="21" customHeight="1" x14ac:dyDescent="0.25">
      <c r="A1162" s="38"/>
      <c r="B1162" s="48" t="s">
        <v>573</v>
      </c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</row>
    <row r="1163" spans="1:19" ht="18.75" customHeight="1" x14ac:dyDescent="0.25">
      <c r="A1163" s="38"/>
      <c r="B1163" s="49" t="s">
        <v>304</v>
      </c>
      <c r="C1163" s="50" t="s">
        <v>129</v>
      </c>
      <c r="D1163" s="50"/>
      <c r="E1163" s="50"/>
      <c r="F1163" s="50"/>
      <c r="G1163" s="50"/>
      <c r="H1163" s="50"/>
      <c r="I1163" s="50"/>
      <c r="J1163" s="43" t="s">
        <v>60</v>
      </c>
      <c r="K1163" s="43" t="s">
        <v>821</v>
      </c>
      <c r="L1163" s="43" t="s">
        <v>155</v>
      </c>
      <c r="M1163" s="42" t="s">
        <v>423</v>
      </c>
      <c r="N1163" s="53" t="s">
        <v>873</v>
      </c>
      <c r="O1163" s="43" t="s">
        <v>17</v>
      </c>
      <c r="P1163" s="43" t="s">
        <v>459</v>
      </c>
      <c r="Q1163" s="43" t="s">
        <v>9</v>
      </c>
      <c r="R1163" s="43"/>
      <c r="S1163" s="51" t="s">
        <v>769</v>
      </c>
    </row>
    <row r="1164" spans="1:19" ht="18" customHeight="1" x14ac:dyDescent="0.25">
      <c r="A1164" s="38"/>
      <c r="B1164" s="49"/>
      <c r="C1164" s="31" t="s">
        <v>6</v>
      </c>
      <c r="D1164" s="27">
        <f>SUM(D1165:D1168)</f>
        <v>2932.6959299999999</v>
      </c>
      <c r="E1164" s="23">
        <f t="shared" ref="E1164" si="275">SUM(E1165:E1168)</f>
        <v>2932.6959299999999</v>
      </c>
      <c r="F1164" s="23"/>
      <c r="G1164" s="23"/>
      <c r="H1164" s="23"/>
      <c r="I1164" s="23"/>
      <c r="J1164" s="43"/>
      <c r="K1164" s="43"/>
      <c r="L1164" s="43"/>
      <c r="M1164" s="42"/>
      <c r="N1164" s="53"/>
      <c r="O1164" s="43"/>
      <c r="P1164" s="43"/>
      <c r="Q1164" s="43"/>
      <c r="R1164" s="43"/>
      <c r="S1164" s="51"/>
    </row>
    <row r="1165" spans="1:19" ht="18" customHeight="1" x14ac:dyDescent="0.25">
      <c r="A1165" s="38"/>
      <c r="B1165" s="49"/>
      <c r="C1165" s="31" t="s">
        <v>0</v>
      </c>
      <c r="D1165" s="27"/>
      <c r="E1165" s="23"/>
      <c r="F1165" s="23"/>
      <c r="G1165" s="23"/>
      <c r="H1165" s="23"/>
      <c r="I1165" s="23"/>
      <c r="J1165" s="43"/>
      <c r="K1165" s="43"/>
      <c r="L1165" s="43"/>
      <c r="M1165" s="42"/>
      <c r="N1165" s="53"/>
      <c r="O1165" s="43"/>
      <c r="P1165" s="43"/>
      <c r="Q1165" s="43"/>
      <c r="R1165" s="43"/>
      <c r="S1165" s="51"/>
    </row>
    <row r="1166" spans="1:19" ht="18" customHeight="1" x14ac:dyDescent="0.25">
      <c r="A1166" s="38"/>
      <c r="B1166" s="49"/>
      <c r="C1166" s="31" t="s">
        <v>1</v>
      </c>
      <c r="D1166" s="27">
        <f t="shared" ref="D1166" si="276">SUM(E1166:I1166)</f>
        <v>2932.6959299999999</v>
      </c>
      <c r="E1166" s="23">
        <v>2932.6959299999999</v>
      </c>
      <c r="F1166" s="23"/>
      <c r="G1166" s="23"/>
      <c r="H1166" s="23"/>
      <c r="I1166" s="23"/>
      <c r="J1166" s="43"/>
      <c r="K1166" s="43"/>
      <c r="L1166" s="43"/>
      <c r="M1166" s="42"/>
      <c r="N1166" s="53"/>
      <c r="O1166" s="43"/>
      <c r="P1166" s="43"/>
      <c r="Q1166" s="43"/>
      <c r="R1166" s="43"/>
      <c r="S1166" s="51"/>
    </row>
    <row r="1167" spans="1:19" ht="18" customHeight="1" x14ac:dyDescent="0.25">
      <c r="A1167" s="38"/>
      <c r="B1167" s="49"/>
      <c r="C1167" s="31" t="s">
        <v>2</v>
      </c>
      <c r="D1167" s="27"/>
      <c r="E1167" s="23"/>
      <c r="F1167" s="23"/>
      <c r="G1167" s="23"/>
      <c r="H1167" s="23"/>
      <c r="I1167" s="23"/>
      <c r="J1167" s="43"/>
      <c r="K1167" s="43"/>
      <c r="L1167" s="43"/>
      <c r="M1167" s="42"/>
      <c r="N1167" s="53"/>
      <c r="O1167" s="43"/>
      <c r="P1167" s="43"/>
      <c r="Q1167" s="43"/>
      <c r="R1167" s="43"/>
      <c r="S1167" s="51"/>
    </row>
    <row r="1168" spans="1:19" ht="18" customHeight="1" x14ac:dyDescent="0.25">
      <c r="A1168" s="38"/>
      <c r="B1168" s="49"/>
      <c r="C1168" s="31" t="s">
        <v>3</v>
      </c>
      <c r="D1168" s="27"/>
      <c r="E1168" s="23"/>
      <c r="F1168" s="23"/>
      <c r="G1168" s="23"/>
      <c r="H1168" s="23"/>
      <c r="I1168" s="23"/>
      <c r="J1168" s="43"/>
      <c r="K1168" s="43"/>
      <c r="L1168" s="43"/>
      <c r="M1168" s="42"/>
      <c r="N1168" s="53"/>
      <c r="O1168" s="43"/>
      <c r="P1168" s="43"/>
      <c r="Q1168" s="43"/>
      <c r="R1168" s="43"/>
      <c r="S1168" s="51"/>
    </row>
    <row r="1169" spans="1:19" ht="18.75" customHeight="1" x14ac:dyDescent="0.25">
      <c r="A1169" s="37" t="s">
        <v>23</v>
      </c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</row>
    <row r="1170" spans="1:19" ht="21" customHeight="1" x14ac:dyDescent="0.25">
      <c r="A1170" s="38"/>
      <c r="B1170" s="48" t="s">
        <v>573</v>
      </c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</row>
    <row r="1171" spans="1:19" ht="18.75" customHeight="1" x14ac:dyDescent="0.25">
      <c r="A1171" s="38"/>
      <c r="B1171" s="49" t="s">
        <v>305</v>
      </c>
      <c r="C1171" s="50" t="s">
        <v>863</v>
      </c>
      <c r="D1171" s="50"/>
      <c r="E1171" s="50"/>
      <c r="F1171" s="50"/>
      <c r="G1171" s="50"/>
      <c r="H1171" s="50"/>
      <c r="I1171" s="50"/>
      <c r="J1171" s="43" t="s">
        <v>366</v>
      </c>
      <c r="K1171" s="43" t="s">
        <v>821</v>
      </c>
      <c r="L1171" s="43" t="s">
        <v>357</v>
      </c>
      <c r="M1171" s="42" t="s">
        <v>423</v>
      </c>
      <c r="N1171" s="53" t="s">
        <v>865</v>
      </c>
      <c r="O1171" s="43" t="s">
        <v>17</v>
      </c>
      <c r="P1171" s="43" t="s">
        <v>13</v>
      </c>
      <c r="Q1171" s="43" t="s">
        <v>44</v>
      </c>
      <c r="R1171" s="43"/>
      <c r="S1171" s="51" t="s">
        <v>768</v>
      </c>
    </row>
    <row r="1172" spans="1:19" ht="18" customHeight="1" x14ac:dyDescent="0.25">
      <c r="A1172" s="38"/>
      <c r="B1172" s="49"/>
      <c r="C1172" s="31" t="s">
        <v>6</v>
      </c>
      <c r="D1172" s="27">
        <f>SUM(D1173:D1176)</f>
        <v>49932.92</v>
      </c>
      <c r="E1172" s="23">
        <f t="shared" ref="E1172" si="277">SUM(E1173:E1176)</f>
        <v>49932.92</v>
      </c>
      <c r="F1172" s="23"/>
      <c r="G1172" s="23"/>
      <c r="H1172" s="23"/>
      <c r="I1172" s="23"/>
      <c r="J1172" s="43"/>
      <c r="K1172" s="43"/>
      <c r="L1172" s="43"/>
      <c r="M1172" s="42"/>
      <c r="N1172" s="53"/>
      <c r="O1172" s="43"/>
      <c r="P1172" s="43"/>
      <c r="Q1172" s="43"/>
      <c r="R1172" s="43"/>
      <c r="S1172" s="51"/>
    </row>
    <row r="1173" spans="1:19" ht="18" customHeight="1" x14ac:dyDescent="0.25">
      <c r="A1173" s="38"/>
      <c r="B1173" s="49"/>
      <c r="C1173" s="31" t="s">
        <v>0</v>
      </c>
      <c r="D1173" s="27"/>
      <c r="E1173" s="23"/>
      <c r="F1173" s="23"/>
      <c r="G1173" s="23"/>
      <c r="H1173" s="23"/>
      <c r="I1173" s="23"/>
      <c r="J1173" s="43"/>
      <c r="K1173" s="43"/>
      <c r="L1173" s="43"/>
      <c r="M1173" s="42"/>
      <c r="N1173" s="53"/>
      <c r="O1173" s="43"/>
      <c r="P1173" s="43"/>
      <c r="Q1173" s="43"/>
      <c r="R1173" s="43"/>
      <c r="S1173" s="51"/>
    </row>
    <row r="1174" spans="1:19" ht="18" customHeight="1" x14ac:dyDescent="0.25">
      <c r="A1174" s="38"/>
      <c r="B1174" s="49"/>
      <c r="C1174" s="31" t="s">
        <v>1</v>
      </c>
      <c r="D1174" s="27">
        <f t="shared" ref="D1174" si="278">SUM(E1174:I1174)</f>
        <v>49932.92</v>
      </c>
      <c r="E1174" s="23">
        <v>49932.92</v>
      </c>
      <c r="F1174" s="23"/>
      <c r="G1174" s="23"/>
      <c r="H1174" s="23"/>
      <c r="I1174" s="23"/>
      <c r="J1174" s="43"/>
      <c r="K1174" s="43"/>
      <c r="L1174" s="43"/>
      <c r="M1174" s="42"/>
      <c r="N1174" s="53"/>
      <c r="O1174" s="43"/>
      <c r="P1174" s="43"/>
      <c r="Q1174" s="43"/>
      <c r="R1174" s="43"/>
      <c r="S1174" s="51"/>
    </row>
    <row r="1175" spans="1:19" ht="18" customHeight="1" x14ac:dyDescent="0.25">
      <c r="A1175" s="38"/>
      <c r="B1175" s="49"/>
      <c r="C1175" s="31" t="s">
        <v>2</v>
      </c>
      <c r="D1175" s="27"/>
      <c r="E1175" s="23"/>
      <c r="F1175" s="23"/>
      <c r="G1175" s="23"/>
      <c r="H1175" s="23"/>
      <c r="I1175" s="23"/>
      <c r="J1175" s="43"/>
      <c r="K1175" s="43"/>
      <c r="L1175" s="43"/>
      <c r="M1175" s="42"/>
      <c r="N1175" s="53"/>
      <c r="O1175" s="43"/>
      <c r="P1175" s="43"/>
      <c r="Q1175" s="43"/>
      <c r="R1175" s="43"/>
      <c r="S1175" s="51"/>
    </row>
    <row r="1176" spans="1:19" ht="18" customHeight="1" x14ac:dyDescent="0.25">
      <c r="A1176" s="38"/>
      <c r="B1176" s="49"/>
      <c r="C1176" s="31" t="s">
        <v>3</v>
      </c>
      <c r="D1176" s="27"/>
      <c r="E1176" s="23"/>
      <c r="F1176" s="23"/>
      <c r="G1176" s="23"/>
      <c r="H1176" s="23"/>
      <c r="I1176" s="23"/>
      <c r="J1176" s="43"/>
      <c r="K1176" s="43"/>
      <c r="L1176" s="43"/>
      <c r="M1176" s="42"/>
      <c r="N1176" s="53"/>
      <c r="O1176" s="43"/>
      <c r="P1176" s="43"/>
      <c r="Q1176" s="43"/>
      <c r="R1176" s="43"/>
      <c r="S1176" s="51"/>
    </row>
    <row r="1177" spans="1:19" ht="18.75" customHeight="1" x14ac:dyDescent="0.25">
      <c r="A1177" s="37" t="s">
        <v>23</v>
      </c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</row>
    <row r="1178" spans="1:19" ht="21" customHeight="1" x14ac:dyDescent="0.25">
      <c r="A1178" s="38"/>
      <c r="B1178" s="48" t="s">
        <v>573</v>
      </c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</row>
    <row r="1179" spans="1:19" ht="18.75" customHeight="1" x14ac:dyDescent="0.25">
      <c r="A1179" s="38"/>
      <c r="B1179" s="49" t="s">
        <v>306</v>
      </c>
      <c r="C1179" s="50" t="s">
        <v>864</v>
      </c>
      <c r="D1179" s="50"/>
      <c r="E1179" s="50"/>
      <c r="F1179" s="50"/>
      <c r="G1179" s="50"/>
      <c r="H1179" s="50"/>
      <c r="I1179" s="50"/>
      <c r="J1179" s="43" t="s">
        <v>15</v>
      </c>
      <c r="K1179" s="43" t="s">
        <v>821</v>
      </c>
      <c r="L1179" s="43" t="s">
        <v>359</v>
      </c>
      <c r="M1179" s="42" t="s">
        <v>423</v>
      </c>
      <c r="N1179" s="53" t="s">
        <v>866</v>
      </c>
      <c r="O1179" s="43" t="s">
        <v>17</v>
      </c>
      <c r="P1179" s="43" t="s">
        <v>13</v>
      </c>
      <c r="Q1179" s="43" t="s">
        <v>44</v>
      </c>
      <c r="R1179" s="43"/>
      <c r="S1179" s="51"/>
    </row>
    <row r="1180" spans="1:19" ht="18" customHeight="1" x14ac:dyDescent="0.25">
      <c r="A1180" s="38"/>
      <c r="B1180" s="49"/>
      <c r="C1180" s="31" t="s">
        <v>6</v>
      </c>
      <c r="D1180" s="27">
        <f>SUM(D1181:D1184)</f>
        <v>25548.469000000001</v>
      </c>
      <c r="E1180" s="23">
        <f t="shared" ref="E1180" si="279">SUM(E1181:E1184)</f>
        <v>25548.469000000001</v>
      </c>
      <c r="F1180" s="23"/>
      <c r="G1180" s="23"/>
      <c r="H1180" s="23"/>
      <c r="I1180" s="23"/>
      <c r="J1180" s="43"/>
      <c r="K1180" s="43"/>
      <c r="L1180" s="43"/>
      <c r="M1180" s="42"/>
      <c r="N1180" s="53"/>
      <c r="O1180" s="43"/>
      <c r="P1180" s="43"/>
      <c r="Q1180" s="43"/>
      <c r="R1180" s="43"/>
      <c r="S1180" s="51"/>
    </row>
    <row r="1181" spans="1:19" ht="18" customHeight="1" x14ac:dyDescent="0.25">
      <c r="A1181" s="38"/>
      <c r="B1181" s="49"/>
      <c r="C1181" s="31" t="s">
        <v>0</v>
      </c>
      <c r="D1181" s="27"/>
      <c r="E1181" s="23"/>
      <c r="F1181" s="23"/>
      <c r="G1181" s="23"/>
      <c r="H1181" s="23"/>
      <c r="I1181" s="23"/>
      <c r="J1181" s="43"/>
      <c r="K1181" s="43"/>
      <c r="L1181" s="43"/>
      <c r="M1181" s="42"/>
      <c r="N1181" s="53"/>
      <c r="O1181" s="43"/>
      <c r="P1181" s="43"/>
      <c r="Q1181" s="43"/>
      <c r="R1181" s="43"/>
      <c r="S1181" s="51"/>
    </row>
    <row r="1182" spans="1:19" ht="18" customHeight="1" x14ac:dyDescent="0.25">
      <c r="A1182" s="38"/>
      <c r="B1182" s="49"/>
      <c r="C1182" s="31" t="s">
        <v>1</v>
      </c>
      <c r="D1182" s="27">
        <f t="shared" ref="D1182" si="280">SUM(E1182:I1182)</f>
        <v>25548.469000000001</v>
      </c>
      <c r="E1182" s="23">
        <f>23076+2472.469</f>
        <v>25548.469000000001</v>
      </c>
      <c r="F1182" s="23"/>
      <c r="G1182" s="23"/>
      <c r="H1182" s="23"/>
      <c r="I1182" s="23"/>
      <c r="J1182" s="43"/>
      <c r="K1182" s="43"/>
      <c r="L1182" s="43"/>
      <c r="M1182" s="42"/>
      <c r="N1182" s="53"/>
      <c r="O1182" s="43"/>
      <c r="P1182" s="43"/>
      <c r="Q1182" s="43"/>
      <c r="R1182" s="43"/>
      <c r="S1182" s="51"/>
    </row>
    <row r="1183" spans="1:19" ht="18" customHeight="1" x14ac:dyDescent="0.25">
      <c r="A1183" s="38"/>
      <c r="B1183" s="49"/>
      <c r="C1183" s="31" t="s">
        <v>2</v>
      </c>
      <c r="D1183" s="27"/>
      <c r="E1183" s="23"/>
      <c r="F1183" s="23"/>
      <c r="G1183" s="23"/>
      <c r="H1183" s="23"/>
      <c r="I1183" s="23"/>
      <c r="J1183" s="43"/>
      <c r="K1183" s="43"/>
      <c r="L1183" s="43"/>
      <c r="M1183" s="42"/>
      <c r="N1183" s="53"/>
      <c r="O1183" s="43"/>
      <c r="P1183" s="43"/>
      <c r="Q1183" s="43"/>
      <c r="R1183" s="43"/>
      <c r="S1183" s="51"/>
    </row>
    <row r="1184" spans="1:19" ht="18" customHeight="1" x14ac:dyDescent="0.25">
      <c r="A1184" s="38"/>
      <c r="B1184" s="49"/>
      <c r="C1184" s="31" t="s">
        <v>3</v>
      </c>
      <c r="D1184" s="27"/>
      <c r="E1184" s="23"/>
      <c r="F1184" s="23"/>
      <c r="G1184" s="23"/>
      <c r="H1184" s="23"/>
      <c r="I1184" s="23"/>
      <c r="J1184" s="43"/>
      <c r="K1184" s="43"/>
      <c r="L1184" s="43"/>
      <c r="M1184" s="42"/>
      <c r="N1184" s="53"/>
      <c r="O1184" s="43"/>
      <c r="P1184" s="43"/>
      <c r="Q1184" s="43"/>
      <c r="R1184" s="43"/>
      <c r="S1184" s="51"/>
    </row>
    <row r="1185" spans="1:19" ht="21" customHeight="1" x14ac:dyDescent="0.25">
      <c r="A1185" s="54" t="s">
        <v>311</v>
      </c>
      <c r="B1185" s="65" t="s">
        <v>130</v>
      </c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</row>
    <row r="1186" spans="1:19" ht="18" customHeight="1" x14ac:dyDescent="0.25">
      <c r="A1186" s="54"/>
      <c r="B1186" s="56" t="s">
        <v>6</v>
      </c>
      <c r="C1186" s="56"/>
      <c r="D1186" s="16">
        <f t="shared" ref="D1186" si="281">SUM(D1187:D1190)</f>
        <v>725427.77648</v>
      </c>
      <c r="E1186" s="16">
        <f>E1194+E1202+E1210+E1218+E1226+E1234+E1242+E1250+E1258+E1266+E1274+E1282+E1290</f>
        <v>587427.77648</v>
      </c>
      <c r="F1186" s="16">
        <f t="shared" ref="F1186" si="282">F1194+F1202+F1210+F1218+F1226+F1234+F1242+F1250+F1258+F1266+F1274+F1282+F1290</f>
        <v>168000</v>
      </c>
      <c r="G1186" s="16"/>
      <c r="H1186" s="16"/>
      <c r="I1186" s="1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</row>
    <row r="1187" spans="1:19" ht="18" customHeight="1" x14ac:dyDescent="0.25">
      <c r="A1187" s="54"/>
      <c r="B1187" s="56" t="s">
        <v>0</v>
      </c>
      <c r="C1187" s="56"/>
      <c r="D1187" s="28"/>
      <c r="E1187" s="16">
        <f t="shared" ref="E1187:F1188" si="283">E1195+E1203+E1211+E1219+E1227+E1235+E1243+E1251+E1259+E1267+E1275+E1283+E1291</f>
        <v>30000</v>
      </c>
      <c r="F1187" s="16"/>
      <c r="G1187" s="16"/>
      <c r="H1187" s="16"/>
      <c r="I1187" s="16"/>
      <c r="J1187" s="26"/>
      <c r="K1187" s="26"/>
      <c r="L1187" s="26"/>
      <c r="M1187" s="26"/>
      <c r="N1187" s="26"/>
      <c r="O1187" s="26"/>
      <c r="P1187" s="26"/>
      <c r="Q1187" s="26"/>
      <c r="R1187" s="26"/>
      <c r="S1187" s="26"/>
    </row>
    <row r="1188" spans="1:19" ht="18" customHeight="1" x14ac:dyDescent="0.25">
      <c r="A1188" s="54"/>
      <c r="B1188" s="56" t="s">
        <v>1</v>
      </c>
      <c r="C1188" s="56"/>
      <c r="D1188" s="16">
        <f>SUM(E1188:I1188)</f>
        <v>725427.77648</v>
      </c>
      <c r="E1188" s="16">
        <f t="shared" si="283"/>
        <v>557427.77648</v>
      </c>
      <c r="F1188" s="16">
        <f t="shared" si="283"/>
        <v>168000</v>
      </c>
      <c r="G1188" s="16"/>
      <c r="H1188" s="16"/>
      <c r="I1188" s="16"/>
      <c r="J1188" s="26"/>
      <c r="K1188" s="26"/>
      <c r="L1188" s="26"/>
      <c r="M1188" s="26"/>
      <c r="N1188" s="26"/>
      <c r="O1188" s="26"/>
      <c r="P1188" s="26"/>
      <c r="Q1188" s="26"/>
      <c r="R1188" s="26"/>
      <c r="S1188" s="26"/>
    </row>
    <row r="1189" spans="1:19" ht="18" customHeight="1" x14ac:dyDescent="0.25">
      <c r="A1189" s="54"/>
      <c r="B1189" s="56" t="s">
        <v>2</v>
      </c>
      <c r="C1189" s="56"/>
      <c r="D1189" s="28"/>
      <c r="E1189" s="16"/>
      <c r="F1189" s="16"/>
      <c r="G1189" s="16"/>
      <c r="H1189" s="16"/>
      <c r="I1189" s="16"/>
      <c r="J1189" s="26"/>
      <c r="K1189" s="26"/>
      <c r="L1189" s="26"/>
      <c r="M1189" s="26"/>
      <c r="N1189" s="26"/>
      <c r="O1189" s="26"/>
      <c r="P1189" s="26"/>
      <c r="Q1189" s="26"/>
      <c r="R1189" s="26"/>
      <c r="S1189" s="26"/>
    </row>
    <row r="1190" spans="1:19" ht="18" customHeight="1" x14ac:dyDescent="0.25">
      <c r="A1190" s="54"/>
      <c r="B1190" s="56" t="s">
        <v>3</v>
      </c>
      <c r="C1190" s="56"/>
      <c r="D1190" s="28"/>
      <c r="E1190" s="16"/>
      <c r="F1190" s="16"/>
      <c r="G1190" s="16"/>
      <c r="H1190" s="16"/>
      <c r="I1190" s="1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</row>
    <row r="1191" spans="1:19" ht="18.75" customHeight="1" x14ac:dyDescent="0.25">
      <c r="A1191" s="37" t="s">
        <v>845</v>
      </c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</row>
    <row r="1192" spans="1:19" ht="21" customHeight="1" x14ac:dyDescent="0.25">
      <c r="A1192" s="38"/>
      <c r="B1192" s="48" t="s">
        <v>572</v>
      </c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</row>
    <row r="1193" spans="1:19" ht="38.25" customHeight="1" x14ac:dyDescent="0.25">
      <c r="A1193" s="38"/>
      <c r="B1193" s="49" t="s">
        <v>312</v>
      </c>
      <c r="C1193" s="50" t="s">
        <v>661</v>
      </c>
      <c r="D1193" s="50"/>
      <c r="E1193" s="50"/>
      <c r="F1193" s="50"/>
      <c r="G1193" s="50"/>
      <c r="H1193" s="50"/>
      <c r="I1193" s="50"/>
      <c r="J1193" s="43" t="s">
        <v>11</v>
      </c>
      <c r="K1193" s="43" t="s">
        <v>829</v>
      </c>
      <c r="L1193" s="43"/>
      <c r="M1193" s="42" t="s">
        <v>869</v>
      </c>
      <c r="N1193" s="53" t="s">
        <v>505</v>
      </c>
      <c r="O1193" s="43" t="s">
        <v>17</v>
      </c>
      <c r="P1193" s="43" t="s">
        <v>18</v>
      </c>
      <c r="Q1193" s="43" t="s">
        <v>9</v>
      </c>
      <c r="R1193" s="43"/>
      <c r="S1193" s="51"/>
    </row>
    <row r="1194" spans="1:19" ht="18" customHeight="1" x14ac:dyDescent="0.25">
      <c r="A1194" s="38"/>
      <c r="B1194" s="49"/>
      <c r="C1194" s="31" t="s">
        <v>6</v>
      </c>
      <c r="D1194" s="27">
        <f>SUM(D1195:D1198)</f>
        <v>188000</v>
      </c>
      <c r="E1194" s="25">
        <f t="shared" ref="E1194" si="284">SUM(E1195:E1198)</f>
        <v>188000</v>
      </c>
      <c r="F1194" s="25"/>
      <c r="G1194" s="23"/>
      <c r="H1194" s="23"/>
      <c r="I1194" s="23"/>
      <c r="J1194" s="43"/>
      <c r="K1194" s="43"/>
      <c r="L1194" s="43"/>
      <c r="M1194" s="42"/>
      <c r="N1194" s="53"/>
      <c r="O1194" s="43"/>
      <c r="P1194" s="43"/>
      <c r="Q1194" s="43"/>
      <c r="R1194" s="43"/>
      <c r="S1194" s="51"/>
    </row>
    <row r="1195" spans="1:19" ht="18" customHeight="1" x14ac:dyDescent="0.25">
      <c r="A1195" s="38"/>
      <c r="B1195" s="49"/>
      <c r="C1195" s="31" t="s">
        <v>0</v>
      </c>
      <c r="D1195" s="27"/>
      <c r="E1195" s="25"/>
      <c r="F1195" s="25"/>
      <c r="G1195" s="23"/>
      <c r="H1195" s="23"/>
      <c r="I1195" s="23"/>
      <c r="J1195" s="43"/>
      <c r="K1195" s="43"/>
      <c r="L1195" s="43"/>
      <c r="M1195" s="42"/>
      <c r="N1195" s="53"/>
      <c r="O1195" s="43"/>
      <c r="P1195" s="43"/>
      <c r="Q1195" s="43"/>
      <c r="R1195" s="43"/>
      <c r="S1195" s="51"/>
    </row>
    <row r="1196" spans="1:19" ht="18" customHeight="1" x14ac:dyDescent="0.25">
      <c r="A1196" s="38"/>
      <c r="B1196" s="49"/>
      <c r="C1196" s="31" t="s">
        <v>1</v>
      </c>
      <c r="D1196" s="27">
        <f t="shared" ref="D1196" si="285">SUM(E1196:I1196)</f>
        <v>188000</v>
      </c>
      <c r="E1196" s="25">
        <f>155000+3000+30000</f>
        <v>188000</v>
      </c>
      <c r="F1196" s="25"/>
      <c r="G1196" s="23"/>
      <c r="H1196" s="23"/>
      <c r="I1196" s="23"/>
      <c r="J1196" s="43"/>
      <c r="K1196" s="43"/>
      <c r="L1196" s="43"/>
      <c r="M1196" s="42"/>
      <c r="N1196" s="53"/>
      <c r="O1196" s="43"/>
      <c r="P1196" s="43"/>
      <c r="Q1196" s="43"/>
      <c r="R1196" s="43"/>
      <c r="S1196" s="51"/>
    </row>
    <row r="1197" spans="1:19" ht="18" customHeight="1" x14ac:dyDescent="0.25">
      <c r="A1197" s="38"/>
      <c r="B1197" s="49"/>
      <c r="C1197" s="31" t="s">
        <v>2</v>
      </c>
      <c r="D1197" s="27"/>
      <c r="E1197" s="23"/>
      <c r="F1197" s="23"/>
      <c r="G1197" s="23"/>
      <c r="H1197" s="23"/>
      <c r="I1197" s="23"/>
      <c r="J1197" s="43"/>
      <c r="K1197" s="43"/>
      <c r="L1197" s="43"/>
      <c r="M1197" s="42"/>
      <c r="N1197" s="53"/>
      <c r="O1197" s="43"/>
      <c r="P1197" s="43"/>
      <c r="Q1197" s="43"/>
      <c r="R1197" s="43"/>
      <c r="S1197" s="51"/>
    </row>
    <row r="1198" spans="1:19" ht="27.75" customHeight="1" x14ac:dyDescent="0.25">
      <c r="A1198" s="38"/>
      <c r="B1198" s="49"/>
      <c r="C1198" s="31" t="s">
        <v>3</v>
      </c>
      <c r="D1198" s="27"/>
      <c r="E1198" s="23"/>
      <c r="F1198" s="23"/>
      <c r="G1198" s="23"/>
      <c r="H1198" s="23"/>
      <c r="I1198" s="23"/>
      <c r="J1198" s="43"/>
      <c r="K1198" s="43"/>
      <c r="L1198" s="43"/>
      <c r="M1198" s="42"/>
      <c r="N1198" s="53"/>
      <c r="O1198" s="43"/>
      <c r="P1198" s="43"/>
      <c r="Q1198" s="43"/>
      <c r="R1198" s="43"/>
      <c r="S1198" s="51"/>
    </row>
    <row r="1199" spans="1:19" ht="18.75" customHeight="1" x14ac:dyDescent="0.25">
      <c r="A1199" s="37" t="s">
        <v>90</v>
      </c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</row>
    <row r="1200" spans="1:19" ht="21" customHeight="1" x14ac:dyDescent="0.25">
      <c r="A1200" s="38"/>
      <c r="B1200" s="48" t="s">
        <v>569</v>
      </c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</row>
    <row r="1201" spans="1:19" ht="21" customHeight="1" x14ac:dyDescent="0.25">
      <c r="A1201" s="38"/>
      <c r="B1201" s="49" t="s">
        <v>662</v>
      </c>
      <c r="C1201" s="50" t="s">
        <v>332</v>
      </c>
      <c r="D1201" s="50"/>
      <c r="E1201" s="50"/>
      <c r="F1201" s="50"/>
      <c r="G1201" s="50"/>
      <c r="H1201" s="50"/>
      <c r="I1201" s="50"/>
      <c r="J1201" s="43" t="s">
        <v>42</v>
      </c>
      <c r="K1201" s="43" t="s">
        <v>830</v>
      </c>
      <c r="L1201" s="43"/>
      <c r="M1201" s="43" t="s">
        <v>506</v>
      </c>
      <c r="N1201" s="53" t="s">
        <v>507</v>
      </c>
      <c r="O1201" s="43" t="s">
        <v>17</v>
      </c>
      <c r="P1201" s="43" t="s">
        <v>18</v>
      </c>
      <c r="Q1201" s="43" t="s">
        <v>9</v>
      </c>
      <c r="R1201" s="43"/>
      <c r="S1201" s="51" t="s">
        <v>770</v>
      </c>
    </row>
    <row r="1202" spans="1:19" ht="18" customHeight="1" x14ac:dyDescent="0.25">
      <c r="A1202" s="38"/>
      <c r="B1202" s="49"/>
      <c r="C1202" s="31" t="s">
        <v>6</v>
      </c>
      <c r="D1202" s="27">
        <f>SUM(D1203:D1206)</f>
        <v>367240.55300000001</v>
      </c>
      <c r="E1202" s="23">
        <f t="shared" ref="E1202:F1202" si="286">SUM(E1203:E1206)</f>
        <v>199240.55300000001</v>
      </c>
      <c r="F1202" s="23">
        <f t="shared" si="286"/>
        <v>168000</v>
      </c>
      <c r="G1202" s="23"/>
      <c r="H1202" s="23"/>
      <c r="I1202" s="23"/>
      <c r="J1202" s="43"/>
      <c r="K1202" s="43"/>
      <c r="L1202" s="43"/>
      <c r="M1202" s="43"/>
      <c r="N1202" s="53"/>
      <c r="O1202" s="43"/>
      <c r="P1202" s="43"/>
      <c r="Q1202" s="43"/>
      <c r="R1202" s="43"/>
      <c r="S1202" s="51"/>
    </row>
    <row r="1203" spans="1:19" ht="18" customHeight="1" x14ac:dyDescent="0.25">
      <c r="A1203" s="38"/>
      <c r="B1203" s="49"/>
      <c r="C1203" s="31" t="s">
        <v>0</v>
      </c>
      <c r="D1203" s="27">
        <f>E1203</f>
        <v>30000</v>
      </c>
      <c r="E1203" s="23">
        <v>30000</v>
      </c>
      <c r="F1203" s="23"/>
      <c r="G1203" s="23"/>
      <c r="H1203" s="23"/>
      <c r="I1203" s="23"/>
      <c r="J1203" s="43"/>
      <c r="K1203" s="43"/>
      <c r="L1203" s="43"/>
      <c r="M1203" s="43"/>
      <c r="N1203" s="53"/>
      <c r="O1203" s="43"/>
      <c r="P1203" s="43"/>
      <c r="Q1203" s="43"/>
      <c r="R1203" s="43"/>
      <c r="S1203" s="51"/>
    </row>
    <row r="1204" spans="1:19" ht="18" customHeight="1" x14ac:dyDescent="0.25">
      <c r="A1204" s="38"/>
      <c r="B1204" s="49"/>
      <c r="C1204" s="31" t="s">
        <v>1</v>
      </c>
      <c r="D1204" s="27">
        <f>SUM(E1204:I1204)</f>
        <v>337240.55300000001</v>
      </c>
      <c r="E1204" s="23">
        <f>229830-60589.447</f>
        <v>169240.55300000001</v>
      </c>
      <c r="F1204" s="23">
        <v>168000</v>
      </c>
      <c r="G1204" s="23"/>
      <c r="H1204" s="23"/>
      <c r="I1204" s="23"/>
      <c r="J1204" s="43"/>
      <c r="K1204" s="43"/>
      <c r="L1204" s="43"/>
      <c r="M1204" s="43"/>
      <c r="N1204" s="53"/>
      <c r="O1204" s="43"/>
      <c r="P1204" s="43"/>
      <c r="Q1204" s="43"/>
      <c r="R1204" s="43"/>
      <c r="S1204" s="51"/>
    </row>
    <row r="1205" spans="1:19" ht="18" customHeight="1" x14ac:dyDescent="0.25">
      <c r="A1205" s="38"/>
      <c r="B1205" s="49"/>
      <c r="C1205" s="31" t="s">
        <v>2</v>
      </c>
      <c r="D1205" s="27"/>
      <c r="E1205" s="23"/>
      <c r="F1205" s="23"/>
      <c r="G1205" s="23"/>
      <c r="H1205" s="23"/>
      <c r="I1205" s="23"/>
      <c r="J1205" s="43"/>
      <c r="K1205" s="43"/>
      <c r="L1205" s="43"/>
      <c r="M1205" s="43"/>
      <c r="N1205" s="53"/>
      <c r="O1205" s="43"/>
      <c r="P1205" s="43"/>
      <c r="Q1205" s="43"/>
      <c r="R1205" s="43"/>
      <c r="S1205" s="51"/>
    </row>
    <row r="1206" spans="1:19" ht="51.75" customHeight="1" x14ac:dyDescent="0.25">
      <c r="A1206" s="38"/>
      <c r="B1206" s="49"/>
      <c r="C1206" s="31" t="s">
        <v>3</v>
      </c>
      <c r="D1206" s="27"/>
      <c r="E1206" s="23"/>
      <c r="F1206" s="23"/>
      <c r="G1206" s="23"/>
      <c r="H1206" s="23"/>
      <c r="I1206" s="23"/>
      <c r="J1206" s="43"/>
      <c r="K1206" s="43"/>
      <c r="L1206" s="43"/>
      <c r="M1206" s="43"/>
      <c r="N1206" s="53"/>
      <c r="O1206" s="43"/>
      <c r="P1206" s="43"/>
      <c r="Q1206" s="43"/>
      <c r="R1206" s="43"/>
      <c r="S1206" s="51"/>
    </row>
    <row r="1207" spans="1:19" ht="18.75" customHeight="1" x14ac:dyDescent="0.25">
      <c r="A1207" s="37" t="s">
        <v>90</v>
      </c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  <c r="O1207" s="37"/>
      <c r="P1207" s="37"/>
      <c r="Q1207" s="37"/>
      <c r="R1207" s="37"/>
      <c r="S1207" s="37"/>
    </row>
    <row r="1208" spans="1:19" ht="21" customHeight="1" x14ac:dyDescent="0.25">
      <c r="A1208" s="38"/>
      <c r="B1208" s="48" t="s">
        <v>569</v>
      </c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</row>
    <row r="1209" spans="1:19" ht="52.5" customHeight="1" x14ac:dyDescent="0.25">
      <c r="A1209" s="38"/>
      <c r="B1209" s="49" t="s">
        <v>663</v>
      </c>
      <c r="C1209" s="50" t="s">
        <v>188</v>
      </c>
      <c r="D1209" s="50"/>
      <c r="E1209" s="50"/>
      <c r="F1209" s="50"/>
      <c r="G1209" s="50"/>
      <c r="H1209" s="50"/>
      <c r="I1209" s="50"/>
      <c r="J1209" s="43" t="s">
        <v>60</v>
      </c>
      <c r="K1209" s="43" t="s">
        <v>821</v>
      </c>
      <c r="L1209" s="43"/>
      <c r="M1209" s="43" t="s">
        <v>90</v>
      </c>
      <c r="N1209" s="53" t="s">
        <v>509</v>
      </c>
      <c r="O1209" s="43" t="s">
        <v>17</v>
      </c>
      <c r="P1209" s="43" t="s">
        <v>13</v>
      </c>
      <c r="Q1209" s="43" t="s">
        <v>9</v>
      </c>
      <c r="R1209" s="43"/>
      <c r="S1209" s="51" t="s">
        <v>771</v>
      </c>
    </row>
    <row r="1210" spans="1:19" ht="18" customHeight="1" x14ac:dyDescent="0.25">
      <c r="A1210" s="38"/>
      <c r="B1210" s="49"/>
      <c r="C1210" s="31" t="s">
        <v>6</v>
      </c>
      <c r="D1210" s="27">
        <f>SUM(D1211:D1214)</f>
        <v>14741.72</v>
      </c>
      <c r="E1210" s="23">
        <f t="shared" ref="E1210" si="287">SUM(E1211:E1214)</f>
        <v>14741.72</v>
      </c>
      <c r="F1210" s="23"/>
      <c r="G1210" s="23"/>
      <c r="H1210" s="23"/>
      <c r="I1210" s="23"/>
      <c r="J1210" s="43"/>
      <c r="K1210" s="43"/>
      <c r="L1210" s="43"/>
      <c r="M1210" s="43"/>
      <c r="N1210" s="53"/>
      <c r="O1210" s="43"/>
      <c r="P1210" s="43"/>
      <c r="Q1210" s="43"/>
      <c r="R1210" s="43"/>
      <c r="S1210" s="51"/>
    </row>
    <row r="1211" spans="1:19" ht="18" customHeight="1" x14ac:dyDescent="0.25">
      <c r="A1211" s="38"/>
      <c r="B1211" s="49"/>
      <c r="C1211" s="31" t="s">
        <v>0</v>
      </c>
      <c r="D1211" s="27"/>
      <c r="E1211" s="23"/>
      <c r="F1211" s="23"/>
      <c r="G1211" s="23"/>
      <c r="H1211" s="23"/>
      <c r="I1211" s="23"/>
      <c r="J1211" s="43"/>
      <c r="K1211" s="43"/>
      <c r="L1211" s="43"/>
      <c r="M1211" s="43"/>
      <c r="N1211" s="53"/>
      <c r="O1211" s="43"/>
      <c r="P1211" s="43"/>
      <c r="Q1211" s="43"/>
      <c r="R1211" s="43"/>
      <c r="S1211" s="51"/>
    </row>
    <row r="1212" spans="1:19" ht="18" customHeight="1" x14ac:dyDescent="0.25">
      <c r="A1212" s="38"/>
      <c r="B1212" s="49"/>
      <c r="C1212" s="31" t="s">
        <v>1</v>
      </c>
      <c r="D1212" s="27">
        <f t="shared" ref="D1212" si="288">SUM(E1212:I1212)</f>
        <v>14741.72</v>
      </c>
      <c r="E1212" s="23">
        <v>14741.72</v>
      </c>
      <c r="F1212" s="23"/>
      <c r="G1212" s="23"/>
      <c r="H1212" s="23"/>
      <c r="I1212" s="23"/>
      <c r="J1212" s="43"/>
      <c r="K1212" s="43"/>
      <c r="L1212" s="43"/>
      <c r="M1212" s="43"/>
      <c r="N1212" s="53"/>
      <c r="O1212" s="43"/>
      <c r="P1212" s="43"/>
      <c r="Q1212" s="43"/>
      <c r="R1212" s="43"/>
      <c r="S1212" s="51"/>
    </row>
    <row r="1213" spans="1:19" ht="18" customHeight="1" x14ac:dyDescent="0.25">
      <c r="A1213" s="38"/>
      <c r="B1213" s="49"/>
      <c r="C1213" s="31" t="s">
        <v>2</v>
      </c>
      <c r="D1213" s="27"/>
      <c r="E1213" s="23"/>
      <c r="F1213" s="23"/>
      <c r="G1213" s="23"/>
      <c r="H1213" s="23"/>
      <c r="I1213" s="23"/>
      <c r="J1213" s="43"/>
      <c r="K1213" s="43"/>
      <c r="L1213" s="43"/>
      <c r="M1213" s="43"/>
      <c r="N1213" s="53"/>
      <c r="O1213" s="43"/>
      <c r="P1213" s="43"/>
      <c r="Q1213" s="43"/>
      <c r="R1213" s="43"/>
      <c r="S1213" s="51"/>
    </row>
    <row r="1214" spans="1:19" ht="18" customHeight="1" x14ac:dyDescent="0.25">
      <c r="A1214" s="38"/>
      <c r="B1214" s="49"/>
      <c r="C1214" s="31" t="s">
        <v>3</v>
      </c>
      <c r="D1214" s="27"/>
      <c r="E1214" s="23"/>
      <c r="F1214" s="23"/>
      <c r="G1214" s="23"/>
      <c r="H1214" s="23"/>
      <c r="I1214" s="23"/>
      <c r="J1214" s="43"/>
      <c r="K1214" s="43"/>
      <c r="L1214" s="43"/>
      <c r="M1214" s="43"/>
      <c r="N1214" s="53"/>
      <c r="O1214" s="43"/>
      <c r="P1214" s="43"/>
      <c r="Q1214" s="43"/>
      <c r="R1214" s="43"/>
      <c r="S1214" s="51"/>
    </row>
    <row r="1215" spans="1:19" ht="18.75" customHeight="1" x14ac:dyDescent="0.25">
      <c r="A1215" s="37" t="s">
        <v>90</v>
      </c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</row>
    <row r="1216" spans="1:19" ht="33.75" customHeight="1" x14ac:dyDescent="0.25">
      <c r="A1216" s="38"/>
      <c r="B1216" s="48" t="s">
        <v>569</v>
      </c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</row>
    <row r="1217" spans="1:19" ht="19.5" customHeight="1" x14ac:dyDescent="0.25">
      <c r="A1217" s="38"/>
      <c r="B1217" s="49" t="s">
        <v>664</v>
      </c>
      <c r="C1217" s="50" t="s">
        <v>131</v>
      </c>
      <c r="D1217" s="50"/>
      <c r="E1217" s="50"/>
      <c r="F1217" s="50"/>
      <c r="G1217" s="50"/>
      <c r="H1217" s="50"/>
      <c r="I1217" s="50"/>
      <c r="J1217" s="43" t="s">
        <v>16</v>
      </c>
      <c r="K1217" s="43" t="s">
        <v>830</v>
      </c>
      <c r="L1217" s="43"/>
      <c r="M1217" s="43" t="s">
        <v>508</v>
      </c>
      <c r="N1217" s="53" t="s">
        <v>510</v>
      </c>
      <c r="O1217" s="43" t="s">
        <v>17</v>
      </c>
      <c r="P1217" s="43" t="s">
        <v>13</v>
      </c>
      <c r="Q1217" s="43" t="s">
        <v>9</v>
      </c>
      <c r="R1217" s="43"/>
      <c r="S1217" s="51"/>
    </row>
    <row r="1218" spans="1:19" ht="18" customHeight="1" x14ac:dyDescent="0.25">
      <c r="A1218" s="38"/>
      <c r="B1218" s="49"/>
      <c r="C1218" s="31" t="s">
        <v>6</v>
      </c>
      <c r="D1218" s="27">
        <f>SUM(D1219:D1222)</f>
        <v>5086.18</v>
      </c>
      <c r="E1218" s="23">
        <f t="shared" ref="E1218" si="289">SUM(E1219:E1222)</f>
        <v>5086.18</v>
      </c>
      <c r="F1218" s="23"/>
      <c r="G1218" s="23"/>
      <c r="H1218" s="23"/>
      <c r="I1218" s="23"/>
      <c r="J1218" s="43"/>
      <c r="K1218" s="43"/>
      <c r="L1218" s="43"/>
      <c r="M1218" s="43"/>
      <c r="N1218" s="53"/>
      <c r="O1218" s="43"/>
      <c r="P1218" s="43"/>
      <c r="Q1218" s="43"/>
      <c r="R1218" s="43"/>
      <c r="S1218" s="51"/>
    </row>
    <row r="1219" spans="1:19" ht="18" customHeight="1" x14ac:dyDescent="0.25">
      <c r="A1219" s="38"/>
      <c r="B1219" s="49"/>
      <c r="C1219" s="31" t="s">
        <v>0</v>
      </c>
      <c r="D1219" s="27"/>
      <c r="E1219" s="23"/>
      <c r="F1219" s="23"/>
      <c r="G1219" s="23"/>
      <c r="H1219" s="23"/>
      <c r="I1219" s="23"/>
      <c r="J1219" s="43"/>
      <c r="K1219" s="43"/>
      <c r="L1219" s="43"/>
      <c r="M1219" s="43"/>
      <c r="N1219" s="53"/>
      <c r="O1219" s="43"/>
      <c r="P1219" s="43"/>
      <c r="Q1219" s="43"/>
      <c r="R1219" s="43"/>
      <c r="S1219" s="51"/>
    </row>
    <row r="1220" spans="1:19" ht="18" customHeight="1" x14ac:dyDescent="0.25">
      <c r="A1220" s="38"/>
      <c r="B1220" s="49"/>
      <c r="C1220" s="31" t="s">
        <v>1</v>
      </c>
      <c r="D1220" s="27">
        <f t="shared" ref="D1220" si="290">SUM(E1220:I1220)</f>
        <v>5086.18</v>
      </c>
      <c r="E1220" s="23">
        <f>3416.18+1670</f>
        <v>5086.18</v>
      </c>
      <c r="F1220" s="23"/>
      <c r="G1220" s="23"/>
      <c r="H1220" s="23"/>
      <c r="I1220" s="23"/>
      <c r="J1220" s="43"/>
      <c r="K1220" s="43"/>
      <c r="L1220" s="43"/>
      <c r="M1220" s="43"/>
      <c r="N1220" s="53"/>
      <c r="O1220" s="43"/>
      <c r="P1220" s="43"/>
      <c r="Q1220" s="43"/>
      <c r="R1220" s="43"/>
      <c r="S1220" s="51"/>
    </row>
    <row r="1221" spans="1:19" ht="18" customHeight="1" x14ac:dyDescent="0.25">
      <c r="A1221" s="38"/>
      <c r="B1221" s="49"/>
      <c r="C1221" s="31" t="s">
        <v>2</v>
      </c>
      <c r="D1221" s="27"/>
      <c r="E1221" s="23"/>
      <c r="F1221" s="23"/>
      <c r="G1221" s="23"/>
      <c r="H1221" s="23"/>
      <c r="I1221" s="23"/>
      <c r="J1221" s="43"/>
      <c r="K1221" s="43"/>
      <c r="L1221" s="43"/>
      <c r="M1221" s="43"/>
      <c r="N1221" s="53"/>
      <c r="O1221" s="43"/>
      <c r="P1221" s="43"/>
      <c r="Q1221" s="43"/>
      <c r="R1221" s="43"/>
      <c r="S1221" s="51"/>
    </row>
    <row r="1222" spans="1:19" ht="45" customHeight="1" x14ac:dyDescent="0.25">
      <c r="A1222" s="38"/>
      <c r="B1222" s="49"/>
      <c r="C1222" s="31" t="s">
        <v>3</v>
      </c>
      <c r="D1222" s="27"/>
      <c r="E1222" s="23"/>
      <c r="F1222" s="23"/>
      <c r="G1222" s="23"/>
      <c r="H1222" s="23"/>
      <c r="I1222" s="23"/>
      <c r="J1222" s="43"/>
      <c r="K1222" s="43"/>
      <c r="L1222" s="43"/>
      <c r="M1222" s="43"/>
      <c r="N1222" s="53"/>
      <c r="O1222" s="43"/>
      <c r="P1222" s="43"/>
      <c r="Q1222" s="43"/>
      <c r="R1222" s="43"/>
      <c r="S1222" s="51"/>
    </row>
    <row r="1223" spans="1:19" ht="18" customHeight="1" x14ac:dyDescent="0.25">
      <c r="A1223" s="37" t="s">
        <v>90</v>
      </c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</row>
    <row r="1224" spans="1:19" ht="21" customHeight="1" x14ac:dyDescent="0.25">
      <c r="A1224" s="38"/>
      <c r="B1224" s="48" t="s">
        <v>569</v>
      </c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</row>
    <row r="1225" spans="1:19" ht="18.75" customHeight="1" x14ac:dyDescent="0.25">
      <c r="A1225" s="38"/>
      <c r="B1225" s="49" t="s">
        <v>665</v>
      </c>
      <c r="C1225" s="50" t="s">
        <v>511</v>
      </c>
      <c r="D1225" s="50"/>
      <c r="E1225" s="50"/>
      <c r="F1225" s="50"/>
      <c r="G1225" s="50"/>
      <c r="H1225" s="50"/>
      <c r="I1225" s="50"/>
      <c r="J1225" s="43" t="s">
        <v>15</v>
      </c>
      <c r="K1225" s="43" t="s">
        <v>828</v>
      </c>
      <c r="L1225" s="43"/>
      <c r="M1225" s="43" t="s">
        <v>482</v>
      </c>
      <c r="N1225" s="53" t="s">
        <v>512</v>
      </c>
      <c r="O1225" s="43" t="s">
        <v>12</v>
      </c>
      <c r="P1225" s="43" t="s">
        <v>22</v>
      </c>
      <c r="Q1225" s="43" t="s">
        <v>9</v>
      </c>
      <c r="R1225" s="43"/>
      <c r="S1225" s="51"/>
    </row>
    <row r="1226" spans="1:19" ht="18" customHeight="1" x14ac:dyDescent="0.25">
      <c r="A1226" s="38"/>
      <c r="B1226" s="49"/>
      <c r="C1226" s="31" t="s">
        <v>6</v>
      </c>
      <c r="D1226" s="27">
        <f>SUM(D1227:D1230)</f>
        <v>30000</v>
      </c>
      <c r="E1226" s="23">
        <f t="shared" ref="E1226" si="291">SUM(E1227:E1230)</f>
        <v>30000</v>
      </c>
      <c r="F1226" s="23"/>
      <c r="G1226" s="23"/>
      <c r="H1226" s="23"/>
      <c r="I1226" s="23"/>
      <c r="J1226" s="43"/>
      <c r="K1226" s="43"/>
      <c r="L1226" s="43"/>
      <c r="M1226" s="43"/>
      <c r="N1226" s="53"/>
      <c r="O1226" s="43"/>
      <c r="P1226" s="43"/>
      <c r="Q1226" s="43"/>
      <c r="R1226" s="43"/>
      <c r="S1226" s="51"/>
    </row>
    <row r="1227" spans="1:19" ht="18" customHeight="1" x14ac:dyDescent="0.25">
      <c r="A1227" s="38"/>
      <c r="B1227" s="49"/>
      <c r="C1227" s="31" t="s">
        <v>0</v>
      </c>
      <c r="D1227" s="27"/>
      <c r="E1227" s="23"/>
      <c r="F1227" s="23"/>
      <c r="G1227" s="23"/>
      <c r="H1227" s="23"/>
      <c r="I1227" s="23"/>
      <c r="J1227" s="43"/>
      <c r="K1227" s="43"/>
      <c r="L1227" s="43"/>
      <c r="M1227" s="43"/>
      <c r="N1227" s="53"/>
      <c r="O1227" s="43"/>
      <c r="P1227" s="43"/>
      <c r="Q1227" s="43"/>
      <c r="R1227" s="43"/>
      <c r="S1227" s="51"/>
    </row>
    <row r="1228" spans="1:19" ht="18" customHeight="1" x14ac:dyDescent="0.25">
      <c r="A1228" s="38"/>
      <c r="B1228" s="49"/>
      <c r="C1228" s="31" t="s">
        <v>1</v>
      </c>
      <c r="D1228" s="27">
        <f t="shared" ref="D1228" si="292">SUM(E1228:I1228)</f>
        <v>30000</v>
      </c>
      <c r="E1228" s="23">
        <v>30000</v>
      </c>
      <c r="F1228" s="23"/>
      <c r="G1228" s="23"/>
      <c r="H1228" s="23"/>
      <c r="I1228" s="23"/>
      <c r="J1228" s="43"/>
      <c r="K1228" s="43"/>
      <c r="L1228" s="43"/>
      <c r="M1228" s="43"/>
      <c r="N1228" s="53"/>
      <c r="O1228" s="43"/>
      <c r="P1228" s="43"/>
      <c r="Q1228" s="43"/>
      <c r="R1228" s="43"/>
      <c r="S1228" s="51"/>
    </row>
    <row r="1229" spans="1:19" ht="18" customHeight="1" x14ac:dyDescent="0.25">
      <c r="A1229" s="38"/>
      <c r="B1229" s="49"/>
      <c r="C1229" s="31" t="s">
        <v>2</v>
      </c>
      <c r="D1229" s="27"/>
      <c r="E1229" s="23"/>
      <c r="F1229" s="23"/>
      <c r="G1229" s="23"/>
      <c r="H1229" s="23"/>
      <c r="I1229" s="23"/>
      <c r="J1229" s="43"/>
      <c r="K1229" s="43"/>
      <c r="L1229" s="43"/>
      <c r="M1229" s="43"/>
      <c r="N1229" s="53"/>
      <c r="O1229" s="43"/>
      <c r="P1229" s="43"/>
      <c r="Q1229" s="43"/>
      <c r="R1229" s="43"/>
      <c r="S1229" s="51"/>
    </row>
    <row r="1230" spans="1:19" ht="18" customHeight="1" x14ac:dyDescent="0.25">
      <c r="A1230" s="38"/>
      <c r="B1230" s="49"/>
      <c r="C1230" s="31" t="s">
        <v>3</v>
      </c>
      <c r="D1230" s="27"/>
      <c r="E1230" s="23"/>
      <c r="F1230" s="23"/>
      <c r="G1230" s="23"/>
      <c r="H1230" s="23"/>
      <c r="I1230" s="23"/>
      <c r="J1230" s="43"/>
      <c r="K1230" s="43"/>
      <c r="L1230" s="43"/>
      <c r="M1230" s="43"/>
      <c r="N1230" s="53"/>
      <c r="O1230" s="43"/>
      <c r="P1230" s="43"/>
      <c r="Q1230" s="43"/>
      <c r="R1230" s="43"/>
      <c r="S1230" s="51"/>
    </row>
    <row r="1231" spans="1:19" ht="18.75" customHeight="1" x14ac:dyDescent="0.25">
      <c r="A1231" s="37" t="s">
        <v>23</v>
      </c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</row>
    <row r="1232" spans="1:19" ht="21" customHeight="1" x14ac:dyDescent="0.25">
      <c r="A1232" s="38"/>
      <c r="B1232" s="48" t="s">
        <v>569</v>
      </c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</row>
    <row r="1233" spans="1:19" ht="18.75" customHeight="1" x14ac:dyDescent="0.25">
      <c r="A1233" s="38"/>
      <c r="B1233" s="49" t="s">
        <v>666</v>
      </c>
      <c r="C1233" s="41" t="s">
        <v>955</v>
      </c>
      <c r="D1233" s="41"/>
      <c r="E1233" s="41"/>
      <c r="F1233" s="41"/>
      <c r="G1233" s="41"/>
      <c r="H1233" s="41"/>
      <c r="I1233" s="41"/>
      <c r="J1233" s="43" t="s">
        <v>34</v>
      </c>
      <c r="K1233" s="43" t="s">
        <v>821</v>
      </c>
      <c r="L1233" s="43"/>
      <c r="M1233" s="42" t="s">
        <v>423</v>
      </c>
      <c r="N1233" s="53" t="s">
        <v>514</v>
      </c>
      <c r="O1233" s="43" t="s">
        <v>17</v>
      </c>
      <c r="P1233" s="43" t="s">
        <v>13</v>
      </c>
      <c r="Q1233" s="43" t="s">
        <v>9</v>
      </c>
      <c r="R1233" s="43"/>
      <c r="S1233" s="51"/>
    </row>
    <row r="1234" spans="1:19" ht="18" customHeight="1" x14ac:dyDescent="0.25">
      <c r="A1234" s="38"/>
      <c r="B1234" s="49"/>
      <c r="C1234" s="31" t="s">
        <v>6</v>
      </c>
      <c r="D1234" s="27">
        <f>SUM(D1235:D1238)</f>
        <v>396</v>
      </c>
      <c r="E1234" s="23">
        <f t="shared" ref="E1234" si="293">SUM(E1235:E1238)</f>
        <v>396</v>
      </c>
      <c r="F1234" s="23"/>
      <c r="G1234" s="23"/>
      <c r="H1234" s="23"/>
      <c r="I1234" s="23"/>
      <c r="J1234" s="43"/>
      <c r="K1234" s="43"/>
      <c r="L1234" s="43"/>
      <c r="M1234" s="42"/>
      <c r="N1234" s="53"/>
      <c r="O1234" s="43"/>
      <c r="P1234" s="43"/>
      <c r="Q1234" s="43"/>
      <c r="R1234" s="43"/>
      <c r="S1234" s="51"/>
    </row>
    <row r="1235" spans="1:19" ht="18" customHeight="1" x14ac:dyDescent="0.25">
      <c r="A1235" s="38"/>
      <c r="B1235" s="49"/>
      <c r="C1235" s="31" t="s">
        <v>0</v>
      </c>
      <c r="D1235" s="27"/>
      <c r="E1235" s="23"/>
      <c r="F1235" s="23"/>
      <c r="G1235" s="23"/>
      <c r="H1235" s="23"/>
      <c r="I1235" s="23"/>
      <c r="J1235" s="43"/>
      <c r="K1235" s="43"/>
      <c r="L1235" s="43"/>
      <c r="M1235" s="42"/>
      <c r="N1235" s="53"/>
      <c r="O1235" s="43"/>
      <c r="P1235" s="43"/>
      <c r="Q1235" s="43"/>
      <c r="R1235" s="43"/>
      <c r="S1235" s="51"/>
    </row>
    <row r="1236" spans="1:19" ht="18" customHeight="1" x14ac:dyDescent="0.25">
      <c r="A1236" s="38"/>
      <c r="B1236" s="49"/>
      <c r="C1236" s="31" t="s">
        <v>1</v>
      </c>
      <c r="D1236" s="27">
        <f t="shared" ref="D1236" si="294">SUM(E1236:I1236)</f>
        <v>396</v>
      </c>
      <c r="E1236" s="23">
        <f>15000-14604</f>
        <v>396</v>
      </c>
      <c r="F1236" s="23"/>
      <c r="G1236" s="23"/>
      <c r="H1236" s="23"/>
      <c r="I1236" s="23"/>
      <c r="J1236" s="43"/>
      <c r="K1236" s="43"/>
      <c r="L1236" s="43"/>
      <c r="M1236" s="42"/>
      <c r="N1236" s="53"/>
      <c r="O1236" s="43"/>
      <c r="P1236" s="43"/>
      <c r="Q1236" s="43"/>
      <c r="R1236" s="43"/>
      <c r="S1236" s="51"/>
    </row>
    <row r="1237" spans="1:19" ht="18" customHeight="1" x14ac:dyDescent="0.25">
      <c r="A1237" s="38"/>
      <c r="B1237" s="49"/>
      <c r="C1237" s="31" t="s">
        <v>2</v>
      </c>
      <c r="D1237" s="27"/>
      <c r="E1237" s="23"/>
      <c r="F1237" s="23"/>
      <c r="G1237" s="23"/>
      <c r="H1237" s="23"/>
      <c r="I1237" s="23"/>
      <c r="J1237" s="43"/>
      <c r="K1237" s="43"/>
      <c r="L1237" s="43"/>
      <c r="M1237" s="42"/>
      <c r="N1237" s="53"/>
      <c r="O1237" s="43"/>
      <c r="P1237" s="43"/>
      <c r="Q1237" s="43"/>
      <c r="R1237" s="43"/>
      <c r="S1237" s="51"/>
    </row>
    <row r="1238" spans="1:19" ht="18" customHeight="1" x14ac:dyDescent="0.25">
      <c r="A1238" s="38"/>
      <c r="B1238" s="49"/>
      <c r="C1238" s="31" t="s">
        <v>3</v>
      </c>
      <c r="D1238" s="27"/>
      <c r="E1238" s="23"/>
      <c r="F1238" s="23"/>
      <c r="G1238" s="23"/>
      <c r="H1238" s="23"/>
      <c r="I1238" s="23"/>
      <c r="J1238" s="43"/>
      <c r="K1238" s="43"/>
      <c r="L1238" s="43"/>
      <c r="M1238" s="42"/>
      <c r="N1238" s="53"/>
      <c r="O1238" s="43"/>
      <c r="P1238" s="43"/>
      <c r="Q1238" s="43"/>
      <c r="R1238" s="43"/>
      <c r="S1238" s="51"/>
    </row>
    <row r="1239" spans="1:19" ht="18.75" customHeight="1" x14ac:dyDescent="0.25">
      <c r="A1239" s="37" t="s">
        <v>90</v>
      </c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</row>
    <row r="1240" spans="1:19" ht="21" customHeight="1" x14ac:dyDescent="0.25">
      <c r="A1240" s="38"/>
      <c r="B1240" s="48" t="s">
        <v>569</v>
      </c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</row>
    <row r="1241" spans="1:19" ht="18.75" customHeight="1" x14ac:dyDescent="0.25">
      <c r="A1241" s="38"/>
      <c r="B1241" s="49" t="s">
        <v>667</v>
      </c>
      <c r="C1241" s="68" t="s">
        <v>571</v>
      </c>
      <c r="D1241" s="69"/>
      <c r="E1241" s="69"/>
      <c r="F1241" s="69"/>
      <c r="G1241" s="69"/>
      <c r="H1241" s="69"/>
      <c r="I1241" s="70"/>
      <c r="J1241" s="43" t="s">
        <v>15</v>
      </c>
      <c r="K1241" s="43" t="s">
        <v>828</v>
      </c>
      <c r="L1241" s="43"/>
      <c r="M1241" s="43" t="s">
        <v>913</v>
      </c>
      <c r="N1241" s="53" t="s">
        <v>513</v>
      </c>
      <c r="O1241" s="43" t="s">
        <v>12</v>
      </c>
      <c r="P1241" s="43" t="s">
        <v>803</v>
      </c>
      <c r="Q1241" s="43" t="s">
        <v>44</v>
      </c>
      <c r="R1241" s="43"/>
      <c r="S1241" s="51"/>
    </row>
    <row r="1242" spans="1:19" ht="18" customHeight="1" x14ac:dyDescent="0.25">
      <c r="A1242" s="38"/>
      <c r="B1242" s="49"/>
      <c r="C1242" s="31" t="s">
        <v>6</v>
      </c>
      <c r="D1242" s="27">
        <f>SUM(D1243:D1246)</f>
        <v>26395</v>
      </c>
      <c r="E1242" s="23">
        <f t="shared" ref="E1242" si="295">SUM(E1243:E1246)</f>
        <v>26395</v>
      </c>
      <c r="F1242" s="23"/>
      <c r="G1242" s="23"/>
      <c r="H1242" s="23"/>
      <c r="I1242" s="23"/>
      <c r="J1242" s="43"/>
      <c r="K1242" s="43"/>
      <c r="L1242" s="43"/>
      <c r="M1242" s="43"/>
      <c r="N1242" s="53"/>
      <c r="O1242" s="43"/>
      <c r="P1242" s="43"/>
      <c r="Q1242" s="43"/>
      <c r="R1242" s="43"/>
      <c r="S1242" s="51"/>
    </row>
    <row r="1243" spans="1:19" ht="18" customHeight="1" x14ac:dyDescent="0.25">
      <c r="A1243" s="38"/>
      <c r="B1243" s="49"/>
      <c r="C1243" s="31" t="s">
        <v>0</v>
      </c>
      <c r="D1243" s="27"/>
      <c r="E1243" s="23"/>
      <c r="F1243" s="23"/>
      <c r="G1243" s="23"/>
      <c r="H1243" s="23"/>
      <c r="I1243" s="23"/>
      <c r="J1243" s="43"/>
      <c r="K1243" s="43"/>
      <c r="L1243" s="43"/>
      <c r="M1243" s="43"/>
      <c r="N1243" s="53"/>
      <c r="O1243" s="43"/>
      <c r="P1243" s="43"/>
      <c r="Q1243" s="43"/>
      <c r="R1243" s="43"/>
      <c r="S1243" s="51"/>
    </row>
    <row r="1244" spans="1:19" ht="18" customHeight="1" x14ac:dyDescent="0.25">
      <c r="A1244" s="38"/>
      <c r="B1244" s="49"/>
      <c r="C1244" s="31" t="s">
        <v>1</v>
      </c>
      <c r="D1244" s="27">
        <f t="shared" ref="D1244" si="296">SUM(E1244:I1244)</f>
        <v>26395</v>
      </c>
      <c r="E1244" s="23">
        <f>9000+17395</f>
        <v>26395</v>
      </c>
      <c r="F1244" s="23"/>
      <c r="G1244" s="23"/>
      <c r="H1244" s="23"/>
      <c r="I1244" s="23"/>
      <c r="J1244" s="43"/>
      <c r="K1244" s="43"/>
      <c r="L1244" s="43"/>
      <c r="M1244" s="43"/>
      <c r="N1244" s="53"/>
      <c r="O1244" s="43"/>
      <c r="P1244" s="43"/>
      <c r="Q1244" s="43"/>
      <c r="R1244" s="43"/>
      <c r="S1244" s="51"/>
    </row>
    <row r="1245" spans="1:19" ht="18" customHeight="1" x14ac:dyDescent="0.25">
      <c r="A1245" s="38"/>
      <c r="B1245" s="49"/>
      <c r="C1245" s="31" t="s">
        <v>2</v>
      </c>
      <c r="D1245" s="27"/>
      <c r="E1245" s="23"/>
      <c r="F1245" s="23"/>
      <c r="G1245" s="23"/>
      <c r="H1245" s="23"/>
      <c r="I1245" s="23"/>
      <c r="J1245" s="43"/>
      <c r="K1245" s="43"/>
      <c r="L1245" s="43"/>
      <c r="M1245" s="43"/>
      <c r="N1245" s="53"/>
      <c r="O1245" s="43"/>
      <c r="P1245" s="43"/>
      <c r="Q1245" s="43"/>
      <c r="R1245" s="43"/>
      <c r="S1245" s="51"/>
    </row>
    <row r="1246" spans="1:19" ht="18" customHeight="1" x14ac:dyDescent="0.25">
      <c r="A1246" s="38"/>
      <c r="B1246" s="49"/>
      <c r="C1246" s="31" t="s">
        <v>3</v>
      </c>
      <c r="D1246" s="27"/>
      <c r="E1246" s="23"/>
      <c r="F1246" s="23"/>
      <c r="G1246" s="23"/>
      <c r="H1246" s="23"/>
      <c r="I1246" s="23"/>
      <c r="J1246" s="43"/>
      <c r="K1246" s="43"/>
      <c r="L1246" s="43"/>
      <c r="M1246" s="43"/>
      <c r="N1246" s="53"/>
      <c r="O1246" s="43"/>
      <c r="P1246" s="43"/>
      <c r="Q1246" s="43"/>
      <c r="R1246" s="43"/>
      <c r="S1246" s="51"/>
    </row>
    <row r="1247" spans="1:19" ht="18.75" customHeight="1" x14ac:dyDescent="0.25">
      <c r="A1247" s="37" t="s">
        <v>90</v>
      </c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</row>
    <row r="1248" spans="1:19" ht="22.5" customHeight="1" x14ac:dyDescent="0.25">
      <c r="A1248" s="38"/>
      <c r="B1248" s="48" t="s">
        <v>569</v>
      </c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</row>
    <row r="1249" spans="1:19" ht="30" customHeight="1" x14ac:dyDescent="0.25">
      <c r="A1249" s="38"/>
      <c r="B1249" s="49" t="s">
        <v>668</v>
      </c>
      <c r="C1249" s="50" t="s">
        <v>92</v>
      </c>
      <c r="D1249" s="50"/>
      <c r="E1249" s="50"/>
      <c r="F1249" s="50"/>
      <c r="G1249" s="50"/>
      <c r="H1249" s="50"/>
      <c r="I1249" s="50"/>
      <c r="J1249" s="43" t="s">
        <v>15</v>
      </c>
      <c r="K1249" s="43" t="s">
        <v>830</v>
      </c>
      <c r="L1249" s="43"/>
      <c r="M1249" s="43" t="s">
        <v>508</v>
      </c>
      <c r="N1249" s="53" t="s">
        <v>514</v>
      </c>
      <c r="O1249" s="43" t="s">
        <v>17</v>
      </c>
      <c r="P1249" s="43" t="s">
        <v>13</v>
      </c>
      <c r="Q1249" s="43" t="s">
        <v>44</v>
      </c>
      <c r="R1249" s="43"/>
      <c r="S1249" s="51"/>
    </row>
    <row r="1250" spans="1:19" ht="29.25" customHeight="1" x14ac:dyDescent="0.25">
      <c r="A1250" s="38"/>
      <c r="B1250" s="49"/>
      <c r="C1250" s="31" t="s">
        <v>6</v>
      </c>
      <c r="D1250" s="27">
        <f>SUM(D1251:D1254)</f>
        <v>2000</v>
      </c>
      <c r="E1250" s="23">
        <f t="shared" ref="E1250" si="297">SUM(E1251:E1254)</f>
        <v>2000</v>
      </c>
      <c r="F1250" s="23"/>
      <c r="G1250" s="23"/>
      <c r="H1250" s="23"/>
      <c r="I1250" s="23"/>
      <c r="J1250" s="43"/>
      <c r="K1250" s="43"/>
      <c r="L1250" s="43"/>
      <c r="M1250" s="43"/>
      <c r="N1250" s="53"/>
      <c r="O1250" s="43"/>
      <c r="P1250" s="43"/>
      <c r="Q1250" s="43"/>
      <c r="R1250" s="43"/>
      <c r="S1250" s="51"/>
    </row>
    <row r="1251" spans="1:19" ht="18" customHeight="1" x14ac:dyDescent="0.25">
      <c r="A1251" s="38"/>
      <c r="B1251" s="49"/>
      <c r="C1251" s="31" t="s">
        <v>0</v>
      </c>
      <c r="D1251" s="27"/>
      <c r="E1251" s="23"/>
      <c r="F1251" s="23"/>
      <c r="G1251" s="23"/>
      <c r="H1251" s="23"/>
      <c r="I1251" s="23"/>
      <c r="J1251" s="43"/>
      <c r="K1251" s="43"/>
      <c r="L1251" s="43"/>
      <c r="M1251" s="43"/>
      <c r="N1251" s="53"/>
      <c r="O1251" s="43"/>
      <c r="P1251" s="43"/>
      <c r="Q1251" s="43"/>
      <c r="R1251" s="43"/>
      <c r="S1251" s="51"/>
    </row>
    <row r="1252" spans="1:19" ht="18" customHeight="1" x14ac:dyDescent="0.25">
      <c r="A1252" s="38"/>
      <c r="B1252" s="49"/>
      <c r="C1252" s="31" t="s">
        <v>1</v>
      </c>
      <c r="D1252" s="27">
        <f t="shared" ref="D1252" si="298">SUM(E1252:I1252)</f>
        <v>2000</v>
      </c>
      <c r="E1252" s="23">
        <v>2000</v>
      </c>
      <c r="F1252" s="23"/>
      <c r="G1252" s="23"/>
      <c r="H1252" s="23"/>
      <c r="I1252" s="23"/>
      <c r="J1252" s="43"/>
      <c r="K1252" s="43"/>
      <c r="L1252" s="43"/>
      <c r="M1252" s="43"/>
      <c r="N1252" s="53"/>
      <c r="O1252" s="43"/>
      <c r="P1252" s="43"/>
      <c r="Q1252" s="43"/>
      <c r="R1252" s="43"/>
      <c r="S1252" s="51"/>
    </row>
    <row r="1253" spans="1:19" ht="18" customHeight="1" x14ac:dyDescent="0.25">
      <c r="A1253" s="38"/>
      <c r="B1253" s="49"/>
      <c r="C1253" s="31" t="s">
        <v>2</v>
      </c>
      <c r="D1253" s="27"/>
      <c r="E1253" s="23"/>
      <c r="F1253" s="23"/>
      <c r="G1253" s="23"/>
      <c r="H1253" s="23"/>
      <c r="I1253" s="23"/>
      <c r="J1253" s="43"/>
      <c r="K1253" s="43"/>
      <c r="L1253" s="43"/>
      <c r="M1253" s="43"/>
      <c r="N1253" s="53"/>
      <c r="O1253" s="43"/>
      <c r="P1253" s="43"/>
      <c r="Q1253" s="43"/>
      <c r="R1253" s="43"/>
      <c r="S1253" s="51"/>
    </row>
    <row r="1254" spans="1:19" ht="18" customHeight="1" x14ac:dyDescent="0.25">
      <c r="A1254" s="38"/>
      <c r="B1254" s="49"/>
      <c r="C1254" s="31" t="s">
        <v>3</v>
      </c>
      <c r="D1254" s="27"/>
      <c r="E1254" s="23"/>
      <c r="F1254" s="23"/>
      <c r="G1254" s="23"/>
      <c r="H1254" s="23"/>
      <c r="I1254" s="23"/>
      <c r="J1254" s="43"/>
      <c r="K1254" s="43"/>
      <c r="L1254" s="43"/>
      <c r="M1254" s="43"/>
      <c r="N1254" s="53"/>
      <c r="O1254" s="43"/>
      <c r="P1254" s="43"/>
      <c r="Q1254" s="43"/>
      <c r="R1254" s="43"/>
      <c r="S1254" s="51"/>
    </row>
    <row r="1255" spans="1:19" ht="18.75" customHeight="1" x14ac:dyDescent="0.25">
      <c r="A1255" s="37" t="s">
        <v>90</v>
      </c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</row>
    <row r="1256" spans="1:19" ht="21" customHeight="1" x14ac:dyDescent="0.25">
      <c r="A1256" s="38"/>
      <c r="B1256" s="48" t="s">
        <v>569</v>
      </c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</row>
    <row r="1257" spans="1:19" ht="46.5" customHeight="1" x14ac:dyDescent="0.25">
      <c r="A1257" s="38"/>
      <c r="B1257" s="49" t="s">
        <v>669</v>
      </c>
      <c r="C1257" s="50" t="s">
        <v>516</v>
      </c>
      <c r="D1257" s="50"/>
      <c r="E1257" s="50"/>
      <c r="F1257" s="50"/>
      <c r="G1257" s="50"/>
      <c r="H1257" s="50"/>
      <c r="I1257" s="50"/>
      <c r="J1257" s="43" t="s">
        <v>15</v>
      </c>
      <c r="K1257" s="43" t="s">
        <v>830</v>
      </c>
      <c r="L1257" s="43"/>
      <c r="M1257" s="43" t="s">
        <v>517</v>
      </c>
      <c r="N1257" s="53" t="s">
        <v>518</v>
      </c>
      <c r="O1257" s="43" t="s">
        <v>17</v>
      </c>
      <c r="P1257" s="43" t="s">
        <v>13</v>
      </c>
      <c r="Q1257" s="43" t="s">
        <v>9</v>
      </c>
      <c r="R1257" s="43"/>
      <c r="S1257" s="51"/>
    </row>
    <row r="1258" spans="1:19" ht="27.75" customHeight="1" x14ac:dyDescent="0.25">
      <c r="A1258" s="38"/>
      <c r="B1258" s="49"/>
      <c r="C1258" s="31" t="s">
        <v>6</v>
      </c>
      <c r="D1258" s="27">
        <f>SUM(D1259:D1262)</f>
        <v>116228.79000000001</v>
      </c>
      <c r="E1258" s="23">
        <f t="shared" ref="E1258" si="299">SUM(E1259:E1262)</f>
        <v>116228.79000000001</v>
      </c>
      <c r="F1258" s="23"/>
      <c r="G1258" s="23"/>
      <c r="H1258" s="23"/>
      <c r="I1258" s="23"/>
      <c r="J1258" s="43"/>
      <c r="K1258" s="43"/>
      <c r="L1258" s="43"/>
      <c r="M1258" s="43"/>
      <c r="N1258" s="53"/>
      <c r="O1258" s="43"/>
      <c r="P1258" s="43"/>
      <c r="Q1258" s="43"/>
      <c r="R1258" s="43"/>
      <c r="S1258" s="51"/>
    </row>
    <row r="1259" spans="1:19" ht="18" customHeight="1" x14ac:dyDescent="0.25">
      <c r="A1259" s="38"/>
      <c r="B1259" s="49"/>
      <c r="C1259" s="31" t="s">
        <v>0</v>
      </c>
      <c r="D1259" s="27"/>
      <c r="E1259" s="23"/>
      <c r="F1259" s="23"/>
      <c r="G1259" s="23"/>
      <c r="H1259" s="23"/>
      <c r="I1259" s="23"/>
      <c r="J1259" s="43"/>
      <c r="K1259" s="43"/>
      <c r="L1259" s="43"/>
      <c r="M1259" s="43"/>
      <c r="N1259" s="53"/>
      <c r="O1259" s="43"/>
      <c r="P1259" s="43"/>
      <c r="Q1259" s="43"/>
      <c r="R1259" s="43"/>
      <c r="S1259" s="51"/>
    </row>
    <row r="1260" spans="1:19" ht="18" customHeight="1" x14ac:dyDescent="0.25">
      <c r="A1260" s="38"/>
      <c r="B1260" s="49"/>
      <c r="C1260" s="31" t="s">
        <v>1</v>
      </c>
      <c r="D1260" s="27">
        <f t="shared" ref="D1260" si="300">SUM(E1260:I1260)</f>
        <v>116228.79000000001</v>
      </c>
      <c r="E1260" s="23">
        <f>154492.636-38263.846</f>
        <v>116228.79000000001</v>
      </c>
      <c r="F1260" s="23"/>
      <c r="G1260" s="23"/>
      <c r="H1260" s="23"/>
      <c r="I1260" s="23"/>
      <c r="J1260" s="43"/>
      <c r="K1260" s="43"/>
      <c r="L1260" s="43"/>
      <c r="M1260" s="43"/>
      <c r="N1260" s="53"/>
      <c r="O1260" s="43"/>
      <c r="P1260" s="43"/>
      <c r="Q1260" s="43"/>
      <c r="R1260" s="43"/>
      <c r="S1260" s="51"/>
    </row>
    <row r="1261" spans="1:19" ht="18" customHeight="1" x14ac:dyDescent="0.25">
      <c r="A1261" s="38"/>
      <c r="B1261" s="49"/>
      <c r="C1261" s="31" t="s">
        <v>2</v>
      </c>
      <c r="D1261" s="27"/>
      <c r="E1261" s="23"/>
      <c r="F1261" s="23"/>
      <c r="G1261" s="23"/>
      <c r="H1261" s="23"/>
      <c r="I1261" s="23"/>
      <c r="J1261" s="43"/>
      <c r="K1261" s="43"/>
      <c r="L1261" s="43"/>
      <c r="M1261" s="43"/>
      <c r="N1261" s="53"/>
      <c r="O1261" s="43"/>
      <c r="P1261" s="43"/>
      <c r="Q1261" s="43"/>
      <c r="R1261" s="43"/>
      <c r="S1261" s="51"/>
    </row>
    <row r="1262" spans="1:19" ht="18" customHeight="1" x14ac:dyDescent="0.25">
      <c r="A1262" s="38"/>
      <c r="B1262" s="49"/>
      <c r="C1262" s="31" t="s">
        <v>3</v>
      </c>
      <c r="D1262" s="27"/>
      <c r="E1262" s="23"/>
      <c r="F1262" s="23"/>
      <c r="G1262" s="23"/>
      <c r="H1262" s="23"/>
      <c r="I1262" s="23"/>
      <c r="J1262" s="43"/>
      <c r="K1262" s="43"/>
      <c r="L1262" s="43"/>
      <c r="M1262" s="43"/>
      <c r="N1262" s="53"/>
      <c r="O1262" s="43"/>
      <c r="P1262" s="43"/>
      <c r="Q1262" s="43"/>
      <c r="R1262" s="43"/>
      <c r="S1262" s="51"/>
    </row>
    <row r="1263" spans="1:19" ht="18.75" customHeight="1" x14ac:dyDescent="0.25">
      <c r="A1263" s="37" t="s">
        <v>90</v>
      </c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</row>
    <row r="1264" spans="1:19" ht="21" customHeight="1" x14ac:dyDescent="0.25">
      <c r="A1264" s="38"/>
      <c r="B1264" s="48" t="s">
        <v>569</v>
      </c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</row>
    <row r="1265" spans="1:19" ht="18.75" customHeight="1" x14ac:dyDescent="0.25">
      <c r="A1265" s="38"/>
      <c r="B1265" s="49" t="s">
        <v>670</v>
      </c>
      <c r="C1265" s="50" t="s">
        <v>570</v>
      </c>
      <c r="D1265" s="50"/>
      <c r="E1265" s="50"/>
      <c r="F1265" s="50"/>
      <c r="G1265" s="50"/>
      <c r="H1265" s="50"/>
      <c r="I1265" s="50"/>
      <c r="J1265" s="43" t="s">
        <v>15</v>
      </c>
      <c r="K1265" s="43" t="s">
        <v>828</v>
      </c>
      <c r="L1265" s="43" t="s">
        <v>520</v>
      </c>
      <c r="M1265" s="43" t="s">
        <v>913</v>
      </c>
      <c r="N1265" s="53" t="s">
        <v>519</v>
      </c>
      <c r="O1265" s="43" t="s">
        <v>12</v>
      </c>
      <c r="P1265" s="43" t="s">
        <v>803</v>
      </c>
      <c r="Q1265" s="43" t="s">
        <v>44</v>
      </c>
      <c r="R1265" s="43"/>
      <c r="S1265" s="51"/>
    </row>
    <row r="1266" spans="1:19" ht="18" customHeight="1" x14ac:dyDescent="0.25">
      <c r="A1266" s="38"/>
      <c r="B1266" s="49"/>
      <c r="C1266" s="31" t="s">
        <v>6</v>
      </c>
      <c r="D1266" s="27">
        <f>SUM(D1267:D1270)</f>
        <v>2777.8144799999991</v>
      </c>
      <c r="E1266" s="23">
        <f t="shared" ref="E1266" si="301">SUM(E1267:E1270)</f>
        <v>2777.8144799999991</v>
      </c>
      <c r="F1266" s="23"/>
      <c r="G1266" s="23"/>
      <c r="H1266" s="23"/>
      <c r="I1266" s="23"/>
      <c r="J1266" s="43"/>
      <c r="K1266" s="43"/>
      <c r="L1266" s="43"/>
      <c r="M1266" s="43"/>
      <c r="N1266" s="53"/>
      <c r="O1266" s="43"/>
      <c r="P1266" s="43"/>
      <c r="Q1266" s="43"/>
      <c r="R1266" s="43"/>
      <c r="S1266" s="51"/>
    </row>
    <row r="1267" spans="1:19" ht="18" customHeight="1" x14ac:dyDescent="0.25">
      <c r="A1267" s="38"/>
      <c r="B1267" s="49"/>
      <c r="C1267" s="31" t="s">
        <v>0</v>
      </c>
      <c r="D1267" s="27"/>
      <c r="E1267" s="23"/>
      <c r="F1267" s="23"/>
      <c r="G1267" s="23"/>
      <c r="H1267" s="23"/>
      <c r="I1267" s="23"/>
      <c r="J1267" s="43"/>
      <c r="K1267" s="43"/>
      <c r="L1267" s="43"/>
      <c r="M1267" s="43"/>
      <c r="N1267" s="53"/>
      <c r="O1267" s="43"/>
      <c r="P1267" s="43"/>
      <c r="Q1267" s="43"/>
      <c r="R1267" s="43"/>
      <c r="S1267" s="51"/>
    </row>
    <row r="1268" spans="1:19" ht="18" customHeight="1" x14ac:dyDescent="0.25">
      <c r="A1268" s="38"/>
      <c r="B1268" s="49"/>
      <c r="C1268" s="31" t="s">
        <v>1</v>
      </c>
      <c r="D1268" s="27">
        <f t="shared" ref="D1268" si="302">SUM(E1268:I1268)</f>
        <v>2777.8144799999991</v>
      </c>
      <c r="E1268" s="23">
        <f>9757.81448-980-6000</f>
        <v>2777.8144799999991</v>
      </c>
      <c r="F1268" s="23"/>
      <c r="G1268" s="23"/>
      <c r="H1268" s="23"/>
      <c r="I1268" s="23"/>
      <c r="J1268" s="43"/>
      <c r="K1268" s="43"/>
      <c r="L1268" s="43"/>
      <c r="M1268" s="43"/>
      <c r="N1268" s="53"/>
      <c r="O1268" s="43"/>
      <c r="P1268" s="43"/>
      <c r="Q1268" s="43"/>
      <c r="R1268" s="43"/>
      <c r="S1268" s="51"/>
    </row>
    <row r="1269" spans="1:19" ht="18" customHeight="1" x14ac:dyDescent="0.25">
      <c r="A1269" s="38"/>
      <c r="B1269" s="49"/>
      <c r="C1269" s="31" t="s">
        <v>2</v>
      </c>
      <c r="D1269" s="27"/>
      <c r="E1269" s="23"/>
      <c r="F1269" s="23"/>
      <c r="G1269" s="23"/>
      <c r="H1269" s="23"/>
      <c r="I1269" s="23"/>
      <c r="J1269" s="43"/>
      <c r="K1269" s="43"/>
      <c r="L1269" s="43"/>
      <c r="M1269" s="43"/>
      <c r="N1269" s="53"/>
      <c r="O1269" s="43"/>
      <c r="P1269" s="43"/>
      <c r="Q1269" s="43"/>
      <c r="R1269" s="43"/>
      <c r="S1269" s="51"/>
    </row>
    <row r="1270" spans="1:19" ht="18" customHeight="1" x14ac:dyDescent="0.25">
      <c r="A1270" s="38"/>
      <c r="B1270" s="49"/>
      <c r="C1270" s="31" t="s">
        <v>3</v>
      </c>
      <c r="D1270" s="27"/>
      <c r="E1270" s="23"/>
      <c r="F1270" s="23"/>
      <c r="G1270" s="23"/>
      <c r="H1270" s="23"/>
      <c r="I1270" s="23"/>
      <c r="J1270" s="43"/>
      <c r="K1270" s="43"/>
      <c r="L1270" s="43"/>
      <c r="M1270" s="43"/>
      <c r="N1270" s="53"/>
      <c r="O1270" s="43"/>
      <c r="P1270" s="43"/>
      <c r="Q1270" s="43"/>
      <c r="R1270" s="43"/>
      <c r="S1270" s="51"/>
    </row>
    <row r="1271" spans="1:19" ht="18.75" customHeight="1" x14ac:dyDescent="0.25">
      <c r="A1271" s="37" t="s">
        <v>90</v>
      </c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</row>
    <row r="1272" spans="1:19" ht="21" customHeight="1" x14ac:dyDescent="0.25">
      <c r="A1272" s="38"/>
      <c r="B1272" s="48" t="s">
        <v>569</v>
      </c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</row>
    <row r="1273" spans="1:19" ht="18.75" customHeight="1" x14ac:dyDescent="0.25">
      <c r="A1273" s="38"/>
      <c r="B1273" s="49" t="s">
        <v>671</v>
      </c>
      <c r="C1273" s="50" t="s">
        <v>568</v>
      </c>
      <c r="D1273" s="50"/>
      <c r="E1273" s="50"/>
      <c r="F1273" s="50"/>
      <c r="G1273" s="50"/>
      <c r="H1273" s="50"/>
      <c r="I1273" s="50"/>
      <c r="J1273" s="43" t="s">
        <v>15</v>
      </c>
      <c r="K1273" s="43" t="s">
        <v>828</v>
      </c>
      <c r="L1273" s="43"/>
      <c r="M1273" s="43" t="s">
        <v>444</v>
      </c>
      <c r="N1273" s="53" t="s">
        <v>521</v>
      </c>
      <c r="O1273" s="43" t="s">
        <v>12</v>
      </c>
      <c r="P1273" s="43" t="s">
        <v>803</v>
      </c>
      <c r="Q1273" s="43" t="s">
        <v>44</v>
      </c>
      <c r="R1273" s="43"/>
      <c r="S1273" s="51"/>
    </row>
    <row r="1274" spans="1:19" ht="18" customHeight="1" x14ac:dyDescent="0.25">
      <c r="A1274" s="38"/>
      <c r="B1274" s="49"/>
      <c r="C1274" s="31" t="s">
        <v>6</v>
      </c>
      <c r="D1274" s="27">
        <f>SUM(D1275:D1278)</f>
        <v>980</v>
      </c>
      <c r="E1274" s="23">
        <f t="shared" ref="E1274" si="303">SUM(E1275:E1278)</f>
        <v>980</v>
      </c>
      <c r="F1274" s="23"/>
      <c r="G1274" s="23"/>
      <c r="H1274" s="23"/>
      <c r="I1274" s="23"/>
      <c r="J1274" s="43"/>
      <c r="K1274" s="43"/>
      <c r="L1274" s="43"/>
      <c r="M1274" s="43"/>
      <c r="N1274" s="53"/>
      <c r="O1274" s="43"/>
      <c r="P1274" s="43"/>
      <c r="Q1274" s="43"/>
      <c r="R1274" s="43"/>
      <c r="S1274" s="51"/>
    </row>
    <row r="1275" spans="1:19" ht="18" customHeight="1" x14ac:dyDescent="0.25">
      <c r="A1275" s="38"/>
      <c r="B1275" s="49"/>
      <c r="C1275" s="31" t="s">
        <v>0</v>
      </c>
      <c r="D1275" s="27"/>
      <c r="E1275" s="23"/>
      <c r="F1275" s="23"/>
      <c r="G1275" s="23"/>
      <c r="H1275" s="23"/>
      <c r="I1275" s="23"/>
      <c r="J1275" s="43"/>
      <c r="K1275" s="43"/>
      <c r="L1275" s="43"/>
      <c r="M1275" s="43"/>
      <c r="N1275" s="53"/>
      <c r="O1275" s="43"/>
      <c r="P1275" s="43"/>
      <c r="Q1275" s="43"/>
      <c r="R1275" s="43"/>
      <c r="S1275" s="51"/>
    </row>
    <row r="1276" spans="1:19" ht="18" customHeight="1" x14ac:dyDescent="0.25">
      <c r="A1276" s="38"/>
      <c r="B1276" s="49"/>
      <c r="C1276" s="31" t="s">
        <v>1</v>
      </c>
      <c r="D1276" s="27">
        <f t="shared" ref="D1276" si="304">SUM(E1276:I1276)</f>
        <v>980</v>
      </c>
      <c r="E1276" s="23">
        <f>9700+980-9700</f>
        <v>980</v>
      </c>
      <c r="F1276" s="23"/>
      <c r="G1276" s="23"/>
      <c r="H1276" s="23"/>
      <c r="I1276" s="23"/>
      <c r="J1276" s="43"/>
      <c r="K1276" s="43"/>
      <c r="L1276" s="43"/>
      <c r="M1276" s="43"/>
      <c r="N1276" s="53"/>
      <c r="O1276" s="43"/>
      <c r="P1276" s="43"/>
      <c r="Q1276" s="43"/>
      <c r="R1276" s="43"/>
      <c r="S1276" s="51"/>
    </row>
    <row r="1277" spans="1:19" ht="18" customHeight="1" x14ac:dyDescent="0.25">
      <c r="A1277" s="38"/>
      <c r="B1277" s="49"/>
      <c r="C1277" s="31" t="s">
        <v>2</v>
      </c>
      <c r="D1277" s="27"/>
      <c r="E1277" s="23"/>
      <c r="F1277" s="23"/>
      <c r="G1277" s="23"/>
      <c r="H1277" s="23"/>
      <c r="I1277" s="23"/>
      <c r="J1277" s="43"/>
      <c r="K1277" s="43"/>
      <c r="L1277" s="43"/>
      <c r="M1277" s="43"/>
      <c r="N1277" s="53"/>
      <c r="O1277" s="43"/>
      <c r="P1277" s="43"/>
      <c r="Q1277" s="43"/>
      <c r="R1277" s="43"/>
      <c r="S1277" s="51"/>
    </row>
    <row r="1278" spans="1:19" ht="18" customHeight="1" x14ac:dyDescent="0.25">
      <c r="A1278" s="38"/>
      <c r="B1278" s="49"/>
      <c r="C1278" s="31" t="s">
        <v>3</v>
      </c>
      <c r="D1278" s="27"/>
      <c r="E1278" s="23"/>
      <c r="F1278" s="23"/>
      <c r="G1278" s="23"/>
      <c r="H1278" s="23"/>
      <c r="I1278" s="23"/>
      <c r="J1278" s="43"/>
      <c r="K1278" s="43"/>
      <c r="L1278" s="43"/>
      <c r="M1278" s="43"/>
      <c r="N1278" s="53"/>
      <c r="O1278" s="43"/>
      <c r="P1278" s="43"/>
      <c r="Q1278" s="43"/>
      <c r="R1278" s="43"/>
      <c r="S1278" s="51"/>
    </row>
    <row r="1279" spans="1:19" ht="18.75" customHeight="1" x14ac:dyDescent="0.25">
      <c r="A1279" s="37" t="s">
        <v>90</v>
      </c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</row>
    <row r="1280" spans="1:19" ht="21" customHeight="1" x14ac:dyDescent="0.25">
      <c r="A1280" s="38"/>
      <c r="B1280" s="39" t="s">
        <v>567</v>
      </c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</row>
    <row r="1281" spans="1:19" ht="33.75" customHeight="1" x14ac:dyDescent="0.25">
      <c r="A1281" s="38"/>
      <c r="B1281" s="40" t="s">
        <v>970</v>
      </c>
      <c r="C1281" s="41" t="s">
        <v>971</v>
      </c>
      <c r="D1281" s="41"/>
      <c r="E1281" s="41"/>
      <c r="F1281" s="41"/>
      <c r="G1281" s="41"/>
      <c r="H1281" s="41"/>
      <c r="I1281" s="41"/>
      <c r="J1281" s="42" t="s">
        <v>973</v>
      </c>
      <c r="K1281" s="42" t="s">
        <v>830</v>
      </c>
      <c r="L1281" s="42" t="s">
        <v>974</v>
      </c>
      <c r="M1281" s="42" t="s">
        <v>517</v>
      </c>
      <c r="N1281" s="44" t="s">
        <v>975</v>
      </c>
      <c r="O1281" s="42" t="s">
        <v>17</v>
      </c>
      <c r="P1281" s="42" t="s">
        <v>18</v>
      </c>
      <c r="Q1281" s="42" t="s">
        <v>44</v>
      </c>
      <c r="R1281" s="42"/>
      <c r="S1281" s="45"/>
    </row>
    <row r="1282" spans="1:19" ht="18" customHeight="1" x14ac:dyDescent="0.25">
      <c r="A1282" s="38"/>
      <c r="B1282" s="40"/>
      <c r="C1282" s="30" t="s">
        <v>6</v>
      </c>
      <c r="D1282" s="29">
        <f>SUM(D1283:D1286)</f>
        <v>500</v>
      </c>
      <c r="E1282" s="25">
        <f t="shared" ref="E1282" si="305">SUM(E1283:E1286)</f>
        <v>500</v>
      </c>
      <c r="F1282" s="25"/>
      <c r="G1282" s="25"/>
      <c r="H1282" s="25"/>
      <c r="I1282" s="25"/>
      <c r="J1282" s="42"/>
      <c r="K1282" s="42"/>
      <c r="L1282" s="42"/>
      <c r="M1282" s="42"/>
      <c r="N1282" s="44"/>
      <c r="O1282" s="42"/>
      <c r="P1282" s="42"/>
      <c r="Q1282" s="42"/>
      <c r="R1282" s="42"/>
      <c r="S1282" s="45"/>
    </row>
    <row r="1283" spans="1:19" ht="18" customHeight="1" x14ac:dyDescent="0.25">
      <c r="A1283" s="38"/>
      <c r="B1283" s="40"/>
      <c r="C1283" s="30" t="s">
        <v>0</v>
      </c>
      <c r="D1283" s="29"/>
      <c r="E1283" s="25"/>
      <c r="F1283" s="25"/>
      <c r="G1283" s="25"/>
      <c r="H1283" s="25"/>
      <c r="I1283" s="25"/>
      <c r="J1283" s="42"/>
      <c r="K1283" s="42"/>
      <c r="L1283" s="42"/>
      <c r="M1283" s="42"/>
      <c r="N1283" s="44"/>
      <c r="O1283" s="42"/>
      <c r="P1283" s="42"/>
      <c r="Q1283" s="42"/>
      <c r="R1283" s="42"/>
      <c r="S1283" s="45"/>
    </row>
    <row r="1284" spans="1:19" ht="18" customHeight="1" x14ac:dyDescent="0.25">
      <c r="A1284" s="38"/>
      <c r="B1284" s="40"/>
      <c r="C1284" s="30" t="s">
        <v>1</v>
      </c>
      <c r="D1284" s="29">
        <f t="shared" ref="D1284" si="306">SUM(E1284:I1284)</f>
        <v>500</v>
      </c>
      <c r="E1284" s="25">
        <v>500</v>
      </c>
      <c r="F1284" s="25"/>
      <c r="G1284" s="25"/>
      <c r="H1284" s="25"/>
      <c r="I1284" s="25"/>
      <c r="J1284" s="42"/>
      <c r="K1284" s="42"/>
      <c r="L1284" s="42"/>
      <c r="M1284" s="42"/>
      <c r="N1284" s="44"/>
      <c r="O1284" s="42"/>
      <c r="P1284" s="42"/>
      <c r="Q1284" s="42"/>
      <c r="R1284" s="42"/>
      <c r="S1284" s="45"/>
    </row>
    <row r="1285" spans="1:19" ht="18" customHeight="1" x14ac:dyDescent="0.25">
      <c r="A1285" s="38"/>
      <c r="B1285" s="40"/>
      <c r="C1285" s="30" t="s">
        <v>2</v>
      </c>
      <c r="D1285" s="29"/>
      <c r="E1285" s="25"/>
      <c r="F1285" s="25"/>
      <c r="G1285" s="25"/>
      <c r="H1285" s="25"/>
      <c r="I1285" s="25"/>
      <c r="J1285" s="42"/>
      <c r="K1285" s="42"/>
      <c r="L1285" s="42"/>
      <c r="M1285" s="42"/>
      <c r="N1285" s="44"/>
      <c r="O1285" s="42"/>
      <c r="P1285" s="42"/>
      <c r="Q1285" s="42"/>
      <c r="R1285" s="42"/>
      <c r="S1285" s="45"/>
    </row>
    <row r="1286" spans="1:19" ht="18" customHeight="1" x14ac:dyDescent="0.25">
      <c r="A1286" s="38"/>
      <c r="B1286" s="40"/>
      <c r="C1286" s="30" t="s">
        <v>3</v>
      </c>
      <c r="D1286" s="29"/>
      <c r="E1286" s="25"/>
      <c r="F1286" s="25"/>
      <c r="G1286" s="25"/>
      <c r="H1286" s="25"/>
      <c r="I1286" s="25"/>
      <c r="J1286" s="42"/>
      <c r="K1286" s="42"/>
      <c r="L1286" s="42"/>
      <c r="M1286" s="42"/>
      <c r="N1286" s="44"/>
      <c r="O1286" s="42"/>
      <c r="P1286" s="42"/>
      <c r="Q1286" s="42"/>
      <c r="R1286" s="42"/>
      <c r="S1286" s="45"/>
    </row>
    <row r="1287" spans="1:19" ht="18.75" customHeight="1" x14ac:dyDescent="0.25">
      <c r="A1287" s="37" t="s">
        <v>90</v>
      </c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</row>
    <row r="1288" spans="1:19" ht="21" customHeight="1" x14ac:dyDescent="0.25">
      <c r="A1288" s="38"/>
      <c r="B1288" s="39" t="s">
        <v>569</v>
      </c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</row>
    <row r="1289" spans="1:19" ht="27" customHeight="1" x14ac:dyDescent="0.25">
      <c r="A1289" s="38"/>
      <c r="B1289" s="40" t="s">
        <v>1045</v>
      </c>
      <c r="C1289" s="41" t="s">
        <v>1046</v>
      </c>
      <c r="D1289" s="41"/>
      <c r="E1289" s="41"/>
      <c r="F1289" s="41"/>
      <c r="G1289" s="41"/>
      <c r="H1289" s="41"/>
      <c r="I1289" s="41"/>
      <c r="J1289" s="42" t="s">
        <v>1052</v>
      </c>
      <c r="K1289" s="42" t="s">
        <v>830</v>
      </c>
      <c r="L1289" s="42" t="s">
        <v>1053</v>
      </c>
      <c r="M1289" s="43" t="s">
        <v>508</v>
      </c>
      <c r="N1289" s="44" t="s">
        <v>1047</v>
      </c>
      <c r="O1289" s="42" t="s">
        <v>17</v>
      </c>
      <c r="P1289" s="42" t="s">
        <v>13</v>
      </c>
      <c r="Q1289" s="42" t="s">
        <v>44</v>
      </c>
      <c r="R1289" s="42"/>
      <c r="S1289" s="45"/>
    </row>
    <row r="1290" spans="1:19" ht="18" customHeight="1" x14ac:dyDescent="0.25">
      <c r="A1290" s="38"/>
      <c r="B1290" s="40"/>
      <c r="C1290" s="33" t="s">
        <v>6</v>
      </c>
      <c r="D1290" s="29">
        <f>SUM(D1291:D1294)</f>
        <v>1081.7190000000001</v>
      </c>
      <c r="E1290" s="25">
        <f t="shared" ref="E1290" si="307">SUM(E1291:E1294)</f>
        <v>1081.7190000000001</v>
      </c>
      <c r="F1290" s="25"/>
      <c r="G1290" s="25"/>
      <c r="H1290" s="25"/>
      <c r="I1290" s="25"/>
      <c r="J1290" s="42"/>
      <c r="K1290" s="42"/>
      <c r="L1290" s="42"/>
      <c r="M1290" s="43"/>
      <c r="N1290" s="44"/>
      <c r="O1290" s="42"/>
      <c r="P1290" s="42"/>
      <c r="Q1290" s="42"/>
      <c r="R1290" s="42"/>
      <c r="S1290" s="45"/>
    </row>
    <row r="1291" spans="1:19" ht="18" customHeight="1" x14ac:dyDescent="0.25">
      <c r="A1291" s="38"/>
      <c r="B1291" s="40"/>
      <c r="C1291" s="33" t="s">
        <v>0</v>
      </c>
      <c r="D1291" s="29"/>
      <c r="E1291" s="25"/>
      <c r="F1291" s="25"/>
      <c r="G1291" s="25"/>
      <c r="H1291" s="25"/>
      <c r="I1291" s="25"/>
      <c r="J1291" s="42"/>
      <c r="K1291" s="42"/>
      <c r="L1291" s="42"/>
      <c r="M1291" s="43"/>
      <c r="N1291" s="44"/>
      <c r="O1291" s="42"/>
      <c r="P1291" s="42"/>
      <c r="Q1291" s="42"/>
      <c r="R1291" s="42"/>
      <c r="S1291" s="45"/>
    </row>
    <row r="1292" spans="1:19" ht="18" customHeight="1" x14ac:dyDescent="0.25">
      <c r="A1292" s="38"/>
      <c r="B1292" s="40"/>
      <c r="C1292" s="33" t="s">
        <v>1</v>
      </c>
      <c r="D1292" s="29">
        <f t="shared" ref="D1292" si="308">SUM(E1292:I1292)</f>
        <v>1081.7190000000001</v>
      </c>
      <c r="E1292" s="25">
        <v>1081.7190000000001</v>
      </c>
      <c r="F1292" s="25"/>
      <c r="G1292" s="25"/>
      <c r="H1292" s="25"/>
      <c r="I1292" s="25"/>
      <c r="J1292" s="42"/>
      <c r="K1292" s="42"/>
      <c r="L1292" s="42"/>
      <c r="M1292" s="43"/>
      <c r="N1292" s="44"/>
      <c r="O1292" s="42"/>
      <c r="P1292" s="42"/>
      <c r="Q1292" s="42"/>
      <c r="R1292" s="42"/>
      <c r="S1292" s="45"/>
    </row>
    <row r="1293" spans="1:19" ht="18" customHeight="1" x14ac:dyDescent="0.25">
      <c r="A1293" s="38"/>
      <c r="B1293" s="40"/>
      <c r="C1293" s="33" t="s">
        <v>2</v>
      </c>
      <c r="D1293" s="29"/>
      <c r="E1293" s="25"/>
      <c r="F1293" s="25"/>
      <c r="G1293" s="25"/>
      <c r="H1293" s="25"/>
      <c r="I1293" s="25"/>
      <c r="J1293" s="42"/>
      <c r="K1293" s="42"/>
      <c r="L1293" s="42"/>
      <c r="M1293" s="43"/>
      <c r="N1293" s="44"/>
      <c r="O1293" s="42"/>
      <c r="P1293" s="42"/>
      <c r="Q1293" s="42"/>
      <c r="R1293" s="42"/>
      <c r="S1293" s="45"/>
    </row>
    <row r="1294" spans="1:19" ht="41.25" customHeight="1" x14ac:dyDescent="0.25">
      <c r="A1294" s="38"/>
      <c r="B1294" s="40"/>
      <c r="C1294" s="33" t="s">
        <v>3</v>
      </c>
      <c r="D1294" s="29"/>
      <c r="E1294" s="25"/>
      <c r="F1294" s="25"/>
      <c r="G1294" s="25"/>
      <c r="H1294" s="25"/>
      <c r="I1294" s="25"/>
      <c r="J1294" s="42"/>
      <c r="K1294" s="42"/>
      <c r="L1294" s="42"/>
      <c r="M1294" s="43"/>
      <c r="N1294" s="44"/>
      <c r="O1294" s="42"/>
      <c r="P1294" s="42"/>
      <c r="Q1294" s="42"/>
      <c r="R1294" s="42"/>
      <c r="S1294" s="45"/>
    </row>
    <row r="1295" spans="1:19" ht="21" customHeight="1" x14ac:dyDescent="0.25">
      <c r="A1295" s="54" t="s">
        <v>313</v>
      </c>
      <c r="B1295" s="65" t="s">
        <v>189</v>
      </c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</row>
    <row r="1296" spans="1:19" ht="18" customHeight="1" x14ac:dyDescent="0.25">
      <c r="A1296" s="54"/>
      <c r="B1296" s="56" t="s">
        <v>6</v>
      </c>
      <c r="C1296" s="56"/>
      <c r="D1296" s="16">
        <f t="shared" ref="D1296" si="309">SUM(D1297:D1300)</f>
        <v>57000</v>
      </c>
      <c r="E1296" s="16">
        <f t="shared" ref="E1296" si="310">E1304+E1312</f>
        <v>57000</v>
      </c>
      <c r="F1296" s="16"/>
      <c r="G1296" s="16"/>
      <c r="H1296" s="16"/>
      <c r="I1296" s="16"/>
      <c r="J1296" s="26"/>
      <c r="K1296" s="26"/>
      <c r="L1296" s="26"/>
      <c r="M1296" s="26"/>
      <c r="N1296" s="26"/>
      <c r="O1296" s="26"/>
      <c r="P1296" s="26"/>
      <c r="Q1296" s="26"/>
      <c r="R1296" s="26"/>
      <c r="S1296" s="26"/>
    </row>
    <row r="1297" spans="1:19" ht="18" customHeight="1" x14ac:dyDescent="0.25">
      <c r="A1297" s="54"/>
      <c r="B1297" s="56" t="s">
        <v>0</v>
      </c>
      <c r="C1297" s="56"/>
      <c r="D1297" s="28"/>
      <c r="E1297" s="16"/>
      <c r="F1297" s="16"/>
      <c r="G1297" s="16"/>
      <c r="H1297" s="16"/>
      <c r="I1297" s="16"/>
      <c r="J1297" s="26"/>
      <c r="K1297" s="26"/>
      <c r="L1297" s="26"/>
      <c r="M1297" s="26"/>
      <c r="N1297" s="26"/>
      <c r="O1297" s="26"/>
      <c r="P1297" s="26"/>
      <c r="Q1297" s="26"/>
      <c r="R1297" s="26"/>
      <c r="S1297" s="26"/>
    </row>
    <row r="1298" spans="1:19" ht="18" customHeight="1" x14ac:dyDescent="0.25">
      <c r="A1298" s="54"/>
      <c r="B1298" s="56" t="s">
        <v>1</v>
      </c>
      <c r="C1298" s="56"/>
      <c r="D1298" s="16">
        <f>SUM(E1298:I1298)</f>
        <v>57000</v>
      </c>
      <c r="E1298" s="16">
        <f>E1306+E1314</f>
        <v>57000</v>
      </c>
      <c r="F1298" s="16"/>
      <c r="G1298" s="16"/>
      <c r="H1298" s="16"/>
      <c r="I1298" s="16"/>
      <c r="J1298" s="26"/>
      <c r="K1298" s="26"/>
      <c r="L1298" s="26"/>
      <c r="M1298" s="26"/>
      <c r="N1298" s="26"/>
      <c r="O1298" s="26"/>
      <c r="P1298" s="26"/>
      <c r="Q1298" s="26"/>
      <c r="R1298" s="26"/>
      <c r="S1298" s="26"/>
    </row>
    <row r="1299" spans="1:19" ht="18" customHeight="1" x14ac:dyDescent="0.25">
      <c r="A1299" s="54"/>
      <c r="B1299" s="56" t="s">
        <v>2</v>
      </c>
      <c r="C1299" s="56"/>
      <c r="D1299" s="28"/>
      <c r="E1299" s="16"/>
      <c r="F1299" s="16"/>
      <c r="G1299" s="16"/>
      <c r="H1299" s="16"/>
      <c r="I1299" s="16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</row>
    <row r="1300" spans="1:19" ht="18" customHeight="1" x14ac:dyDescent="0.25">
      <c r="A1300" s="54"/>
      <c r="B1300" s="56" t="s">
        <v>3</v>
      </c>
      <c r="C1300" s="56"/>
      <c r="D1300" s="28"/>
      <c r="E1300" s="16"/>
      <c r="F1300" s="16"/>
      <c r="G1300" s="16"/>
      <c r="H1300" s="16"/>
      <c r="I1300" s="16"/>
      <c r="J1300" s="26"/>
      <c r="K1300" s="26"/>
      <c r="L1300" s="26"/>
      <c r="M1300" s="26"/>
      <c r="N1300" s="26"/>
      <c r="O1300" s="26"/>
      <c r="P1300" s="26"/>
      <c r="Q1300" s="26"/>
      <c r="R1300" s="26"/>
      <c r="S1300" s="26"/>
    </row>
    <row r="1301" spans="1:19" ht="18.75" customHeight="1" x14ac:dyDescent="0.25">
      <c r="A1301" s="37" t="s">
        <v>845</v>
      </c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</row>
    <row r="1302" spans="1:19" ht="21" customHeight="1" x14ac:dyDescent="0.25">
      <c r="A1302" s="38"/>
      <c r="B1302" s="48" t="s">
        <v>566</v>
      </c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</row>
    <row r="1303" spans="1:19" ht="35.25" customHeight="1" x14ac:dyDescent="0.25">
      <c r="A1303" s="38"/>
      <c r="B1303" s="49" t="s">
        <v>314</v>
      </c>
      <c r="C1303" s="50" t="s">
        <v>190</v>
      </c>
      <c r="D1303" s="50"/>
      <c r="E1303" s="50"/>
      <c r="F1303" s="50"/>
      <c r="G1303" s="50"/>
      <c r="H1303" s="50"/>
      <c r="I1303" s="50"/>
      <c r="J1303" s="43" t="s">
        <v>15</v>
      </c>
      <c r="K1303" s="43" t="s">
        <v>917</v>
      </c>
      <c r="L1303" s="43" t="s">
        <v>61</v>
      </c>
      <c r="M1303" s="43" t="s">
        <v>845</v>
      </c>
      <c r="N1303" s="53" t="s">
        <v>986</v>
      </c>
      <c r="O1303" s="43" t="s">
        <v>17</v>
      </c>
      <c r="P1303" s="43" t="s">
        <v>13</v>
      </c>
      <c r="Q1303" s="43" t="s">
        <v>44</v>
      </c>
      <c r="R1303" s="43"/>
      <c r="S1303" s="51"/>
    </row>
    <row r="1304" spans="1:19" ht="15.75" x14ac:dyDescent="0.25">
      <c r="A1304" s="38"/>
      <c r="B1304" s="49"/>
      <c r="C1304" s="31" t="s">
        <v>6</v>
      </c>
      <c r="D1304" s="27">
        <f t="shared" ref="D1304:E1304" si="311">SUM(D1305:D1308)</f>
        <v>29423.898509999999</v>
      </c>
      <c r="E1304" s="23">
        <f t="shared" si="311"/>
        <v>29423.898509999999</v>
      </c>
      <c r="F1304" s="23"/>
      <c r="G1304" s="23"/>
      <c r="H1304" s="23"/>
      <c r="I1304" s="23"/>
      <c r="J1304" s="43"/>
      <c r="K1304" s="43"/>
      <c r="L1304" s="43"/>
      <c r="M1304" s="43"/>
      <c r="N1304" s="53"/>
      <c r="O1304" s="43"/>
      <c r="P1304" s="43"/>
      <c r="Q1304" s="43"/>
      <c r="R1304" s="43"/>
      <c r="S1304" s="51"/>
    </row>
    <row r="1305" spans="1:19" ht="15.75" x14ac:dyDescent="0.25">
      <c r="A1305" s="38"/>
      <c r="B1305" s="49"/>
      <c r="C1305" s="31" t="s">
        <v>0</v>
      </c>
      <c r="D1305" s="27"/>
      <c r="E1305" s="23"/>
      <c r="F1305" s="23"/>
      <c r="G1305" s="23"/>
      <c r="H1305" s="23"/>
      <c r="I1305" s="23"/>
      <c r="J1305" s="43"/>
      <c r="K1305" s="43"/>
      <c r="L1305" s="43"/>
      <c r="M1305" s="43"/>
      <c r="N1305" s="53"/>
      <c r="O1305" s="43"/>
      <c r="P1305" s="43"/>
      <c r="Q1305" s="43"/>
      <c r="R1305" s="43"/>
      <c r="S1305" s="51"/>
    </row>
    <row r="1306" spans="1:19" ht="15.75" x14ac:dyDescent="0.25">
      <c r="A1306" s="38"/>
      <c r="B1306" s="49"/>
      <c r="C1306" s="31" t="s">
        <v>1</v>
      </c>
      <c r="D1306" s="27">
        <f t="shared" ref="D1306" si="312">SUM(E1306:I1306)</f>
        <v>29423.898509999999</v>
      </c>
      <c r="E1306" s="23">
        <f>60020-27576.10149-3020</f>
        <v>29423.898509999999</v>
      </c>
      <c r="F1306" s="23"/>
      <c r="G1306" s="23"/>
      <c r="H1306" s="23"/>
      <c r="I1306" s="23"/>
      <c r="J1306" s="43"/>
      <c r="K1306" s="43"/>
      <c r="L1306" s="43"/>
      <c r="M1306" s="43"/>
      <c r="N1306" s="53"/>
      <c r="O1306" s="43"/>
      <c r="P1306" s="43"/>
      <c r="Q1306" s="43"/>
      <c r="R1306" s="43"/>
      <c r="S1306" s="51"/>
    </row>
    <row r="1307" spans="1:19" ht="15.75" x14ac:dyDescent="0.25">
      <c r="A1307" s="38"/>
      <c r="B1307" s="49"/>
      <c r="C1307" s="31" t="s">
        <v>2</v>
      </c>
      <c r="D1307" s="27"/>
      <c r="E1307" s="23"/>
      <c r="F1307" s="23"/>
      <c r="G1307" s="23"/>
      <c r="H1307" s="23"/>
      <c r="I1307" s="23"/>
      <c r="J1307" s="43"/>
      <c r="K1307" s="43"/>
      <c r="L1307" s="43"/>
      <c r="M1307" s="43"/>
      <c r="N1307" s="53"/>
      <c r="O1307" s="43"/>
      <c r="P1307" s="43"/>
      <c r="Q1307" s="43"/>
      <c r="R1307" s="43"/>
      <c r="S1307" s="51"/>
    </row>
    <row r="1308" spans="1:19" ht="15.75" x14ac:dyDescent="0.25">
      <c r="A1308" s="38"/>
      <c r="B1308" s="49"/>
      <c r="C1308" s="31" t="s">
        <v>3</v>
      </c>
      <c r="D1308" s="27"/>
      <c r="E1308" s="23"/>
      <c r="F1308" s="23"/>
      <c r="G1308" s="23"/>
      <c r="H1308" s="23"/>
      <c r="I1308" s="23"/>
      <c r="J1308" s="43"/>
      <c r="K1308" s="43"/>
      <c r="L1308" s="43"/>
      <c r="M1308" s="43"/>
      <c r="N1308" s="53"/>
      <c r="O1308" s="43"/>
      <c r="P1308" s="43"/>
      <c r="Q1308" s="43"/>
      <c r="R1308" s="43"/>
      <c r="S1308" s="51"/>
    </row>
    <row r="1309" spans="1:19" ht="18.75" customHeight="1" x14ac:dyDescent="0.25">
      <c r="A1309" s="37" t="s">
        <v>845</v>
      </c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</row>
    <row r="1310" spans="1:19" ht="21" customHeight="1" x14ac:dyDescent="0.25">
      <c r="A1310" s="38"/>
      <c r="B1310" s="48" t="s">
        <v>566</v>
      </c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</row>
    <row r="1311" spans="1:19" ht="23.25" customHeight="1" x14ac:dyDescent="0.25">
      <c r="A1311" s="38"/>
      <c r="B1311" s="49" t="s">
        <v>984</v>
      </c>
      <c r="C1311" s="50" t="s">
        <v>985</v>
      </c>
      <c r="D1311" s="50"/>
      <c r="E1311" s="50"/>
      <c r="F1311" s="50"/>
      <c r="G1311" s="50"/>
      <c r="H1311" s="50"/>
      <c r="I1311" s="50"/>
      <c r="J1311" s="43" t="s">
        <v>15</v>
      </c>
      <c r="K1311" s="43" t="s">
        <v>917</v>
      </c>
      <c r="L1311" s="43"/>
      <c r="M1311" s="43" t="s">
        <v>845</v>
      </c>
      <c r="N1311" s="53" t="s">
        <v>987</v>
      </c>
      <c r="O1311" s="43" t="s">
        <v>17</v>
      </c>
      <c r="P1311" s="43" t="s">
        <v>13</v>
      </c>
      <c r="Q1311" s="43" t="s">
        <v>44</v>
      </c>
      <c r="R1311" s="43"/>
      <c r="S1311" s="51"/>
    </row>
    <row r="1312" spans="1:19" ht="15.75" x14ac:dyDescent="0.25">
      <c r="A1312" s="38"/>
      <c r="B1312" s="49"/>
      <c r="C1312" s="31" t="s">
        <v>6</v>
      </c>
      <c r="D1312" s="27">
        <f t="shared" ref="D1312:E1312" si="313">SUM(D1313:D1316)</f>
        <v>27576.101490000001</v>
      </c>
      <c r="E1312" s="23">
        <f t="shared" si="313"/>
        <v>27576.101490000001</v>
      </c>
      <c r="F1312" s="23"/>
      <c r="G1312" s="23"/>
      <c r="H1312" s="23"/>
      <c r="I1312" s="23"/>
      <c r="J1312" s="43"/>
      <c r="K1312" s="43"/>
      <c r="L1312" s="43"/>
      <c r="M1312" s="43"/>
      <c r="N1312" s="53"/>
      <c r="O1312" s="43"/>
      <c r="P1312" s="43"/>
      <c r="Q1312" s="43"/>
      <c r="R1312" s="43"/>
      <c r="S1312" s="51"/>
    </row>
    <row r="1313" spans="1:19" ht="15.75" x14ac:dyDescent="0.25">
      <c r="A1313" s="38"/>
      <c r="B1313" s="49"/>
      <c r="C1313" s="31" t="s">
        <v>0</v>
      </c>
      <c r="D1313" s="27"/>
      <c r="E1313" s="23"/>
      <c r="F1313" s="23"/>
      <c r="G1313" s="23"/>
      <c r="H1313" s="23"/>
      <c r="I1313" s="23"/>
      <c r="J1313" s="43"/>
      <c r="K1313" s="43"/>
      <c r="L1313" s="43"/>
      <c r="M1313" s="43"/>
      <c r="N1313" s="53"/>
      <c r="O1313" s="43"/>
      <c r="P1313" s="43"/>
      <c r="Q1313" s="43"/>
      <c r="R1313" s="43"/>
      <c r="S1313" s="51"/>
    </row>
    <row r="1314" spans="1:19" ht="15.75" x14ac:dyDescent="0.25">
      <c r="A1314" s="38"/>
      <c r="B1314" s="49"/>
      <c r="C1314" s="31" t="s">
        <v>1</v>
      </c>
      <c r="D1314" s="27">
        <f t="shared" ref="D1314" si="314">SUM(E1314:I1314)</f>
        <v>27576.101490000001</v>
      </c>
      <c r="E1314" s="23">
        <f>27576.10149</f>
        <v>27576.101490000001</v>
      </c>
      <c r="F1314" s="23"/>
      <c r="G1314" s="23"/>
      <c r="H1314" s="23"/>
      <c r="I1314" s="23"/>
      <c r="J1314" s="43"/>
      <c r="K1314" s="43"/>
      <c r="L1314" s="43"/>
      <c r="M1314" s="43"/>
      <c r="N1314" s="53"/>
      <c r="O1314" s="43"/>
      <c r="P1314" s="43"/>
      <c r="Q1314" s="43"/>
      <c r="R1314" s="43"/>
      <c r="S1314" s="51"/>
    </row>
    <row r="1315" spans="1:19" ht="15.75" x14ac:dyDescent="0.25">
      <c r="A1315" s="38"/>
      <c r="B1315" s="49"/>
      <c r="C1315" s="31" t="s">
        <v>2</v>
      </c>
      <c r="D1315" s="27"/>
      <c r="E1315" s="23"/>
      <c r="F1315" s="23"/>
      <c r="G1315" s="23"/>
      <c r="H1315" s="23"/>
      <c r="I1315" s="23"/>
      <c r="J1315" s="43"/>
      <c r="K1315" s="43"/>
      <c r="L1315" s="43"/>
      <c r="M1315" s="43"/>
      <c r="N1315" s="53"/>
      <c r="O1315" s="43"/>
      <c r="P1315" s="43"/>
      <c r="Q1315" s="43"/>
      <c r="R1315" s="43"/>
      <c r="S1315" s="51"/>
    </row>
    <row r="1316" spans="1:19" ht="15.75" x14ac:dyDescent="0.25">
      <c r="A1316" s="38"/>
      <c r="B1316" s="49"/>
      <c r="C1316" s="31" t="s">
        <v>3</v>
      </c>
      <c r="D1316" s="27"/>
      <c r="E1316" s="23"/>
      <c r="F1316" s="23"/>
      <c r="G1316" s="23"/>
      <c r="H1316" s="23"/>
      <c r="I1316" s="23"/>
      <c r="J1316" s="43"/>
      <c r="K1316" s="43"/>
      <c r="L1316" s="43"/>
      <c r="M1316" s="43"/>
      <c r="N1316" s="53"/>
      <c r="O1316" s="43"/>
      <c r="P1316" s="43"/>
      <c r="Q1316" s="43"/>
      <c r="R1316" s="43"/>
      <c r="S1316" s="51"/>
    </row>
    <row r="1317" spans="1:19" ht="21" customHeight="1" x14ac:dyDescent="0.25">
      <c r="A1317" s="54" t="s">
        <v>315</v>
      </c>
      <c r="B1317" s="65" t="s">
        <v>132</v>
      </c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</row>
    <row r="1318" spans="1:19" ht="18" customHeight="1" x14ac:dyDescent="0.25">
      <c r="A1318" s="54"/>
      <c r="B1318" s="56" t="s">
        <v>6</v>
      </c>
      <c r="C1318" s="56"/>
      <c r="D1318" s="16">
        <f t="shared" ref="D1318" si="315">SUM(D1319:D1322)</f>
        <v>15541936.80776</v>
      </c>
      <c r="E1318" s="16">
        <f>E1326+E1334+E1342+E1350+E1358+E1366+E1374+E1382+E1390+E1398+E1406+E1414+E1422+E1430+E1438+E1446+E1454+E1462+E1470+E1478+E1486+E1494+E1502+E1510+E1518+E1526+E1534+E1542+E1550+E1558+E1566+E1574+E1582+E1590+E1598+E1606+E1614+E1622+E1630+E1638+E1646+E1654+E1662+E1670</f>
        <v>2753354.4977599997</v>
      </c>
      <c r="F1318" s="16">
        <f t="shared" ref="F1318:I1318" si="316">F1326+F1334+F1342+F1350+F1358+F1366+F1374+F1382+F1390+F1398+F1406+F1414+F1422+F1430+F1438+F1446+F1454+F1462+F1470+F1478+F1486+F1494+F1502+F1510+F1518+F1526+F1534+F1542+F1550+F1558+F1566+F1574+F1582+F1590+F1598+F1606+F1614+F1622+F1630+F1638+F1646+F1654+F1662+F1670</f>
        <v>1656070.41</v>
      </c>
      <c r="G1318" s="16">
        <f t="shared" si="316"/>
        <v>3853038.2</v>
      </c>
      <c r="H1318" s="16">
        <f t="shared" si="316"/>
        <v>4606663.7</v>
      </c>
      <c r="I1318" s="16">
        <f t="shared" si="316"/>
        <v>2672810</v>
      </c>
      <c r="J1318" s="26"/>
      <c r="K1318" s="26"/>
      <c r="L1318" s="26"/>
      <c r="M1318" s="26"/>
      <c r="N1318" s="26"/>
      <c r="O1318" s="26"/>
      <c r="P1318" s="26"/>
      <c r="Q1318" s="26"/>
      <c r="R1318" s="26"/>
      <c r="S1318" s="26"/>
    </row>
    <row r="1319" spans="1:19" ht="18" customHeight="1" x14ac:dyDescent="0.25">
      <c r="A1319" s="54"/>
      <c r="B1319" s="56" t="s">
        <v>0</v>
      </c>
      <c r="C1319" s="56"/>
      <c r="D1319" s="16">
        <f>SUM(E1319:I1319)</f>
        <v>10586645.176200001</v>
      </c>
      <c r="E1319" s="16">
        <f t="shared" ref="E1319:I1322" si="317">E1327+E1335+E1343+E1351+E1359+E1367+E1375+E1383+E1391+E1399+E1407+E1415+E1423+E1431+E1439+E1447+E1455+E1463+E1471+E1479+E1487+E1495+E1503+E1511+E1519+E1527+E1535+E1543+E1551+E1559+E1567+E1575+E1583+E1591+E1599+E1607+E1615+E1623+E1631+E1639+E1647+E1655+E1663+E1671</f>
        <v>1268243.0762</v>
      </c>
      <c r="F1319" s="16">
        <f t="shared" si="317"/>
        <v>800162.1</v>
      </c>
      <c r="G1319" s="16">
        <f t="shared" si="317"/>
        <v>2759300</v>
      </c>
      <c r="H1319" s="16">
        <f t="shared" si="317"/>
        <v>3353940</v>
      </c>
      <c r="I1319" s="16">
        <f t="shared" si="317"/>
        <v>2405000</v>
      </c>
      <c r="J1319" s="26"/>
      <c r="K1319" s="26"/>
      <c r="L1319" s="26"/>
      <c r="M1319" s="26"/>
      <c r="N1319" s="26"/>
      <c r="O1319" s="26"/>
      <c r="P1319" s="26"/>
      <c r="Q1319" s="26"/>
      <c r="R1319" s="26"/>
      <c r="S1319" s="26"/>
    </row>
    <row r="1320" spans="1:19" ht="18" customHeight="1" x14ac:dyDescent="0.25">
      <c r="A1320" s="54"/>
      <c r="B1320" s="56" t="s">
        <v>1</v>
      </c>
      <c r="C1320" s="56"/>
      <c r="D1320" s="16">
        <f>SUM(E1320:I1320)</f>
        <v>4153859.81856</v>
      </c>
      <c r="E1320" s="16">
        <f t="shared" si="317"/>
        <v>1411129.74856</v>
      </c>
      <c r="F1320" s="16">
        <f t="shared" si="317"/>
        <v>801531.07</v>
      </c>
      <c r="G1320" s="16">
        <f t="shared" si="317"/>
        <v>1009762</v>
      </c>
      <c r="H1320" s="16">
        <f t="shared" si="317"/>
        <v>663627</v>
      </c>
      <c r="I1320" s="16">
        <f t="shared" si="317"/>
        <v>267810</v>
      </c>
      <c r="J1320" s="26"/>
      <c r="K1320" s="26"/>
      <c r="L1320" s="26"/>
      <c r="M1320" s="26"/>
      <c r="N1320" s="26"/>
      <c r="O1320" s="26"/>
      <c r="P1320" s="26"/>
      <c r="Q1320" s="26"/>
      <c r="R1320" s="26"/>
      <c r="S1320" s="26"/>
    </row>
    <row r="1321" spans="1:19" ht="18" customHeight="1" x14ac:dyDescent="0.25">
      <c r="A1321" s="54"/>
      <c r="B1321" s="56" t="s">
        <v>2</v>
      </c>
      <c r="C1321" s="56"/>
      <c r="D1321" s="16">
        <f>SUM(E1321:I1321)</f>
        <v>241431.81299999997</v>
      </c>
      <c r="E1321" s="16">
        <f t="shared" si="317"/>
        <v>73981.672999999981</v>
      </c>
      <c r="F1321" s="16">
        <f t="shared" si="317"/>
        <v>54377.24</v>
      </c>
      <c r="G1321" s="16">
        <f t="shared" si="317"/>
        <v>83976.2</v>
      </c>
      <c r="H1321" s="16">
        <f t="shared" si="317"/>
        <v>29096.7</v>
      </c>
      <c r="I1321" s="16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</row>
    <row r="1322" spans="1:19" ht="18" customHeight="1" x14ac:dyDescent="0.25">
      <c r="A1322" s="54"/>
      <c r="B1322" s="56" t="s">
        <v>3</v>
      </c>
      <c r="C1322" s="56"/>
      <c r="D1322" s="16">
        <f>SUM(E1322:I1322)</f>
        <v>560000</v>
      </c>
      <c r="E1322" s="16"/>
      <c r="F1322" s="16"/>
      <c r="G1322" s="16"/>
      <c r="H1322" s="16">
        <f t="shared" si="317"/>
        <v>560000</v>
      </c>
      <c r="I1322" s="16"/>
      <c r="J1322" s="26"/>
      <c r="K1322" s="26"/>
      <c r="L1322" s="26"/>
      <c r="M1322" s="26"/>
      <c r="N1322" s="26"/>
      <c r="O1322" s="26"/>
      <c r="P1322" s="26"/>
      <c r="Q1322" s="26"/>
      <c r="R1322" s="26"/>
      <c r="S1322" s="26"/>
    </row>
    <row r="1323" spans="1:19" ht="18.75" customHeight="1" x14ac:dyDescent="0.25">
      <c r="A1323" s="37" t="s">
        <v>59</v>
      </c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</row>
    <row r="1324" spans="1:19" ht="21" customHeight="1" x14ac:dyDescent="0.25">
      <c r="A1324" s="38"/>
      <c r="B1324" s="48" t="s">
        <v>562</v>
      </c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</row>
    <row r="1325" spans="1:19" ht="18.75" customHeight="1" x14ac:dyDescent="0.25">
      <c r="A1325" s="38"/>
      <c r="B1325" s="49" t="s">
        <v>316</v>
      </c>
      <c r="C1325" s="50" t="s">
        <v>101</v>
      </c>
      <c r="D1325" s="50"/>
      <c r="E1325" s="50"/>
      <c r="F1325" s="50"/>
      <c r="G1325" s="50"/>
      <c r="H1325" s="50"/>
      <c r="I1325" s="50"/>
      <c r="J1325" s="43" t="s">
        <v>60</v>
      </c>
      <c r="K1325" s="43" t="s">
        <v>821</v>
      </c>
      <c r="L1325" s="43" t="s">
        <v>61</v>
      </c>
      <c r="M1325" s="43" t="s">
        <v>62</v>
      </c>
      <c r="N1325" s="53" t="s">
        <v>718</v>
      </c>
      <c r="O1325" s="43" t="s">
        <v>17</v>
      </c>
      <c r="P1325" s="43" t="s">
        <v>4</v>
      </c>
      <c r="Q1325" s="43" t="s">
        <v>9</v>
      </c>
      <c r="R1325" s="43" t="s">
        <v>720</v>
      </c>
      <c r="S1325" s="51" t="s">
        <v>719</v>
      </c>
    </row>
    <row r="1326" spans="1:19" ht="18" customHeight="1" x14ac:dyDescent="0.25">
      <c r="A1326" s="38"/>
      <c r="B1326" s="49"/>
      <c r="C1326" s="31" t="s">
        <v>6</v>
      </c>
      <c r="D1326" s="27">
        <f t="shared" ref="D1326:E1326" si="318">SUM(D1327:D1330)</f>
        <v>353507.61780000001</v>
      </c>
      <c r="E1326" s="23">
        <f t="shared" si="318"/>
        <v>353507.61780000001</v>
      </c>
      <c r="F1326" s="23"/>
      <c r="G1326" s="23"/>
      <c r="H1326" s="23"/>
      <c r="I1326" s="23"/>
      <c r="J1326" s="43"/>
      <c r="K1326" s="43"/>
      <c r="L1326" s="43"/>
      <c r="M1326" s="43"/>
      <c r="N1326" s="53"/>
      <c r="O1326" s="43"/>
      <c r="P1326" s="43"/>
      <c r="Q1326" s="43"/>
      <c r="R1326" s="43"/>
      <c r="S1326" s="51"/>
    </row>
    <row r="1327" spans="1:19" ht="18" customHeight="1" x14ac:dyDescent="0.25">
      <c r="A1327" s="38"/>
      <c r="B1327" s="49"/>
      <c r="C1327" s="31" t="s">
        <v>0</v>
      </c>
      <c r="D1327" s="27">
        <f>SUM(E1327:I1327)</f>
        <v>311935.58980000002</v>
      </c>
      <c r="E1327" s="23">
        <v>311935.58980000002</v>
      </c>
      <c r="F1327" s="23"/>
      <c r="G1327" s="23"/>
      <c r="H1327" s="23"/>
      <c r="I1327" s="23"/>
      <c r="J1327" s="43"/>
      <c r="K1327" s="43"/>
      <c r="L1327" s="43"/>
      <c r="M1327" s="43"/>
      <c r="N1327" s="53"/>
      <c r="O1327" s="43"/>
      <c r="P1327" s="43"/>
      <c r="Q1327" s="43"/>
      <c r="R1327" s="43"/>
      <c r="S1327" s="51"/>
    </row>
    <row r="1328" spans="1:19" ht="18" customHeight="1" x14ac:dyDescent="0.25">
      <c r="A1328" s="38"/>
      <c r="B1328" s="49"/>
      <c r="C1328" s="31" t="s">
        <v>1</v>
      </c>
      <c r="D1328" s="27">
        <f t="shared" ref="D1328" si="319">SUM(E1328:I1328)</f>
        <v>41572.027999999998</v>
      </c>
      <c r="E1328" s="23">
        <v>41572.027999999998</v>
      </c>
      <c r="F1328" s="23"/>
      <c r="G1328" s="23"/>
      <c r="H1328" s="23"/>
      <c r="I1328" s="23"/>
      <c r="J1328" s="43"/>
      <c r="K1328" s="43"/>
      <c r="L1328" s="43"/>
      <c r="M1328" s="43"/>
      <c r="N1328" s="53"/>
      <c r="O1328" s="43"/>
      <c r="P1328" s="43"/>
      <c r="Q1328" s="43"/>
      <c r="R1328" s="43"/>
      <c r="S1328" s="51"/>
    </row>
    <row r="1329" spans="1:19" ht="18" customHeight="1" x14ac:dyDescent="0.25">
      <c r="A1329" s="38"/>
      <c r="B1329" s="49"/>
      <c r="C1329" s="31" t="s">
        <v>2</v>
      </c>
      <c r="D1329" s="27"/>
      <c r="E1329" s="23"/>
      <c r="F1329" s="23"/>
      <c r="G1329" s="23"/>
      <c r="H1329" s="23"/>
      <c r="I1329" s="23"/>
      <c r="J1329" s="43"/>
      <c r="K1329" s="43"/>
      <c r="L1329" s="43"/>
      <c r="M1329" s="43"/>
      <c r="N1329" s="53"/>
      <c r="O1329" s="43"/>
      <c r="P1329" s="43"/>
      <c r="Q1329" s="43"/>
      <c r="R1329" s="43"/>
      <c r="S1329" s="51"/>
    </row>
    <row r="1330" spans="1:19" ht="18" customHeight="1" x14ac:dyDescent="0.25">
      <c r="A1330" s="38"/>
      <c r="B1330" s="49"/>
      <c r="C1330" s="31" t="s">
        <v>3</v>
      </c>
      <c r="D1330" s="27"/>
      <c r="E1330" s="23"/>
      <c r="F1330" s="23"/>
      <c r="G1330" s="23"/>
      <c r="H1330" s="23"/>
      <c r="I1330" s="23"/>
      <c r="J1330" s="43"/>
      <c r="K1330" s="43"/>
      <c r="L1330" s="43"/>
      <c r="M1330" s="43"/>
      <c r="N1330" s="53"/>
      <c r="O1330" s="43"/>
      <c r="P1330" s="43"/>
      <c r="Q1330" s="43"/>
      <c r="R1330" s="43"/>
      <c r="S1330" s="51"/>
    </row>
    <row r="1331" spans="1:19" ht="18.75" customHeight="1" x14ac:dyDescent="0.25">
      <c r="A1331" s="37" t="s">
        <v>59</v>
      </c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</row>
    <row r="1332" spans="1:19" ht="21" customHeight="1" x14ac:dyDescent="0.25">
      <c r="A1332" s="38"/>
      <c r="B1332" s="48" t="s">
        <v>562</v>
      </c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</row>
    <row r="1333" spans="1:19" ht="18.75" customHeight="1" x14ac:dyDescent="0.25">
      <c r="A1333" s="38"/>
      <c r="B1333" s="49" t="s">
        <v>317</v>
      </c>
      <c r="C1333" s="50" t="s">
        <v>565</v>
      </c>
      <c r="D1333" s="50"/>
      <c r="E1333" s="50"/>
      <c r="F1333" s="50"/>
      <c r="G1333" s="50"/>
      <c r="H1333" s="50"/>
      <c r="I1333" s="50"/>
      <c r="J1333" s="43" t="s">
        <v>20</v>
      </c>
      <c r="K1333" s="43" t="s">
        <v>821</v>
      </c>
      <c r="L1333" s="43" t="s">
        <v>63</v>
      </c>
      <c r="M1333" s="43" t="s">
        <v>62</v>
      </c>
      <c r="N1333" s="53" t="s">
        <v>721</v>
      </c>
      <c r="O1333" s="43" t="s">
        <v>17</v>
      </c>
      <c r="P1333" s="43" t="s">
        <v>21</v>
      </c>
      <c r="Q1333" s="43" t="s">
        <v>9</v>
      </c>
      <c r="R1333" s="43" t="s">
        <v>720</v>
      </c>
      <c r="S1333" s="51" t="s">
        <v>722</v>
      </c>
    </row>
    <row r="1334" spans="1:19" ht="18" customHeight="1" x14ac:dyDescent="0.25">
      <c r="A1334" s="38"/>
      <c r="B1334" s="49"/>
      <c r="C1334" s="31" t="s">
        <v>6</v>
      </c>
      <c r="D1334" s="27">
        <f t="shared" ref="D1334:E1334" si="320">SUM(D1335:D1338)</f>
        <v>423324.72739999997</v>
      </c>
      <c r="E1334" s="23">
        <f t="shared" si="320"/>
        <v>423324.72739999997</v>
      </c>
      <c r="F1334" s="23"/>
      <c r="G1334" s="23"/>
      <c r="H1334" s="23"/>
      <c r="I1334" s="23"/>
      <c r="J1334" s="43"/>
      <c r="K1334" s="43"/>
      <c r="L1334" s="43"/>
      <c r="M1334" s="43"/>
      <c r="N1334" s="53"/>
      <c r="O1334" s="43"/>
      <c r="P1334" s="43"/>
      <c r="Q1334" s="43"/>
      <c r="R1334" s="43"/>
      <c r="S1334" s="51"/>
    </row>
    <row r="1335" spans="1:19" ht="18" customHeight="1" x14ac:dyDescent="0.25">
      <c r="A1335" s="38"/>
      <c r="B1335" s="49"/>
      <c r="C1335" s="31" t="s">
        <v>0</v>
      </c>
      <c r="D1335" s="27">
        <f>SUM(E1335:I1335)</f>
        <v>391745.48639999999</v>
      </c>
      <c r="E1335" s="23">
        <v>391745.48639999999</v>
      </c>
      <c r="F1335" s="23"/>
      <c r="G1335" s="23"/>
      <c r="H1335" s="23"/>
      <c r="I1335" s="23"/>
      <c r="J1335" s="43"/>
      <c r="K1335" s="43"/>
      <c r="L1335" s="43"/>
      <c r="M1335" s="43"/>
      <c r="N1335" s="53"/>
      <c r="O1335" s="43"/>
      <c r="P1335" s="43"/>
      <c r="Q1335" s="43"/>
      <c r="R1335" s="43"/>
      <c r="S1335" s="51"/>
    </row>
    <row r="1336" spans="1:19" ht="18" customHeight="1" x14ac:dyDescent="0.25">
      <c r="A1336" s="38"/>
      <c r="B1336" s="49"/>
      <c r="C1336" s="31" t="s">
        <v>1</v>
      </c>
      <c r="D1336" s="27">
        <f t="shared" ref="D1336" si="321">SUM(E1336:I1336)</f>
        <v>31579.241000000002</v>
      </c>
      <c r="E1336" s="23">
        <v>31579.241000000002</v>
      </c>
      <c r="F1336" s="23"/>
      <c r="G1336" s="23"/>
      <c r="H1336" s="23"/>
      <c r="I1336" s="23"/>
      <c r="J1336" s="43"/>
      <c r="K1336" s="43"/>
      <c r="L1336" s="43"/>
      <c r="M1336" s="43"/>
      <c r="N1336" s="53"/>
      <c r="O1336" s="43"/>
      <c r="P1336" s="43"/>
      <c r="Q1336" s="43"/>
      <c r="R1336" s="43"/>
      <c r="S1336" s="51"/>
    </row>
    <row r="1337" spans="1:19" ht="18" customHeight="1" x14ac:dyDescent="0.25">
      <c r="A1337" s="38"/>
      <c r="B1337" s="49"/>
      <c r="C1337" s="31" t="s">
        <v>2</v>
      </c>
      <c r="D1337" s="27"/>
      <c r="E1337" s="23"/>
      <c r="F1337" s="23"/>
      <c r="G1337" s="23"/>
      <c r="H1337" s="23"/>
      <c r="I1337" s="23"/>
      <c r="J1337" s="43"/>
      <c r="K1337" s="43"/>
      <c r="L1337" s="43"/>
      <c r="M1337" s="43"/>
      <c r="N1337" s="53"/>
      <c r="O1337" s="43"/>
      <c r="P1337" s="43"/>
      <c r="Q1337" s="43"/>
      <c r="R1337" s="43"/>
      <c r="S1337" s="51"/>
    </row>
    <row r="1338" spans="1:19" ht="18" customHeight="1" x14ac:dyDescent="0.25">
      <c r="A1338" s="38"/>
      <c r="B1338" s="49"/>
      <c r="C1338" s="31" t="s">
        <v>3</v>
      </c>
      <c r="D1338" s="27"/>
      <c r="E1338" s="23"/>
      <c r="F1338" s="23"/>
      <c r="G1338" s="23"/>
      <c r="H1338" s="23"/>
      <c r="I1338" s="23"/>
      <c r="J1338" s="43"/>
      <c r="K1338" s="43"/>
      <c r="L1338" s="43"/>
      <c r="M1338" s="43"/>
      <c r="N1338" s="53"/>
      <c r="O1338" s="43"/>
      <c r="P1338" s="43"/>
      <c r="Q1338" s="43"/>
      <c r="R1338" s="43"/>
      <c r="S1338" s="51"/>
    </row>
    <row r="1339" spans="1:19" ht="18.75" customHeight="1" x14ac:dyDescent="0.25">
      <c r="A1339" s="37" t="s">
        <v>59</v>
      </c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</row>
    <row r="1340" spans="1:19" ht="21" customHeight="1" x14ac:dyDescent="0.25">
      <c r="A1340" s="38"/>
      <c r="B1340" s="48" t="s">
        <v>562</v>
      </c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</row>
    <row r="1341" spans="1:19" ht="18.75" customHeight="1" x14ac:dyDescent="0.25">
      <c r="A1341" s="38"/>
      <c r="B1341" s="49" t="s">
        <v>318</v>
      </c>
      <c r="C1341" s="50" t="s">
        <v>674</v>
      </c>
      <c r="D1341" s="50"/>
      <c r="E1341" s="50"/>
      <c r="F1341" s="50"/>
      <c r="G1341" s="50"/>
      <c r="H1341" s="50"/>
      <c r="I1341" s="50"/>
      <c r="J1341" s="43" t="s">
        <v>34</v>
      </c>
      <c r="K1341" s="43" t="s">
        <v>828</v>
      </c>
      <c r="L1341" s="43" t="s">
        <v>64</v>
      </c>
      <c r="M1341" s="43" t="s">
        <v>469</v>
      </c>
      <c r="N1341" s="53" t="s">
        <v>522</v>
      </c>
      <c r="O1341" s="43" t="s">
        <v>12</v>
      </c>
      <c r="P1341" s="43" t="s">
        <v>13</v>
      </c>
      <c r="Q1341" s="43" t="s">
        <v>9</v>
      </c>
      <c r="R1341" s="43"/>
      <c r="S1341" s="51" t="s">
        <v>723</v>
      </c>
    </row>
    <row r="1342" spans="1:19" ht="18" customHeight="1" x14ac:dyDescent="0.25">
      <c r="A1342" s="38"/>
      <c r="B1342" s="49"/>
      <c r="C1342" s="31" t="s">
        <v>6</v>
      </c>
      <c r="D1342" s="27">
        <f t="shared" ref="D1342:F1342" si="322">SUM(D1343:D1346)</f>
        <v>95000</v>
      </c>
      <c r="E1342" s="23">
        <f t="shared" si="322"/>
        <v>50600</v>
      </c>
      <c r="F1342" s="23">
        <f t="shared" si="322"/>
        <v>44400</v>
      </c>
      <c r="G1342" s="23"/>
      <c r="H1342" s="23"/>
      <c r="I1342" s="23"/>
      <c r="J1342" s="43"/>
      <c r="K1342" s="43"/>
      <c r="L1342" s="43"/>
      <c r="M1342" s="43"/>
      <c r="N1342" s="53"/>
      <c r="O1342" s="43"/>
      <c r="P1342" s="43"/>
      <c r="Q1342" s="43"/>
      <c r="R1342" s="43"/>
      <c r="S1342" s="51"/>
    </row>
    <row r="1343" spans="1:19" ht="18" customHeight="1" x14ac:dyDescent="0.25">
      <c r="A1343" s="38"/>
      <c r="B1343" s="49"/>
      <c r="C1343" s="31" t="s">
        <v>0</v>
      </c>
      <c r="D1343" s="27"/>
      <c r="E1343" s="23"/>
      <c r="F1343" s="23"/>
      <c r="G1343" s="23"/>
      <c r="H1343" s="23"/>
      <c r="I1343" s="23"/>
      <c r="J1343" s="43"/>
      <c r="K1343" s="43"/>
      <c r="L1343" s="43"/>
      <c r="M1343" s="43"/>
      <c r="N1343" s="53"/>
      <c r="O1343" s="43"/>
      <c r="P1343" s="43"/>
      <c r="Q1343" s="43"/>
      <c r="R1343" s="43"/>
      <c r="S1343" s="51"/>
    </row>
    <row r="1344" spans="1:19" ht="18" customHeight="1" x14ac:dyDescent="0.25">
      <c r="A1344" s="38"/>
      <c r="B1344" s="49"/>
      <c r="C1344" s="31" t="s">
        <v>1</v>
      </c>
      <c r="D1344" s="27">
        <f t="shared" ref="D1344:D1345" si="323">SUM(E1344:I1344)</f>
        <v>85000</v>
      </c>
      <c r="E1344" s="23">
        <f>50000-5000</f>
        <v>45000</v>
      </c>
      <c r="F1344" s="23">
        <v>40000</v>
      </c>
      <c r="G1344" s="23"/>
      <c r="H1344" s="23"/>
      <c r="I1344" s="23"/>
      <c r="J1344" s="43"/>
      <c r="K1344" s="43"/>
      <c r="L1344" s="43"/>
      <c r="M1344" s="43"/>
      <c r="N1344" s="53"/>
      <c r="O1344" s="43"/>
      <c r="P1344" s="43"/>
      <c r="Q1344" s="43"/>
      <c r="R1344" s="43"/>
      <c r="S1344" s="51"/>
    </row>
    <row r="1345" spans="1:19" ht="18" customHeight="1" x14ac:dyDescent="0.25">
      <c r="A1345" s="38"/>
      <c r="B1345" s="49"/>
      <c r="C1345" s="31" t="s">
        <v>2</v>
      </c>
      <c r="D1345" s="27">
        <f t="shared" si="323"/>
        <v>10000</v>
      </c>
      <c r="E1345" s="23">
        <v>5600</v>
      </c>
      <c r="F1345" s="23">
        <v>4400</v>
      </c>
      <c r="G1345" s="23"/>
      <c r="H1345" s="23"/>
      <c r="I1345" s="23"/>
      <c r="J1345" s="43"/>
      <c r="K1345" s="43"/>
      <c r="L1345" s="43"/>
      <c r="M1345" s="43"/>
      <c r="N1345" s="53"/>
      <c r="O1345" s="43"/>
      <c r="P1345" s="43"/>
      <c r="Q1345" s="43"/>
      <c r="R1345" s="43"/>
      <c r="S1345" s="51"/>
    </row>
    <row r="1346" spans="1:19" ht="18" customHeight="1" x14ac:dyDescent="0.25">
      <c r="A1346" s="38"/>
      <c r="B1346" s="49"/>
      <c r="C1346" s="31" t="s">
        <v>3</v>
      </c>
      <c r="D1346" s="27"/>
      <c r="E1346" s="23"/>
      <c r="F1346" s="23"/>
      <c r="G1346" s="23"/>
      <c r="H1346" s="23"/>
      <c r="I1346" s="23"/>
      <c r="J1346" s="43"/>
      <c r="K1346" s="43"/>
      <c r="L1346" s="43"/>
      <c r="M1346" s="43"/>
      <c r="N1346" s="53"/>
      <c r="O1346" s="43"/>
      <c r="P1346" s="43"/>
      <c r="Q1346" s="43"/>
      <c r="R1346" s="43"/>
      <c r="S1346" s="51"/>
    </row>
    <row r="1347" spans="1:19" ht="18.75" customHeight="1" x14ac:dyDescent="0.25">
      <c r="A1347" s="37" t="s">
        <v>59</v>
      </c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  <c r="O1347" s="37"/>
      <c r="P1347" s="37"/>
      <c r="Q1347" s="37"/>
      <c r="R1347" s="37"/>
      <c r="S1347" s="37"/>
    </row>
    <row r="1348" spans="1:19" ht="21" customHeight="1" x14ac:dyDescent="0.25">
      <c r="A1348" s="38"/>
      <c r="B1348" s="48" t="s">
        <v>562</v>
      </c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</row>
    <row r="1349" spans="1:19" ht="33" customHeight="1" x14ac:dyDescent="0.25">
      <c r="A1349" s="38"/>
      <c r="B1349" s="49" t="s">
        <v>319</v>
      </c>
      <c r="C1349" s="50" t="s">
        <v>338</v>
      </c>
      <c r="D1349" s="50"/>
      <c r="E1349" s="50"/>
      <c r="F1349" s="50"/>
      <c r="G1349" s="50"/>
      <c r="H1349" s="50"/>
      <c r="I1349" s="50"/>
      <c r="J1349" s="43" t="s">
        <v>16</v>
      </c>
      <c r="K1349" s="43" t="s">
        <v>828</v>
      </c>
      <c r="L1349" s="43" t="s">
        <v>524</v>
      </c>
      <c r="M1349" s="43" t="s">
        <v>469</v>
      </c>
      <c r="N1349" s="53" t="s">
        <v>523</v>
      </c>
      <c r="O1349" s="43" t="s">
        <v>12</v>
      </c>
      <c r="P1349" s="43" t="s">
        <v>13</v>
      </c>
      <c r="Q1349" s="43" t="s">
        <v>9</v>
      </c>
      <c r="R1349" s="43"/>
      <c r="S1349" s="51" t="s">
        <v>724</v>
      </c>
    </row>
    <row r="1350" spans="1:19" ht="18" customHeight="1" x14ac:dyDescent="0.25">
      <c r="A1350" s="38"/>
      <c r="B1350" s="49"/>
      <c r="C1350" s="31" t="s">
        <v>6</v>
      </c>
      <c r="D1350" s="27">
        <f t="shared" ref="D1350:E1350" si="324">SUM(D1351:D1354)</f>
        <v>166929.66899999999</v>
      </c>
      <c r="E1350" s="23">
        <f t="shared" si="324"/>
        <v>166929.66899999999</v>
      </c>
      <c r="F1350" s="23"/>
      <c r="G1350" s="23"/>
      <c r="H1350" s="23"/>
      <c r="I1350" s="23"/>
      <c r="J1350" s="43"/>
      <c r="K1350" s="43"/>
      <c r="L1350" s="43"/>
      <c r="M1350" s="43"/>
      <c r="N1350" s="53"/>
      <c r="O1350" s="43"/>
      <c r="P1350" s="43"/>
      <c r="Q1350" s="43"/>
      <c r="R1350" s="43"/>
      <c r="S1350" s="51"/>
    </row>
    <row r="1351" spans="1:19" ht="18" customHeight="1" x14ac:dyDescent="0.25">
      <c r="A1351" s="38"/>
      <c r="B1351" s="49"/>
      <c r="C1351" s="31" t="s">
        <v>0</v>
      </c>
      <c r="D1351" s="27"/>
      <c r="E1351" s="23"/>
      <c r="F1351" s="23"/>
      <c r="G1351" s="23"/>
      <c r="H1351" s="23"/>
      <c r="I1351" s="23"/>
      <c r="J1351" s="43"/>
      <c r="K1351" s="43"/>
      <c r="L1351" s="43"/>
      <c r="M1351" s="43"/>
      <c r="N1351" s="53"/>
      <c r="O1351" s="43"/>
      <c r="P1351" s="43"/>
      <c r="Q1351" s="43"/>
      <c r="R1351" s="43"/>
      <c r="S1351" s="51"/>
    </row>
    <row r="1352" spans="1:19" ht="18" customHeight="1" x14ac:dyDescent="0.25">
      <c r="A1352" s="38"/>
      <c r="B1352" s="49"/>
      <c r="C1352" s="31" t="s">
        <v>1</v>
      </c>
      <c r="D1352" s="27">
        <f t="shared" ref="D1352:D1353" si="325">SUM(E1352:I1352)</f>
        <v>146652.076</v>
      </c>
      <c r="E1352" s="23">
        <f>232052.076-37000-13400-35000</f>
        <v>146652.076</v>
      </c>
      <c r="F1352" s="23"/>
      <c r="G1352" s="23"/>
      <c r="H1352" s="23"/>
      <c r="I1352" s="23"/>
      <c r="J1352" s="43"/>
      <c r="K1352" s="43"/>
      <c r="L1352" s="43"/>
      <c r="M1352" s="43"/>
      <c r="N1352" s="53"/>
      <c r="O1352" s="43"/>
      <c r="P1352" s="43"/>
      <c r="Q1352" s="43"/>
      <c r="R1352" s="43"/>
      <c r="S1352" s="51"/>
    </row>
    <row r="1353" spans="1:19" ht="18" customHeight="1" x14ac:dyDescent="0.25">
      <c r="A1353" s="38"/>
      <c r="B1353" s="49"/>
      <c r="C1353" s="31" t="s">
        <v>2</v>
      </c>
      <c r="D1353" s="27">
        <f t="shared" si="325"/>
        <v>20277.593000000001</v>
      </c>
      <c r="E1353" s="23">
        <v>20277.593000000001</v>
      </c>
      <c r="F1353" s="23"/>
      <c r="G1353" s="23"/>
      <c r="H1353" s="23"/>
      <c r="I1353" s="23"/>
      <c r="J1353" s="43"/>
      <c r="K1353" s="43"/>
      <c r="L1353" s="43"/>
      <c r="M1353" s="43"/>
      <c r="N1353" s="53"/>
      <c r="O1353" s="43"/>
      <c r="P1353" s="43"/>
      <c r="Q1353" s="43"/>
      <c r="R1353" s="43"/>
      <c r="S1353" s="51"/>
    </row>
    <row r="1354" spans="1:19" ht="18" customHeight="1" x14ac:dyDescent="0.25">
      <c r="A1354" s="38"/>
      <c r="B1354" s="49"/>
      <c r="C1354" s="31" t="s">
        <v>3</v>
      </c>
      <c r="D1354" s="27"/>
      <c r="E1354" s="23"/>
      <c r="F1354" s="23"/>
      <c r="G1354" s="23"/>
      <c r="H1354" s="23"/>
      <c r="I1354" s="23"/>
      <c r="J1354" s="43"/>
      <c r="K1354" s="43"/>
      <c r="L1354" s="43"/>
      <c r="M1354" s="43"/>
      <c r="N1354" s="53"/>
      <c r="O1354" s="43"/>
      <c r="P1354" s="43"/>
      <c r="Q1354" s="43"/>
      <c r="R1354" s="43"/>
      <c r="S1354" s="51"/>
    </row>
    <row r="1355" spans="1:19" ht="18.75" customHeight="1" x14ac:dyDescent="0.25">
      <c r="A1355" s="37" t="s">
        <v>845</v>
      </c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  <c r="O1355" s="37"/>
      <c r="P1355" s="37"/>
      <c r="Q1355" s="37"/>
      <c r="R1355" s="37"/>
      <c r="S1355" s="37"/>
    </row>
    <row r="1356" spans="1:19" ht="21" customHeight="1" x14ac:dyDescent="0.25">
      <c r="A1356" s="38"/>
      <c r="B1356" s="48" t="s">
        <v>564</v>
      </c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</row>
    <row r="1357" spans="1:19" ht="18.75" customHeight="1" x14ac:dyDescent="0.25">
      <c r="A1357" s="38"/>
      <c r="B1357" s="49" t="s">
        <v>320</v>
      </c>
      <c r="C1357" s="50" t="s">
        <v>192</v>
      </c>
      <c r="D1357" s="50"/>
      <c r="E1357" s="50"/>
      <c r="F1357" s="50"/>
      <c r="G1357" s="50"/>
      <c r="H1357" s="50"/>
      <c r="I1357" s="50"/>
      <c r="J1357" s="43" t="s">
        <v>15</v>
      </c>
      <c r="K1357" s="43" t="s">
        <v>821</v>
      </c>
      <c r="L1357" s="43" t="s">
        <v>725</v>
      </c>
      <c r="M1357" s="43" t="s">
        <v>870</v>
      </c>
      <c r="N1357" s="53" t="s">
        <v>726</v>
      </c>
      <c r="O1357" s="43" t="s">
        <v>17</v>
      </c>
      <c r="P1357" s="43" t="s">
        <v>13</v>
      </c>
      <c r="Q1357" s="43" t="s">
        <v>44</v>
      </c>
      <c r="R1357" s="43"/>
      <c r="S1357" s="51"/>
    </row>
    <row r="1358" spans="1:19" ht="18" customHeight="1" x14ac:dyDescent="0.25">
      <c r="A1358" s="38"/>
      <c r="B1358" s="49"/>
      <c r="C1358" s="31" t="s">
        <v>6</v>
      </c>
      <c r="D1358" s="27">
        <f t="shared" ref="D1358:E1358" si="326">SUM(D1359:D1362)</f>
        <v>265000</v>
      </c>
      <c r="E1358" s="23">
        <f t="shared" si="326"/>
        <v>265000</v>
      </c>
      <c r="F1358" s="23"/>
      <c r="G1358" s="23"/>
      <c r="H1358" s="23"/>
      <c r="I1358" s="23"/>
      <c r="J1358" s="43"/>
      <c r="K1358" s="43"/>
      <c r="L1358" s="43"/>
      <c r="M1358" s="43"/>
      <c r="N1358" s="53"/>
      <c r="O1358" s="43"/>
      <c r="P1358" s="43"/>
      <c r="Q1358" s="43"/>
      <c r="R1358" s="43"/>
      <c r="S1358" s="51"/>
    </row>
    <row r="1359" spans="1:19" ht="18" customHeight="1" x14ac:dyDescent="0.25">
      <c r="A1359" s="38"/>
      <c r="B1359" s="49"/>
      <c r="C1359" s="31" t="s">
        <v>0</v>
      </c>
      <c r="D1359" s="27"/>
      <c r="E1359" s="23"/>
      <c r="F1359" s="23"/>
      <c r="G1359" s="23"/>
      <c r="H1359" s="23"/>
      <c r="I1359" s="23"/>
      <c r="J1359" s="43"/>
      <c r="K1359" s="43"/>
      <c r="L1359" s="43"/>
      <c r="M1359" s="43"/>
      <c r="N1359" s="53"/>
      <c r="O1359" s="43"/>
      <c r="P1359" s="43"/>
      <c r="Q1359" s="43"/>
      <c r="R1359" s="43"/>
      <c r="S1359" s="51"/>
    </row>
    <row r="1360" spans="1:19" ht="18" customHeight="1" x14ac:dyDescent="0.25">
      <c r="A1360" s="38"/>
      <c r="B1360" s="49"/>
      <c r="C1360" s="31" t="s">
        <v>1</v>
      </c>
      <c r="D1360" s="27">
        <f t="shared" ref="D1360" si="327">SUM(E1360:I1360)</f>
        <v>265000</v>
      </c>
      <c r="E1360" s="23">
        <v>265000</v>
      </c>
      <c r="F1360" s="23"/>
      <c r="G1360" s="23"/>
      <c r="H1360" s="23"/>
      <c r="I1360" s="23"/>
      <c r="J1360" s="43"/>
      <c r="K1360" s="43"/>
      <c r="L1360" s="43"/>
      <c r="M1360" s="43"/>
      <c r="N1360" s="53"/>
      <c r="O1360" s="43"/>
      <c r="P1360" s="43"/>
      <c r="Q1360" s="43"/>
      <c r="R1360" s="43"/>
      <c r="S1360" s="51"/>
    </row>
    <row r="1361" spans="1:19" ht="18" customHeight="1" x14ac:dyDescent="0.25">
      <c r="A1361" s="38"/>
      <c r="B1361" s="49"/>
      <c r="C1361" s="31" t="s">
        <v>2</v>
      </c>
      <c r="D1361" s="27"/>
      <c r="E1361" s="23"/>
      <c r="F1361" s="23"/>
      <c r="G1361" s="23"/>
      <c r="H1361" s="23"/>
      <c r="I1361" s="23"/>
      <c r="J1361" s="43"/>
      <c r="K1361" s="43"/>
      <c r="L1361" s="43"/>
      <c r="M1361" s="43"/>
      <c r="N1361" s="53"/>
      <c r="O1361" s="43"/>
      <c r="P1361" s="43"/>
      <c r="Q1361" s="43"/>
      <c r="R1361" s="43"/>
      <c r="S1361" s="51"/>
    </row>
    <row r="1362" spans="1:19" ht="18" customHeight="1" x14ac:dyDescent="0.25">
      <c r="A1362" s="38"/>
      <c r="B1362" s="49"/>
      <c r="C1362" s="31" t="s">
        <v>3</v>
      </c>
      <c r="D1362" s="27"/>
      <c r="E1362" s="23"/>
      <c r="F1362" s="23"/>
      <c r="G1362" s="23"/>
      <c r="H1362" s="23"/>
      <c r="I1362" s="23"/>
      <c r="J1362" s="43"/>
      <c r="K1362" s="43"/>
      <c r="L1362" s="43"/>
      <c r="M1362" s="43"/>
      <c r="N1362" s="53"/>
      <c r="O1362" s="43"/>
      <c r="P1362" s="43"/>
      <c r="Q1362" s="43"/>
      <c r="R1362" s="43"/>
      <c r="S1362" s="51"/>
    </row>
    <row r="1363" spans="1:19" ht="18.75" customHeight="1" x14ac:dyDescent="0.25">
      <c r="A1363" s="37" t="s">
        <v>59</v>
      </c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  <c r="O1363" s="37"/>
      <c r="P1363" s="37"/>
      <c r="Q1363" s="37"/>
      <c r="R1363" s="37"/>
      <c r="S1363" s="37"/>
    </row>
    <row r="1364" spans="1:19" ht="21" customHeight="1" x14ac:dyDescent="0.25">
      <c r="A1364" s="38"/>
      <c r="B1364" s="48" t="s">
        <v>562</v>
      </c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</row>
    <row r="1365" spans="1:19" ht="38.25" customHeight="1" x14ac:dyDescent="0.25">
      <c r="A1365" s="38"/>
      <c r="B1365" s="49" t="s">
        <v>321</v>
      </c>
      <c r="C1365" s="50" t="s">
        <v>875</v>
      </c>
      <c r="D1365" s="50"/>
      <c r="E1365" s="50"/>
      <c r="F1365" s="50"/>
      <c r="G1365" s="50"/>
      <c r="H1365" s="50"/>
      <c r="I1365" s="50"/>
      <c r="J1365" s="43" t="s">
        <v>34</v>
      </c>
      <c r="K1365" s="43" t="s">
        <v>828</v>
      </c>
      <c r="L1365" s="43" t="s">
        <v>65</v>
      </c>
      <c r="M1365" s="43" t="s">
        <v>469</v>
      </c>
      <c r="N1365" s="53" t="s">
        <v>727</v>
      </c>
      <c r="O1365" s="43" t="s">
        <v>12</v>
      </c>
      <c r="P1365" s="43" t="s">
        <v>13</v>
      </c>
      <c r="Q1365" s="43" t="s">
        <v>9</v>
      </c>
      <c r="R1365" s="43"/>
      <c r="S1365" s="51" t="s">
        <v>728</v>
      </c>
    </row>
    <row r="1366" spans="1:19" ht="18" customHeight="1" x14ac:dyDescent="0.25">
      <c r="A1366" s="38"/>
      <c r="B1366" s="49"/>
      <c r="C1366" s="31" t="s">
        <v>6</v>
      </c>
      <c r="D1366" s="27">
        <f t="shared" ref="D1366:F1366" si="328">SUM(D1367:D1370)</f>
        <v>298698.16800000001</v>
      </c>
      <c r="E1366" s="23">
        <f t="shared" si="328"/>
        <v>168925.728</v>
      </c>
      <c r="F1366" s="23">
        <f t="shared" si="328"/>
        <v>129772.44</v>
      </c>
      <c r="G1366" s="23"/>
      <c r="H1366" s="23"/>
      <c r="I1366" s="23"/>
      <c r="J1366" s="43"/>
      <c r="K1366" s="43"/>
      <c r="L1366" s="43"/>
      <c r="M1366" s="43"/>
      <c r="N1366" s="53"/>
      <c r="O1366" s="43"/>
      <c r="P1366" s="43"/>
      <c r="Q1366" s="43"/>
      <c r="R1366" s="43"/>
      <c r="S1366" s="51"/>
    </row>
    <row r="1367" spans="1:19" ht="18" customHeight="1" x14ac:dyDescent="0.25">
      <c r="A1367" s="38"/>
      <c r="B1367" s="49"/>
      <c r="C1367" s="31" t="s">
        <v>0</v>
      </c>
      <c r="D1367" s="27"/>
      <c r="E1367" s="23"/>
      <c r="F1367" s="23"/>
      <c r="G1367" s="23"/>
      <c r="H1367" s="23"/>
      <c r="I1367" s="23"/>
      <c r="J1367" s="43"/>
      <c r="K1367" s="43"/>
      <c r="L1367" s="43"/>
      <c r="M1367" s="43"/>
      <c r="N1367" s="53"/>
      <c r="O1367" s="43"/>
      <c r="P1367" s="43"/>
      <c r="Q1367" s="43"/>
      <c r="R1367" s="43"/>
      <c r="S1367" s="51"/>
    </row>
    <row r="1368" spans="1:19" ht="18" customHeight="1" x14ac:dyDescent="0.25">
      <c r="A1368" s="38"/>
      <c r="B1368" s="49"/>
      <c r="C1368" s="31" t="s">
        <v>1</v>
      </c>
      <c r="D1368" s="27">
        <f t="shared" ref="D1368:D1369" si="329">SUM(E1368:I1368)</f>
        <v>262010.92800000001</v>
      </c>
      <c r="E1368" s="23">
        <f>165215.728-20000</f>
        <v>145215.728</v>
      </c>
      <c r="F1368" s="23">
        <v>116795.2</v>
      </c>
      <c r="G1368" s="23"/>
      <c r="H1368" s="23"/>
      <c r="I1368" s="23"/>
      <c r="J1368" s="43"/>
      <c r="K1368" s="43"/>
      <c r="L1368" s="43"/>
      <c r="M1368" s="43"/>
      <c r="N1368" s="53"/>
      <c r="O1368" s="43"/>
      <c r="P1368" s="43"/>
      <c r="Q1368" s="43"/>
      <c r="R1368" s="43"/>
      <c r="S1368" s="51"/>
    </row>
    <row r="1369" spans="1:19" ht="18" customHeight="1" x14ac:dyDescent="0.25">
      <c r="A1369" s="38"/>
      <c r="B1369" s="49"/>
      <c r="C1369" s="31" t="s">
        <v>2</v>
      </c>
      <c r="D1369" s="27">
        <f t="shared" si="329"/>
        <v>36687.24</v>
      </c>
      <c r="E1369" s="23">
        <v>23710</v>
      </c>
      <c r="F1369" s="23">
        <v>12977.24</v>
      </c>
      <c r="G1369" s="23"/>
      <c r="H1369" s="23"/>
      <c r="I1369" s="23"/>
      <c r="J1369" s="43"/>
      <c r="K1369" s="43"/>
      <c r="L1369" s="43"/>
      <c r="M1369" s="43"/>
      <c r="N1369" s="53"/>
      <c r="O1369" s="43"/>
      <c r="P1369" s="43"/>
      <c r="Q1369" s="43"/>
      <c r="R1369" s="43"/>
      <c r="S1369" s="51"/>
    </row>
    <row r="1370" spans="1:19" ht="18" customHeight="1" x14ac:dyDescent="0.25">
      <c r="A1370" s="38"/>
      <c r="B1370" s="49"/>
      <c r="C1370" s="31" t="s">
        <v>3</v>
      </c>
      <c r="D1370" s="27"/>
      <c r="E1370" s="23"/>
      <c r="F1370" s="23"/>
      <c r="G1370" s="23"/>
      <c r="H1370" s="23"/>
      <c r="I1370" s="23"/>
      <c r="J1370" s="43"/>
      <c r="K1370" s="43"/>
      <c r="L1370" s="43"/>
      <c r="M1370" s="43"/>
      <c r="N1370" s="53"/>
      <c r="O1370" s="43"/>
      <c r="P1370" s="43"/>
      <c r="Q1370" s="43"/>
      <c r="R1370" s="43"/>
      <c r="S1370" s="51"/>
    </row>
    <row r="1371" spans="1:19" ht="18.75" customHeight="1" x14ac:dyDescent="0.25">
      <c r="A1371" s="37" t="s">
        <v>59</v>
      </c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  <c r="O1371" s="37"/>
      <c r="P1371" s="37"/>
      <c r="Q1371" s="37"/>
      <c r="R1371" s="37"/>
      <c r="S1371" s="37"/>
    </row>
    <row r="1372" spans="1:19" ht="21" customHeight="1" x14ac:dyDescent="0.25">
      <c r="A1372" s="38"/>
      <c r="B1372" s="48" t="s">
        <v>563</v>
      </c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</row>
    <row r="1373" spans="1:19" ht="18.75" customHeight="1" x14ac:dyDescent="0.25">
      <c r="A1373" s="38"/>
      <c r="B1373" s="49" t="s">
        <v>322</v>
      </c>
      <c r="C1373" s="50" t="s">
        <v>876</v>
      </c>
      <c r="D1373" s="50"/>
      <c r="E1373" s="50"/>
      <c r="F1373" s="50"/>
      <c r="G1373" s="50"/>
      <c r="H1373" s="50"/>
      <c r="I1373" s="50"/>
      <c r="J1373" s="43" t="s">
        <v>66</v>
      </c>
      <c r="K1373" s="43" t="s">
        <v>828</v>
      </c>
      <c r="L1373" s="43" t="s">
        <v>396</v>
      </c>
      <c r="M1373" s="43" t="s">
        <v>469</v>
      </c>
      <c r="N1373" s="53" t="s">
        <v>526</v>
      </c>
      <c r="O1373" s="43" t="s">
        <v>12</v>
      </c>
      <c r="P1373" s="43" t="s">
        <v>13</v>
      </c>
      <c r="Q1373" s="43" t="s">
        <v>44</v>
      </c>
      <c r="R1373" s="43"/>
      <c r="S1373" s="51"/>
    </row>
    <row r="1374" spans="1:19" ht="18" customHeight="1" x14ac:dyDescent="0.25">
      <c r="A1374" s="38"/>
      <c r="B1374" s="49"/>
      <c r="C1374" s="31" t="s">
        <v>6</v>
      </c>
      <c r="D1374" s="27">
        <f t="shared" ref="D1374:H1374" si="330">SUM(D1375:D1378)</f>
        <v>800000</v>
      </c>
      <c r="E1374" s="23"/>
      <c r="F1374" s="23">
        <f t="shared" si="330"/>
        <v>72000</v>
      </c>
      <c r="G1374" s="23">
        <f t="shared" si="330"/>
        <v>168000</v>
      </c>
      <c r="H1374" s="23">
        <f t="shared" si="330"/>
        <v>560000</v>
      </c>
      <c r="I1374" s="23"/>
      <c r="J1374" s="43"/>
      <c r="K1374" s="43"/>
      <c r="L1374" s="43"/>
      <c r="M1374" s="43"/>
      <c r="N1374" s="53"/>
      <c r="O1374" s="43"/>
      <c r="P1374" s="43"/>
      <c r="Q1374" s="43"/>
      <c r="R1374" s="43"/>
      <c r="S1374" s="51"/>
    </row>
    <row r="1375" spans="1:19" ht="18" customHeight="1" x14ac:dyDescent="0.25">
      <c r="A1375" s="38"/>
      <c r="B1375" s="49"/>
      <c r="C1375" s="31" t="s">
        <v>0</v>
      </c>
      <c r="D1375" s="27"/>
      <c r="E1375" s="23"/>
      <c r="F1375" s="23"/>
      <c r="G1375" s="23"/>
      <c r="H1375" s="23"/>
      <c r="I1375" s="23"/>
      <c r="J1375" s="43"/>
      <c r="K1375" s="43"/>
      <c r="L1375" s="43"/>
      <c r="M1375" s="43"/>
      <c r="N1375" s="53"/>
      <c r="O1375" s="43"/>
      <c r="P1375" s="43"/>
      <c r="Q1375" s="43"/>
      <c r="R1375" s="43"/>
      <c r="S1375" s="51"/>
    </row>
    <row r="1376" spans="1:19" ht="18" customHeight="1" x14ac:dyDescent="0.25">
      <c r="A1376" s="38"/>
      <c r="B1376" s="49"/>
      <c r="C1376" s="31" t="s">
        <v>1</v>
      </c>
      <c r="D1376" s="27">
        <f t="shared" ref="D1376:D1378" si="331">SUM(E1376:I1376)</f>
        <v>168000</v>
      </c>
      <c r="E1376" s="23"/>
      <c r="F1376" s="23">
        <v>50400</v>
      </c>
      <c r="G1376" s="23">
        <v>117600</v>
      </c>
      <c r="H1376" s="23"/>
      <c r="I1376" s="23"/>
      <c r="J1376" s="43"/>
      <c r="K1376" s="43"/>
      <c r="L1376" s="43"/>
      <c r="M1376" s="43"/>
      <c r="N1376" s="53"/>
      <c r="O1376" s="43"/>
      <c r="P1376" s="43"/>
      <c r="Q1376" s="43"/>
      <c r="R1376" s="43"/>
      <c r="S1376" s="51"/>
    </row>
    <row r="1377" spans="1:19" ht="18" customHeight="1" x14ac:dyDescent="0.25">
      <c r="A1377" s="38"/>
      <c r="B1377" s="49"/>
      <c r="C1377" s="31" t="s">
        <v>2</v>
      </c>
      <c r="D1377" s="27">
        <f t="shared" si="331"/>
        <v>72000</v>
      </c>
      <c r="E1377" s="23"/>
      <c r="F1377" s="23">
        <v>21600</v>
      </c>
      <c r="G1377" s="23">
        <v>50400</v>
      </c>
      <c r="H1377" s="23"/>
      <c r="I1377" s="23"/>
      <c r="J1377" s="43"/>
      <c r="K1377" s="43"/>
      <c r="L1377" s="43"/>
      <c r="M1377" s="43"/>
      <c r="N1377" s="53"/>
      <c r="O1377" s="43"/>
      <c r="P1377" s="43"/>
      <c r="Q1377" s="43"/>
      <c r="R1377" s="43"/>
      <c r="S1377" s="51"/>
    </row>
    <row r="1378" spans="1:19" ht="18" customHeight="1" x14ac:dyDescent="0.25">
      <c r="A1378" s="38"/>
      <c r="B1378" s="49"/>
      <c r="C1378" s="31" t="s">
        <v>3</v>
      </c>
      <c r="D1378" s="27">
        <f t="shared" si="331"/>
        <v>560000</v>
      </c>
      <c r="E1378" s="23"/>
      <c r="F1378" s="23"/>
      <c r="G1378" s="23"/>
      <c r="H1378" s="23">
        <v>560000</v>
      </c>
      <c r="I1378" s="23"/>
      <c r="J1378" s="43"/>
      <c r="K1378" s="43"/>
      <c r="L1378" s="43"/>
      <c r="M1378" s="43"/>
      <c r="N1378" s="53"/>
      <c r="O1378" s="43"/>
      <c r="P1378" s="43"/>
      <c r="Q1378" s="43"/>
      <c r="R1378" s="43"/>
      <c r="S1378" s="51"/>
    </row>
    <row r="1379" spans="1:19" ht="18.75" customHeight="1" x14ac:dyDescent="0.25">
      <c r="A1379" s="37" t="s">
        <v>59</v>
      </c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  <c r="O1379" s="37"/>
      <c r="P1379" s="37"/>
      <c r="Q1379" s="37"/>
      <c r="R1379" s="37"/>
      <c r="S1379" s="37"/>
    </row>
    <row r="1380" spans="1:19" ht="21" customHeight="1" x14ac:dyDescent="0.25">
      <c r="A1380" s="38"/>
      <c r="B1380" s="48" t="s">
        <v>562</v>
      </c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</row>
    <row r="1381" spans="1:19" ht="18.75" customHeight="1" x14ac:dyDescent="0.25">
      <c r="A1381" s="38"/>
      <c r="B1381" s="49" t="s">
        <v>323</v>
      </c>
      <c r="C1381" s="50" t="s">
        <v>813</v>
      </c>
      <c r="D1381" s="50"/>
      <c r="E1381" s="50"/>
      <c r="F1381" s="50"/>
      <c r="G1381" s="50"/>
      <c r="H1381" s="50"/>
      <c r="I1381" s="50"/>
      <c r="J1381" s="43" t="s">
        <v>15</v>
      </c>
      <c r="K1381" s="43" t="s">
        <v>828</v>
      </c>
      <c r="L1381" s="43" t="s">
        <v>67</v>
      </c>
      <c r="M1381" s="43" t="s">
        <v>469</v>
      </c>
      <c r="N1381" s="53" t="s">
        <v>527</v>
      </c>
      <c r="O1381" s="43" t="s">
        <v>12</v>
      </c>
      <c r="P1381" s="43" t="s">
        <v>13</v>
      </c>
      <c r="Q1381" s="43" t="s">
        <v>44</v>
      </c>
      <c r="R1381" s="43"/>
      <c r="S1381" s="51" t="s">
        <v>729</v>
      </c>
    </row>
    <row r="1382" spans="1:19" ht="18" customHeight="1" x14ac:dyDescent="0.25">
      <c r="A1382" s="38"/>
      <c r="B1382" s="49"/>
      <c r="C1382" s="31" t="s">
        <v>6</v>
      </c>
      <c r="D1382" s="27">
        <f t="shared" ref="D1382:E1382" si="332">SUM(D1383:D1386)</f>
        <v>24800</v>
      </c>
      <c r="E1382" s="23">
        <f t="shared" si="332"/>
        <v>24800</v>
      </c>
      <c r="F1382" s="23"/>
      <c r="G1382" s="23"/>
      <c r="H1382" s="23"/>
      <c r="I1382" s="23"/>
      <c r="J1382" s="43"/>
      <c r="K1382" s="43"/>
      <c r="L1382" s="43"/>
      <c r="M1382" s="43"/>
      <c r="N1382" s="53"/>
      <c r="O1382" s="43"/>
      <c r="P1382" s="43"/>
      <c r="Q1382" s="43"/>
      <c r="R1382" s="43"/>
      <c r="S1382" s="51"/>
    </row>
    <row r="1383" spans="1:19" ht="18" customHeight="1" x14ac:dyDescent="0.25">
      <c r="A1383" s="38"/>
      <c r="B1383" s="49"/>
      <c r="C1383" s="31" t="s">
        <v>0</v>
      </c>
      <c r="D1383" s="27"/>
      <c r="E1383" s="23"/>
      <c r="F1383" s="23"/>
      <c r="G1383" s="23"/>
      <c r="H1383" s="23"/>
      <c r="I1383" s="23"/>
      <c r="J1383" s="43"/>
      <c r="K1383" s="43"/>
      <c r="L1383" s="43"/>
      <c r="M1383" s="43"/>
      <c r="N1383" s="53"/>
      <c r="O1383" s="43"/>
      <c r="P1383" s="43"/>
      <c r="Q1383" s="43"/>
      <c r="R1383" s="43"/>
      <c r="S1383" s="51"/>
    </row>
    <row r="1384" spans="1:19" ht="18" customHeight="1" x14ac:dyDescent="0.25">
      <c r="A1384" s="38"/>
      <c r="B1384" s="49"/>
      <c r="C1384" s="31" t="s">
        <v>1</v>
      </c>
      <c r="D1384" s="27">
        <f t="shared" ref="D1384:D1385" si="333">SUM(E1384:I1384)</f>
        <v>17400</v>
      </c>
      <c r="E1384" s="23">
        <f>40500-8100-15000</f>
        <v>17400</v>
      </c>
      <c r="F1384" s="23"/>
      <c r="G1384" s="23"/>
      <c r="H1384" s="23"/>
      <c r="I1384" s="23"/>
      <c r="J1384" s="43"/>
      <c r="K1384" s="43"/>
      <c r="L1384" s="43"/>
      <c r="M1384" s="43"/>
      <c r="N1384" s="53"/>
      <c r="O1384" s="43"/>
      <c r="P1384" s="43"/>
      <c r="Q1384" s="43"/>
      <c r="R1384" s="43"/>
      <c r="S1384" s="51"/>
    </row>
    <row r="1385" spans="1:19" ht="18" customHeight="1" x14ac:dyDescent="0.25">
      <c r="A1385" s="38"/>
      <c r="B1385" s="49"/>
      <c r="C1385" s="31" t="s">
        <v>2</v>
      </c>
      <c r="D1385" s="27">
        <f t="shared" si="333"/>
        <v>7400</v>
      </c>
      <c r="E1385" s="23">
        <v>7400</v>
      </c>
      <c r="F1385" s="23"/>
      <c r="G1385" s="23"/>
      <c r="H1385" s="23"/>
      <c r="I1385" s="23"/>
      <c r="J1385" s="43"/>
      <c r="K1385" s="43"/>
      <c r="L1385" s="43"/>
      <c r="M1385" s="43"/>
      <c r="N1385" s="53"/>
      <c r="O1385" s="43"/>
      <c r="P1385" s="43"/>
      <c r="Q1385" s="43"/>
      <c r="R1385" s="43"/>
      <c r="S1385" s="51"/>
    </row>
    <row r="1386" spans="1:19" ht="18" customHeight="1" x14ac:dyDescent="0.25">
      <c r="A1386" s="38"/>
      <c r="B1386" s="49"/>
      <c r="C1386" s="31" t="s">
        <v>3</v>
      </c>
      <c r="D1386" s="27"/>
      <c r="E1386" s="23"/>
      <c r="F1386" s="23"/>
      <c r="G1386" s="23"/>
      <c r="H1386" s="23"/>
      <c r="I1386" s="23"/>
      <c r="J1386" s="43"/>
      <c r="K1386" s="43"/>
      <c r="L1386" s="43"/>
      <c r="M1386" s="43"/>
      <c r="N1386" s="53"/>
      <c r="O1386" s="43"/>
      <c r="P1386" s="43"/>
      <c r="Q1386" s="43"/>
      <c r="R1386" s="43"/>
      <c r="S1386" s="51"/>
    </row>
    <row r="1387" spans="1:19" ht="18.75" customHeight="1" x14ac:dyDescent="0.25">
      <c r="A1387" s="37" t="s">
        <v>59</v>
      </c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  <c r="O1387" s="37"/>
      <c r="P1387" s="37"/>
      <c r="Q1387" s="37"/>
      <c r="R1387" s="37"/>
      <c r="S1387" s="37"/>
    </row>
    <row r="1388" spans="1:19" ht="21" customHeight="1" x14ac:dyDescent="0.25">
      <c r="A1388" s="38"/>
      <c r="B1388" s="48" t="s">
        <v>562</v>
      </c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</row>
    <row r="1389" spans="1:19" ht="27.75" customHeight="1" x14ac:dyDescent="0.25">
      <c r="A1389" s="38"/>
      <c r="B1389" s="49" t="s">
        <v>324</v>
      </c>
      <c r="C1389" s="50" t="s">
        <v>672</v>
      </c>
      <c r="D1389" s="50"/>
      <c r="E1389" s="50"/>
      <c r="F1389" s="50"/>
      <c r="G1389" s="50"/>
      <c r="H1389" s="50"/>
      <c r="I1389" s="50"/>
      <c r="J1389" s="43" t="s">
        <v>11</v>
      </c>
      <c r="K1389" s="43" t="s">
        <v>828</v>
      </c>
      <c r="L1389" s="43" t="s">
        <v>68</v>
      </c>
      <c r="M1389" s="43" t="s">
        <v>469</v>
      </c>
      <c r="N1389" s="53" t="s">
        <v>544</v>
      </c>
      <c r="O1389" s="43" t="s">
        <v>12</v>
      </c>
      <c r="P1389" s="43" t="s">
        <v>13</v>
      </c>
      <c r="Q1389" s="43" t="s">
        <v>44</v>
      </c>
      <c r="R1389" s="43"/>
      <c r="S1389" s="51"/>
    </row>
    <row r="1390" spans="1:19" ht="18" customHeight="1" x14ac:dyDescent="0.25">
      <c r="A1390" s="38"/>
      <c r="B1390" s="49"/>
      <c r="C1390" s="31" t="s">
        <v>6</v>
      </c>
      <c r="D1390" s="27">
        <f t="shared" ref="D1390:G1390" si="334">SUM(D1391:D1394)</f>
        <v>126081.001</v>
      </c>
      <c r="E1390" s="23">
        <f t="shared" si="334"/>
        <v>38081.001000000004</v>
      </c>
      <c r="F1390" s="23">
        <f t="shared" si="334"/>
        <v>44000</v>
      </c>
      <c r="G1390" s="23">
        <f t="shared" si="334"/>
        <v>44000</v>
      </c>
      <c r="H1390" s="23"/>
      <c r="I1390" s="23"/>
      <c r="J1390" s="43"/>
      <c r="K1390" s="43"/>
      <c r="L1390" s="43"/>
      <c r="M1390" s="43"/>
      <c r="N1390" s="53"/>
      <c r="O1390" s="43"/>
      <c r="P1390" s="43"/>
      <c r="Q1390" s="43"/>
      <c r="R1390" s="43"/>
      <c r="S1390" s="51"/>
    </row>
    <row r="1391" spans="1:19" ht="18" customHeight="1" x14ac:dyDescent="0.25">
      <c r="A1391" s="38"/>
      <c r="B1391" s="49"/>
      <c r="C1391" s="31" t="s">
        <v>0</v>
      </c>
      <c r="D1391" s="27"/>
      <c r="E1391" s="23"/>
      <c r="F1391" s="23"/>
      <c r="G1391" s="23"/>
      <c r="H1391" s="23"/>
      <c r="I1391" s="23"/>
      <c r="J1391" s="43"/>
      <c r="K1391" s="43"/>
      <c r="L1391" s="43"/>
      <c r="M1391" s="43"/>
      <c r="N1391" s="53"/>
      <c r="O1391" s="43"/>
      <c r="P1391" s="43"/>
      <c r="Q1391" s="43"/>
      <c r="R1391" s="43"/>
      <c r="S1391" s="51"/>
    </row>
    <row r="1392" spans="1:19" ht="18" customHeight="1" x14ac:dyDescent="0.25">
      <c r="A1392" s="38"/>
      <c r="B1392" s="49"/>
      <c r="C1392" s="31" t="s">
        <v>1</v>
      </c>
      <c r="D1392" s="27">
        <f t="shared" ref="D1392:D1393" si="335">SUM(E1392:I1392)</f>
        <v>113681.001</v>
      </c>
      <c r="E1392" s="23">
        <f>76230.281-17550-24999.28</f>
        <v>33681.001000000004</v>
      </c>
      <c r="F1392" s="23">
        <v>40000</v>
      </c>
      <c r="G1392" s="23">
        <v>40000</v>
      </c>
      <c r="H1392" s="23"/>
      <c r="I1392" s="23"/>
      <c r="J1392" s="43"/>
      <c r="K1392" s="43"/>
      <c r="L1392" s="43"/>
      <c r="M1392" s="43"/>
      <c r="N1392" s="53"/>
      <c r="O1392" s="43"/>
      <c r="P1392" s="43"/>
      <c r="Q1392" s="43"/>
      <c r="R1392" s="43"/>
      <c r="S1392" s="51"/>
    </row>
    <row r="1393" spans="1:19" ht="18" customHeight="1" x14ac:dyDescent="0.25">
      <c r="A1393" s="38"/>
      <c r="B1393" s="49"/>
      <c r="C1393" s="31" t="s">
        <v>2</v>
      </c>
      <c r="D1393" s="27">
        <f t="shared" si="335"/>
        <v>12400</v>
      </c>
      <c r="E1393" s="23">
        <v>4400</v>
      </c>
      <c r="F1393" s="23">
        <v>4000</v>
      </c>
      <c r="G1393" s="23">
        <v>4000</v>
      </c>
      <c r="H1393" s="23"/>
      <c r="I1393" s="23"/>
      <c r="J1393" s="43"/>
      <c r="K1393" s="43"/>
      <c r="L1393" s="43"/>
      <c r="M1393" s="43"/>
      <c r="N1393" s="53"/>
      <c r="O1393" s="43"/>
      <c r="P1393" s="43"/>
      <c r="Q1393" s="43"/>
      <c r="R1393" s="43"/>
      <c r="S1393" s="51"/>
    </row>
    <row r="1394" spans="1:19" ht="18" customHeight="1" x14ac:dyDescent="0.25">
      <c r="A1394" s="38"/>
      <c r="B1394" s="49"/>
      <c r="C1394" s="31" t="s">
        <v>3</v>
      </c>
      <c r="D1394" s="27"/>
      <c r="E1394" s="23"/>
      <c r="F1394" s="23"/>
      <c r="G1394" s="23"/>
      <c r="H1394" s="23"/>
      <c r="I1394" s="23"/>
      <c r="J1394" s="43"/>
      <c r="K1394" s="43"/>
      <c r="L1394" s="43"/>
      <c r="M1394" s="43"/>
      <c r="N1394" s="53"/>
      <c r="O1394" s="43"/>
      <c r="P1394" s="43"/>
      <c r="Q1394" s="43"/>
      <c r="R1394" s="43"/>
      <c r="S1394" s="51"/>
    </row>
    <row r="1395" spans="1:19" ht="18.75" customHeight="1" x14ac:dyDescent="0.25">
      <c r="A1395" s="37" t="s">
        <v>59</v>
      </c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  <c r="O1395" s="37"/>
      <c r="P1395" s="37"/>
      <c r="Q1395" s="37"/>
      <c r="R1395" s="37"/>
      <c r="S1395" s="37"/>
    </row>
    <row r="1396" spans="1:19" ht="21" customHeight="1" x14ac:dyDescent="0.25">
      <c r="A1396" s="38"/>
      <c r="B1396" s="48" t="s">
        <v>562</v>
      </c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</row>
    <row r="1397" spans="1:19" ht="37.5" customHeight="1" x14ac:dyDescent="0.25">
      <c r="A1397" s="38"/>
      <c r="B1397" s="49" t="s">
        <v>325</v>
      </c>
      <c r="C1397" s="50" t="s">
        <v>673</v>
      </c>
      <c r="D1397" s="50"/>
      <c r="E1397" s="50"/>
      <c r="F1397" s="50"/>
      <c r="G1397" s="50"/>
      <c r="H1397" s="50"/>
      <c r="I1397" s="50"/>
      <c r="J1397" s="43" t="s">
        <v>66</v>
      </c>
      <c r="K1397" s="43" t="s">
        <v>828</v>
      </c>
      <c r="L1397" s="43" t="s">
        <v>69</v>
      </c>
      <c r="M1397" s="43" t="s">
        <v>469</v>
      </c>
      <c r="N1397" s="53" t="s">
        <v>528</v>
      </c>
      <c r="O1397" s="43" t="s">
        <v>12</v>
      </c>
      <c r="P1397" s="43" t="s">
        <v>13</v>
      </c>
      <c r="Q1397" s="43" t="s">
        <v>44</v>
      </c>
      <c r="R1397" s="43"/>
      <c r="S1397" s="51"/>
    </row>
    <row r="1398" spans="1:19" ht="18" customHeight="1" x14ac:dyDescent="0.25">
      <c r="A1398" s="38"/>
      <c r="B1398" s="49"/>
      <c r="C1398" s="31" t="s">
        <v>6</v>
      </c>
      <c r="D1398" s="27">
        <f t="shared" ref="D1398:H1398" si="336">SUM(D1399:D1402)</f>
        <v>807871.08200000005</v>
      </c>
      <c r="E1398" s="23">
        <f t="shared" si="336"/>
        <v>52469.182000000001</v>
      </c>
      <c r="F1398" s="23">
        <f t="shared" si="336"/>
        <v>110000</v>
      </c>
      <c r="G1398" s="23">
        <f t="shared" si="336"/>
        <v>325338.2</v>
      </c>
      <c r="H1398" s="23">
        <f t="shared" si="336"/>
        <v>320063.7</v>
      </c>
      <c r="I1398" s="23"/>
      <c r="J1398" s="43"/>
      <c r="K1398" s="43"/>
      <c r="L1398" s="43"/>
      <c r="M1398" s="43"/>
      <c r="N1398" s="53"/>
      <c r="O1398" s="43"/>
      <c r="P1398" s="43"/>
      <c r="Q1398" s="43"/>
      <c r="R1398" s="43"/>
      <c r="S1398" s="51"/>
    </row>
    <row r="1399" spans="1:19" ht="18" customHeight="1" x14ac:dyDescent="0.25">
      <c r="A1399" s="38"/>
      <c r="B1399" s="49"/>
      <c r="C1399" s="31" t="s">
        <v>0</v>
      </c>
      <c r="D1399" s="27"/>
      <c r="E1399" s="23"/>
      <c r="F1399" s="23"/>
      <c r="G1399" s="23"/>
      <c r="H1399" s="23"/>
      <c r="I1399" s="23"/>
      <c r="J1399" s="43"/>
      <c r="K1399" s="43"/>
      <c r="L1399" s="43"/>
      <c r="M1399" s="43"/>
      <c r="N1399" s="53"/>
      <c r="O1399" s="43"/>
      <c r="P1399" s="43"/>
      <c r="Q1399" s="43"/>
      <c r="R1399" s="43"/>
      <c r="S1399" s="51"/>
    </row>
    <row r="1400" spans="1:19" ht="18" customHeight="1" x14ac:dyDescent="0.25">
      <c r="A1400" s="38"/>
      <c r="B1400" s="49"/>
      <c r="C1400" s="31" t="s">
        <v>1</v>
      </c>
      <c r="D1400" s="27">
        <f t="shared" ref="D1400:D1401" si="337">SUM(E1400:I1400)</f>
        <v>729198.18200000003</v>
      </c>
      <c r="E1400" s="23">
        <f>75847.02-13377.838-20000</f>
        <v>42469.182000000001</v>
      </c>
      <c r="F1400" s="23">
        <v>100000</v>
      </c>
      <c r="G1400" s="23">
        <v>295762</v>
      </c>
      <c r="H1400" s="23">
        <v>290967</v>
      </c>
      <c r="I1400" s="23"/>
      <c r="J1400" s="43"/>
      <c r="K1400" s="43"/>
      <c r="L1400" s="43"/>
      <c r="M1400" s="43"/>
      <c r="N1400" s="53"/>
      <c r="O1400" s="43"/>
      <c r="P1400" s="43"/>
      <c r="Q1400" s="43"/>
      <c r="R1400" s="43"/>
      <c r="S1400" s="51"/>
    </row>
    <row r="1401" spans="1:19" ht="18" customHeight="1" x14ac:dyDescent="0.25">
      <c r="A1401" s="38"/>
      <c r="B1401" s="49"/>
      <c r="C1401" s="31" t="s">
        <v>2</v>
      </c>
      <c r="D1401" s="27">
        <f t="shared" si="337"/>
        <v>78672.899999999994</v>
      </c>
      <c r="E1401" s="23">
        <v>10000</v>
      </c>
      <c r="F1401" s="23">
        <v>10000</v>
      </c>
      <c r="G1401" s="23">
        <v>29576.2</v>
      </c>
      <c r="H1401" s="23">
        <v>29096.7</v>
      </c>
      <c r="I1401" s="23"/>
      <c r="J1401" s="43"/>
      <c r="K1401" s="43"/>
      <c r="L1401" s="43"/>
      <c r="M1401" s="43"/>
      <c r="N1401" s="53"/>
      <c r="O1401" s="43"/>
      <c r="P1401" s="43"/>
      <c r="Q1401" s="43"/>
      <c r="R1401" s="43"/>
      <c r="S1401" s="51"/>
    </row>
    <row r="1402" spans="1:19" ht="18" customHeight="1" x14ac:dyDescent="0.25">
      <c r="A1402" s="38"/>
      <c r="B1402" s="49"/>
      <c r="C1402" s="31" t="s">
        <v>3</v>
      </c>
      <c r="D1402" s="27"/>
      <c r="E1402" s="23"/>
      <c r="F1402" s="23"/>
      <c r="G1402" s="23"/>
      <c r="H1402" s="23"/>
      <c r="I1402" s="23"/>
      <c r="J1402" s="43"/>
      <c r="K1402" s="43"/>
      <c r="L1402" s="43"/>
      <c r="M1402" s="43"/>
      <c r="N1402" s="53"/>
      <c r="O1402" s="43"/>
      <c r="P1402" s="43"/>
      <c r="Q1402" s="43"/>
      <c r="R1402" s="43"/>
      <c r="S1402" s="51"/>
    </row>
    <row r="1403" spans="1:19" ht="18.75" customHeight="1" x14ac:dyDescent="0.25">
      <c r="A1403" s="37" t="s">
        <v>59</v>
      </c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  <c r="O1403" s="37"/>
      <c r="P1403" s="37"/>
      <c r="Q1403" s="37"/>
      <c r="R1403" s="37"/>
      <c r="S1403" s="37"/>
    </row>
    <row r="1404" spans="1:19" ht="21" customHeight="1" x14ac:dyDescent="0.25">
      <c r="A1404" s="38"/>
      <c r="B1404" s="48" t="s">
        <v>562</v>
      </c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</row>
    <row r="1405" spans="1:19" ht="18" customHeight="1" x14ac:dyDescent="0.25">
      <c r="A1405" s="38"/>
      <c r="B1405" s="49" t="s">
        <v>326</v>
      </c>
      <c r="C1405" s="50" t="s">
        <v>157</v>
      </c>
      <c r="D1405" s="50"/>
      <c r="E1405" s="50"/>
      <c r="F1405" s="50"/>
      <c r="G1405" s="50"/>
      <c r="H1405" s="50"/>
      <c r="I1405" s="50"/>
      <c r="J1405" s="43" t="s">
        <v>11</v>
      </c>
      <c r="K1405" s="43" t="s">
        <v>821</v>
      </c>
      <c r="L1405" s="43" t="s">
        <v>70</v>
      </c>
      <c r="M1405" s="43" t="s">
        <v>62</v>
      </c>
      <c r="N1405" s="53" t="s">
        <v>730</v>
      </c>
      <c r="O1405" s="43" t="s">
        <v>17</v>
      </c>
      <c r="P1405" s="43" t="s">
        <v>18</v>
      </c>
      <c r="Q1405" s="43" t="s">
        <v>44</v>
      </c>
      <c r="R1405" s="43"/>
      <c r="S1405" s="51"/>
    </row>
    <row r="1406" spans="1:19" ht="18" customHeight="1" x14ac:dyDescent="0.25">
      <c r="A1406" s="38"/>
      <c r="B1406" s="49"/>
      <c r="C1406" s="31" t="s">
        <v>6</v>
      </c>
      <c r="D1406" s="27">
        <f t="shared" ref="D1406:E1406" si="338">SUM(D1407:D1410)</f>
        <v>13007.82531</v>
      </c>
      <c r="E1406" s="23">
        <f t="shared" si="338"/>
        <v>13007.82531</v>
      </c>
      <c r="F1406" s="23"/>
      <c r="G1406" s="23"/>
      <c r="H1406" s="23"/>
      <c r="I1406" s="23"/>
      <c r="J1406" s="43"/>
      <c r="K1406" s="43"/>
      <c r="L1406" s="43"/>
      <c r="M1406" s="43"/>
      <c r="N1406" s="53"/>
      <c r="O1406" s="43"/>
      <c r="P1406" s="43"/>
      <c r="Q1406" s="43"/>
      <c r="R1406" s="43"/>
      <c r="S1406" s="51"/>
    </row>
    <row r="1407" spans="1:19" ht="18" customHeight="1" x14ac:dyDescent="0.25">
      <c r="A1407" s="38"/>
      <c r="B1407" s="49"/>
      <c r="C1407" s="31" t="s">
        <v>0</v>
      </c>
      <c r="D1407" s="27"/>
      <c r="E1407" s="23"/>
      <c r="F1407" s="23"/>
      <c r="G1407" s="23"/>
      <c r="H1407" s="23"/>
      <c r="I1407" s="23"/>
      <c r="J1407" s="43"/>
      <c r="K1407" s="43"/>
      <c r="L1407" s="43"/>
      <c r="M1407" s="43"/>
      <c r="N1407" s="53"/>
      <c r="O1407" s="43"/>
      <c r="P1407" s="43"/>
      <c r="Q1407" s="43"/>
      <c r="R1407" s="43"/>
      <c r="S1407" s="51"/>
    </row>
    <row r="1408" spans="1:19" ht="18" customHeight="1" x14ac:dyDescent="0.25">
      <c r="A1408" s="38"/>
      <c r="B1408" s="49"/>
      <c r="C1408" s="31" t="s">
        <v>1</v>
      </c>
      <c r="D1408" s="27">
        <f t="shared" ref="D1408" si="339">SUM(E1408:I1408)</f>
        <v>13007.82531</v>
      </c>
      <c r="E1408" s="23">
        <v>13007.82531</v>
      </c>
      <c r="F1408" s="23"/>
      <c r="G1408" s="23"/>
      <c r="H1408" s="23"/>
      <c r="I1408" s="23"/>
      <c r="J1408" s="43"/>
      <c r="K1408" s="43"/>
      <c r="L1408" s="43"/>
      <c r="M1408" s="43"/>
      <c r="N1408" s="53"/>
      <c r="O1408" s="43"/>
      <c r="P1408" s="43"/>
      <c r="Q1408" s="43"/>
      <c r="R1408" s="43"/>
      <c r="S1408" s="51"/>
    </row>
    <row r="1409" spans="1:19" ht="18" customHeight="1" x14ac:dyDescent="0.25">
      <c r="A1409" s="38"/>
      <c r="B1409" s="49"/>
      <c r="C1409" s="31" t="s">
        <v>2</v>
      </c>
      <c r="D1409" s="27"/>
      <c r="E1409" s="23"/>
      <c r="F1409" s="23"/>
      <c r="G1409" s="23"/>
      <c r="H1409" s="23"/>
      <c r="I1409" s="23"/>
      <c r="J1409" s="43"/>
      <c r="K1409" s="43"/>
      <c r="L1409" s="43"/>
      <c r="M1409" s="43"/>
      <c r="N1409" s="53"/>
      <c r="O1409" s="43"/>
      <c r="P1409" s="43"/>
      <c r="Q1409" s="43"/>
      <c r="R1409" s="43"/>
      <c r="S1409" s="51"/>
    </row>
    <row r="1410" spans="1:19" ht="18" customHeight="1" x14ac:dyDescent="0.25">
      <c r="A1410" s="38"/>
      <c r="B1410" s="49"/>
      <c r="C1410" s="31" t="s">
        <v>3</v>
      </c>
      <c r="D1410" s="27"/>
      <c r="E1410" s="23"/>
      <c r="F1410" s="23"/>
      <c r="G1410" s="23"/>
      <c r="H1410" s="23"/>
      <c r="I1410" s="23"/>
      <c r="J1410" s="43"/>
      <c r="K1410" s="43"/>
      <c r="L1410" s="43"/>
      <c r="M1410" s="43"/>
      <c r="N1410" s="53"/>
      <c r="O1410" s="43"/>
      <c r="P1410" s="43"/>
      <c r="Q1410" s="43"/>
      <c r="R1410" s="43"/>
      <c r="S1410" s="51"/>
    </row>
    <row r="1411" spans="1:19" ht="18.75" customHeight="1" x14ac:dyDescent="0.25">
      <c r="A1411" s="37" t="s">
        <v>59</v>
      </c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  <c r="O1411" s="37"/>
      <c r="P1411" s="37"/>
      <c r="Q1411" s="37"/>
      <c r="R1411" s="37"/>
      <c r="S1411" s="37"/>
    </row>
    <row r="1412" spans="1:19" ht="21" customHeight="1" x14ac:dyDescent="0.25">
      <c r="A1412" s="38"/>
      <c r="B1412" s="39" t="s">
        <v>562</v>
      </c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</row>
    <row r="1413" spans="1:19" ht="18.75" customHeight="1" x14ac:dyDescent="0.25">
      <c r="A1413" s="38"/>
      <c r="B1413" s="40" t="s">
        <v>327</v>
      </c>
      <c r="C1413" s="41" t="s">
        <v>167</v>
      </c>
      <c r="D1413" s="41"/>
      <c r="E1413" s="41"/>
      <c r="F1413" s="41"/>
      <c r="G1413" s="41"/>
      <c r="H1413" s="41"/>
      <c r="I1413" s="41"/>
      <c r="J1413" s="42" t="s">
        <v>11</v>
      </c>
      <c r="K1413" s="42" t="s">
        <v>821</v>
      </c>
      <c r="L1413" s="42" t="s">
        <v>70</v>
      </c>
      <c r="M1413" s="42" t="s">
        <v>62</v>
      </c>
      <c r="N1413" s="44" t="s">
        <v>730</v>
      </c>
      <c r="O1413" s="42" t="s">
        <v>17</v>
      </c>
      <c r="P1413" s="42" t="s">
        <v>18</v>
      </c>
      <c r="Q1413" s="42" t="s">
        <v>44</v>
      </c>
      <c r="R1413" s="42"/>
      <c r="S1413" s="45"/>
    </row>
    <row r="1414" spans="1:19" ht="18" customHeight="1" x14ac:dyDescent="0.25">
      <c r="A1414" s="38"/>
      <c r="B1414" s="40"/>
      <c r="C1414" s="30" t="s">
        <v>6</v>
      </c>
      <c r="D1414" s="29">
        <f t="shared" ref="D1414:G1414" si="340">SUM(D1415:D1418)</f>
        <v>500104</v>
      </c>
      <c r="E1414" s="25"/>
      <c r="F1414" s="25">
        <f t="shared" si="340"/>
        <v>223104</v>
      </c>
      <c r="G1414" s="25">
        <f t="shared" si="340"/>
        <v>277000</v>
      </c>
      <c r="H1414" s="25"/>
      <c r="I1414" s="25"/>
      <c r="J1414" s="42"/>
      <c r="K1414" s="42"/>
      <c r="L1414" s="42"/>
      <c r="M1414" s="42"/>
      <c r="N1414" s="44"/>
      <c r="O1414" s="42"/>
      <c r="P1414" s="42"/>
      <c r="Q1414" s="42"/>
      <c r="R1414" s="42"/>
      <c r="S1414" s="45"/>
    </row>
    <row r="1415" spans="1:19" ht="18" customHeight="1" x14ac:dyDescent="0.25">
      <c r="A1415" s="38"/>
      <c r="B1415" s="40"/>
      <c r="C1415" s="30" t="s">
        <v>0</v>
      </c>
      <c r="D1415" s="29">
        <f>SUM(E1415:I1415)</f>
        <v>450093.6</v>
      </c>
      <c r="E1415" s="25"/>
      <c r="F1415" s="25">
        <v>200793.60000000001</v>
      </c>
      <c r="G1415" s="25">
        <v>249300</v>
      </c>
      <c r="H1415" s="25"/>
      <c r="I1415" s="25"/>
      <c r="J1415" s="42"/>
      <c r="K1415" s="42"/>
      <c r="L1415" s="42"/>
      <c r="M1415" s="42"/>
      <c r="N1415" s="44"/>
      <c r="O1415" s="42"/>
      <c r="P1415" s="42"/>
      <c r="Q1415" s="42"/>
      <c r="R1415" s="42"/>
      <c r="S1415" s="45"/>
    </row>
    <row r="1416" spans="1:19" ht="18" customHeight="1" x14ac:dyDescent="0.25">
      <c r="A1416" s="38"/>
      <c r="B1416" s="40"/>
      <c r="C1416" s="30" t="s">
        <v>1</v>
      </c>
      <c r="D1416" s="29">
        <f t="shared" ref="D1416" si="341">SUM(E1416:I1416)</f>
        <v>50010.400000000001</v>
      </c>
      <c r="E1416" s="25"/>
      <c r="F1416" s="25">
        <v>22310.400000000001</v>
      </c>
      <c r="G1416" s="25">
        <v>27700</v>
      </c>
      <c r="H1416" s="25"/>
      <c r="I1416" s="25"/>
      <c r="J1416" s="42"/>
      <c r="K1416" s="42"/>
      <c r="L1416" s="42"/>
      <c r="M1416" s="42"/>
      <c r="N1416" s="44"/>
      <c r="O1416" s="42"/>
      <c r="P1416" s="42"/>
      <c r="Q1416" s="42"/>
      <c r="R1416" s="42"/>
      <c r="S1416" s="45"/>
    </row>
    <row r="1417" spans="1:19" ht="18" customHeight="1" x14ac:dyDescent="0.25">
      <c r="A1417" s="38"/>
      <c r="B1417" s="40"/>
      <c r="C1417" s="30" t="s">
        <v>2</v>
      </c>
      <c r="D1417" s="29"/>
      <c r="E1417" s="25"/>
      <c r="F1417" s="25"/>
      <c r="G1417" s="25"/>
      <c r="H1417" s="25"/>
      <c r="I1417" s="25"/>
      <c r="J1417" s="42"/>
      <c r="K1417" s="42"/>
      <c r="L1417" s="42"/>
      <c r="M1417" s="42"/>
      <c r="N1417" s="44"/>
      <c r="O1417" s="42"/>
      <c r="P1417" s="42"/>
      <c r="Q1417" s="42"/>
      <c r="R1417" s="42"/>
      <c r="S1417" s="45"/>
    </row>
    <row r="1418" spans="1:19" ht="18" customHeight="1" x14ac:dyDescent="0.25">
      <c r="A1418" s="38"/>
      <c r="B1418" s="40"/>
      <c r="C1418" s="30" t="s">
        <v>3</v>
      </c>
      <c r="D1418" s="29"/>
      <c r="E1418" s="25"/>
      <c r="F1418" s="25"/>
      <c r="G1418" s="25"/>
      <c r="H1418" s="25"/>
      <c r="I1418" s="25"/>
      <c r="J1418" s="42"/>
      <c r="K1418" s="42"/>
      <c r="L1418" s="42"/>
      <c r="M1418" s="42"/>
      <c r="N1418" s="44"/>
      <c r="O1418" s="42"/>
      <c r="P1418" s="42"/>
      <c r="Q1418" s="42"/>
      <c r="R1418" s="42"/>
      <c r="S1418" s="45"/>
    </row>
    <row r="1419" spans="1:19" ht="18.75" customHeight="1" x14ac:dyDescent="0.25">
      <c r="A1419" s="37" t="s">
        <v>59</v>
      </c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  <c r="O1419" s="37"/>
      <c r="P1419" s="37"/>
      <c r="Q1419" s="37"/>
      <c r="R1419" s="37"/>
      <c r="S1419" s="37"/>
    </row>
    <row r="1420" spans="1:19" ht="21" customHeight="1" x14ac:dyDescent="0.25">
      <c r="A1420" s="38"/>
      <c r="B1420" s="48" t="s">
        <v>562</v>
      </c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</row>
    <row r="1421" spans="1:19" ht="26.25" customHeight="1" x14ac:dyDescent="0.25">
      <c r="A1421" s="38"/>
      <c r="B1421" s="49" t="s">
        <v>328</v>
      </c>
      <c r="C1421" s="50" t="s">
        <v>158</v>
      </c>
      <c r="D1421" s="50"/>
      <c r="E1421" s="50"/>
      <c r="F1421" s="50"/>
      <c r="G1421" s="50"/>
      <c r="H1421" s="50"/>
      <c r="I1421" s="50"/>
      <c r="J1421" s="43" t="s">
        <v>366</v>
      </c>
      <c r="K1421" s="43" t="s">
        <v>821</v>
      </c>
      <c r="L1421" s="43" t="s">
        <v>72</v>
      </c>
      <c r="M1421" s="43" t="s">
        <v>62</v>
      </c>
      <c r="N1421" s="53" t="s">
        <v>731</v>
      </c>
      <c r="O1421" s="43" t="s">
        <v>17</v>
      </c>
      <c r="P1421" s="43" t="s">
        <v>18</v>
      </c>
      <c r="Q1421" s="43" t="s">
        <v>44</v>
      </c>
      <c r="R1421" s="43"/>
      <c r="S1421" s="51"/>
    </row>
    <row r="1422" spans="1:19" ht="18" customHeight="1" x14ac:dyDescent="0.25">
      <c r="A1422" s="38"/>
      <c r="B1422" s="49"/>
      <c r="C1422" s="31" t="s">
        <v>6</v>
      </c>
      <c r="D1422" s="27">
        <f t="shared" ref="D1422:E1422" si="342">SUM(D1423:D1426)</f>
        <v>23565.65</v>
      </c>
      <c r="E1422" s="23">
        <f t="shared" si="342"/>
        <v>3090.74</v>
      </c>
      <c r="F1422" s="23">
        <f>F1424</f>
        <v>20474.91</v>
      </c>
      <c r="G1422" s="23"/>
      <c r="H1422" s="23"/>
      <c r="I1422" s="23"/>
      <c r="J1422" s="43"/>
      <c r="K1422" s="43"/>
      <c r="L1422" s="43"/>
      <c r="M1422" s="43"/>
      <c r="N1422" s="53"/>
      <c r="O1422" s="43"/>
      <c r="P1422" s="43"/>
      <c r="Q1422" s="43"/>
      <c r="R1422" s="43"/>
      <c r="S1422" s="51"/>
    </row>
    <row r="1423" spans="1:19" ht="18" customHeight="1" x14ac:dyDescent="0.25">
      <c r="A1423" s="38"/>
      <c r="B1423" s="49"/>
      <c r="C1423" s="31" t="s">
        <v>0</v>
      </c>
      <c r="D1423" s="27"/>
      <c r="E1423" s="23"/>
      <c r="F1423" s="23"/>
      <c r="G1423" s="23"/>
      <c r="H1423" s="23"/>
      <c r="I1423" s="23"/>
      <c r="J1423" s="43"/>
      <c r="K1423" s="43"/>
      <c r="L1423" s="43"/>
      <c r="M1423" s="43"/>
      <c r="N1423" s="53"/>
      <c r="O1423" s="43"/>
      <c r="P1423" s="43"/>
      <c r="Q1423" s="43"/>
      <c r="R1423" s="43"/>
      <c r="S1423" s="51"/>
    </row>
    <row r="1424" spans="1:19" ht="18" customHeight="1" x14ac:dyDescent="0.25">
      <c r="A1424" s="38"/>
      <c r="B1424" s="49"/>
      <c r="C1424" s="31" t="s">
        <v>1</v>
      </c>
      <c r="D1424" s="27">
        <f t="shared" ref="D1424" si="343">SUM(E1424:I1424)</f>
        <v>23565.65</v>
      </c>
      <c r="E1424" s="23">
        <v>3090.74</v>
      </c>
      <c r="F1424" s="23">
        <v>20474.91</v>
      </c>
      <c r="G1424" s="23"/>
      <c r="H1424" s="23"/>
      <c r="I1424" s="23"/>
      <c r="J1424" s="43"/>
      <c r="K1424" s="43"/>
      <c r="L1424" s="43"/>
      <c r="M1424" s="43"/>
      <c r="N1424" s="53"/>
      <c r="O1424" s="43"/>
      <c r="P1424" s="43"/>
      <c r="Q1424" s="43"/>
      <c r="R1424" s="43"/>
      <c r="S1424" s="51"/>
    </row>
    <row r="1425" spans="1:19" ht="18" customHeight="1" x14ac:dyDescent="0.25">
      <c r="A1425" s="38"/>
      <c r="B1425" s="49"/>
      <c r="C1425" s="31" t="s">
        <v>2</v>
      </c>
      <c r="D1425" s="27"/>
      <c r="E1425" s="23"/>
      <c r="F1425" s="23"/>
      <c r="G1425" s="23"/>
      <c r="H1425" s="23"/>
      <c r="I1425" s="23"/>
      <c r="J1425" s="43"/>
      <c r="K1425" s="43"/>
      <c r="L1425" s="43"/>
      <c r="M1425" s="43"/>
      <c r="N1425" s="53"/>
      <c r="O1425" s="43"/>
      <c r="P1425" s="43"/>
      <c r="Q1425" s="43"/>
      <c r="R1425" s="43"/>
      <c r="S1425" s="51"/>
    </row>
    <row r="1426" spans="1:19" ht="18" customHeight="1" x14ac:dyDescent="0.25">
      <c r="A1426" s="38"/>
      <c r="B1426" s="49"/>
      <c r="C1426" s="31" t="s">
        <v>3</v>
      </c>
      <c r="D1426" s="27"/>
      <c r="E1426" s="23"/>
      <c r="F1426" s="23"/>
      <c r="G1426" s="23"/>
      <c r="H1426" s="23"/>
      <c r="I1426" s="23"/>
      <c r="J1426" s="43"/>
      <c r="K1426" s="43"/>
      <c r="L1426" s="43"/>
      <c r="M1426" s="43"/>
      <c r="N1426" s="53"/>
      <c r="O1426" s="43"/>
      <c r="P1426" s="43"/>
      <c r="Q1426" s="43"/>
      <c r="R1426" s="43"/>
      <c r="S1426" s="51"/>
    </row>
    <row r="1427" spans="1:19" ht="18.75" customHeight="1" x14ac:dyDescent="0.25">
      <c r="A1427" s="37" t="s">
        <v>59</v>
      </c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  <c r="O1427" s="37"/>
      <c r="P1427" s="37"/>
      <c r="Q1427" s="37"/>
      <c r="R1427" s="37"/>
      <c r="S1427" s="37"/>
    </row>
    <row r="1428" spans="1:19" ht="21" customHeight="1" x14ac:dyDescent="0.25">
      <c r="A1428" s="38"/>
      <c r="B1428" s="48" t="s">
        <v>562</v>
      </c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</row>
    <row r="1429" spans="1:19" ht="18.75" customHeight="1" x14ac:dyDescent="0.25">
      <c r="A1429" s="38"/>
      <c r="B1429" s="49" t="s">
        <v>329</v>
      </c>
      <c r="C1429" s="50" t="s">
        <v>71</v>
      </c>
      <c r="D1429" s="50"/>
      <c r="E1429" s="50"/>
      <c r="F1429" s="50"/>
      <c r="G1429" s="50"/>
      <c r="H1429" s="50"/>
      <c r="I1429" s="50"/>
      <c r="J1429" s="43" t="s">
        <v>366</v>
      </c>
      <c r="K1429" s="43" t="s">
        <v>821</v>
      </c>
      <c r="L1429" s="43" t="s">
        <v>72</v>
      </c>
      <c r="M1429" s="43" t="s">
        <v>62</v>
      </c>
      <c r="N1429" s="53" t="s">
        <v>731</v>
      </c>
      <c r="O1429" s="43" t="s">
        <v>17</v>
      </c>
      <c r="P1429" s="43" t="s">
        <v>18</v>
      </c>
      <c r="Q1429" s="43" t="s">
        <v>44</v>
      </c>
      <c r="R1429" s="43"/>
      <c r="S1429" s="51"/>
    </row>
    <row r="1430" spans="1:19" ht="18" customHeight="1" x14ac:dyDescent="0.25">
      <c r="A1430" s="38"/>
      <c r="B1430" s="49"/>
      <c r="C1430" s="31" t="s">
        <v>6</v>
      </c>
      <c r="D1430" s="27">
        <f t="shared" ref="D1430:I1430" si="344">SUM(D1431:D1434)</f>
        <v>1889000</v>
      </c>
      <c r="E1430" s="23"/>
      <c r="F1430" s="23"/>
      <c r="G1430" s="23">
        <f t="shared" si="344"/>
        <v>111000</v>
      </c>
      <c r="H1430" s="23">
        <f t="shared" si="344"/>
        <v>805190</v>
      </c>
      <c r="I1430" s="23">
        <f t="shared" si="344"/>
        <v>972810</v>
      </c>
      <c r="J1430" s="43"/>
      <c r="K1430" s="43"/>
      <c r="L1430" s="43"/>
      <c r="M1430" s="43"/>
      <c r="N1430" s="53"/>
      <c r="O1430" s="43"/>
      <c r="P1430" s="43"/>
      <c r="Q1430" s="43"/>
      <c r="R1430" s="43"/>
      <c r="S1430" s="51"/>
    </row>
    <row r="1431" spans="1:19" ht="18" customHeight="1" x14ac:dyDescent="0.25">
      <c r="A1431" s="38"/>
      <c r="B1431" s="49"/>
      <c r="C1431" s="31" t="s">
        <v>0</v>
      </c>
      <c r="D1431" s="27">
        <f>SUM(E1431:I1431)</f>
        <v>1699970</v>
      </c>
      <c r="E1431" s="23"/>
      <c r="F1431" s="23"/>
      <c r="G1431" s="23">
        <v>100000</v>
      </c>
      <c r="H1431" s="23">
        <v>724970</v>
      </c>
      <c r="I1431" s="23">
        <v>875000</v>
      </c>
      <c r="J1431" s="43"/>
      <c r="K1431" s="43"/>
      <c r="L1431" s="43"/>
      <c r="M1431" s="43"/>
      <c r="N1431" s="53"/>
      <c r="O1431" s="43"/>
      <c r="P1431" s="43"/>
      <c r="Q1431" s="43"/>
      <c r="R1431" s="43"/>
      <c r="S1431" s="51"/>
    </row>
    <row r="1432" spans="1:19" ht="18" customHeight="1" x14ac:dyDescent="0.25">
      <c r="A1432" s="38"/>
      <c r="B1432" s="49"/>
      <c r="C1432" s="31" t="s">
        <v>1</v>
      </c>
      <c r="D1432" s="27">
        <f t="shared" ref="D1432" si="345">SUM(E1432:I1432)</f>
        <v>189030</v>
      </c>
      <c r="E1432" s="23"/>
      <c r="F1432" s="23"/>
      <c r="G1432" s="23">
        <v>11000</v>
      </c>
      <c r="H1432" s="23">
        <v>80220</v>
      </c>
      <c r="I1432" s="23">
        <v>97810</v>
      </c>
      <c r="J1432" s="43"/>
      <c r="K1432" s="43"/>
      <c r="L1432" s="43"/>
      <c r="M1432" s="43"/>
      <c r="N1432" s="53"/>
      <c r="O1432" s="43"/>
      <c r="P1432" s="43"/>
      <c r="Q1432" s="43"/>
      <c r="R1432" s="43"/>
      <c r="S1432" s="51"/>
    </row>
    <row r="1433" spans="1:19" ht="18" customHeight="1" x14ac:dyDescent="0.25">
      <c r="A1433" s="38"/>
      <c r="B1433" s="49"/>
      <c r="C1433" s="31" t="s">
        <v>2</v>
      </c>
      <c r="D1433" s="27"/>
      <c r="E1433" s="23"/>
      <c r="F1433" s="23"/>
      <c r="G1433" s="23"/>
      <c r="H1433" s="23"/>
      <c r="I1433" s="23"/>
      <c r="J1433" s="43"/>
      <c r="K1433" s="43"/>
      <c r="L1433" s="43"/>
      <c r="M1433" s="43"/>
      <c r="N1433" s="53"/>
      <c r="O1433" s="43"/>
      <c r="P1433" s="43"/>
      <c r="Q1433" s="43"/>
      <c r="R1433" s="43"/>
      <c r="S1433" s="51"/>
    </row>
    <row r="1434" spans="1:19" ht="18" customHeight="1" x14ac:dyDescent="0.25">
      <c r="A1434" s="38"/>
      <c r="B1434" s="49"/>
      <c r="C1434" s="31" t="s">
        <v>3</v>
      </c>
      <c r="D1434" s="27"/>
      <c r="E1434" s="23"/>
      <c r="F1434" s="23"/>
      <c r="G1434" s="23"/>
      <c r="H1434" s="23"/>
      <c r="I1434" s="23"/>
      <c r="J1434" s="43"/>
      <c r="K1434" s="43"/>
      <c r="L1434" s="43"/>
      <c r="M1434" s="43"/>
      <c r="N1434" s="53"/>
      <c r="O1434" s="43"/>
      <c r="P1434" s="43"/>
      <c r="Q1434" s="43"/>
      <c r="R1434" s="43"/>
      <c r="S1434" s="51"/>
    </row>
    <row r="1435" spans="1:19" ht="18.75" customHeight="1" x14ac:dyDescent="0.25">
      <c r="A1435" s="37" t="s">
        <v>59</v>
      </c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  <c r="O1435" s="37"/>
      <c r="P1435" s="37"/>
      <c r="Q1435" s="37"/>
      <c r="R1435" s="37"/>
      <c r="S1435" s="37"/>
    </row>
    <row r="1436" spans="1:19" ht="21" customHeight="1" x14ac:dyDescent="0.25">
      <c r="A1436" s="38"/>
      <c r="B1436" s="48" t="s">
        <v>562</v>
      </c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</row>
    <row r="1437" spans="1:19" ht="18.75" customHeight="1" x14ac:dyDescent="0.25">
      <c r="A1437" s="38"/>
      <c r="B1437" s="49" t="s">
        <v>330</v>
      </c>
      <c r="C1437" s="50" t="s">
        <v>159</v>
      </c>
      <c r="D1437" s="50"/>
      <c r="E1437" s="50"/>
      <c r="F1437" s="50"/>
      <c r="G1437" s="50"/>
      <c r="H1437" s="50"/>
      <c r="I1437" s="50"/>
      <c r="J1437" s="43" t="s">
        <v>366</v>
      </c>
      <c r="K1437" s="43" t="s">
        <v>821</v>
      </c>
      <c r="L1437" s="43" t="s">
        <v>73</v>
      </c>
      <c r="M1437" s="43" t="s">
        <v>62</v>
      </c>
      <c r="N1437" s="53" t="s">
        <v>732</v>
      </c>
      <c r="O1437" s="43" t="s">
        <v>17</v>
      </c>
      <c r="P1437" s="43" t="s">
        <v>18</v>
      </c>
      <c r="Q1437" s="43" t="s">
        <v>44</v>
      </c>
      <c r="R1437" s="43"/>
      <c r="S1437" s="51"/>
    </row>
    <row r="1438" spans="1:19" ht="18" customHeight="1" x14ac:dyDescent="0.25">
      <c r="A1438" s="38"/>
      <c r="B1438" s="49"/>
      <c r="C1438" s="31" t="s">
        <v>6</v>
      </c>
      <c r="D1438" s="27">
        <f t="shared" ref="D1438:E1438" si="346">SUM(D1439:D1442)</f>
        <v>18990.244499999997</v>
      </c>
      <c r="E1438" s="23">
        <f t="shared" si="346"/>
        <v>18990.244499999997</v>
      </c>
      <c r="F1438" s="23"/>
      <c r="G1438" s="23"/>
      <c r="H1438" s="23"/>
      <c r="I1438" s="23"/>
      <c r="J1438" s="43"/>
      <c r="K1438" s="43"/>
      <c r="L1438" s="43"/>
      <c r="M1438" s="43"/>
      <c r="N1438" s="53"/>
      <c r="O1438" s="43"/>
      <c r="P1438" s="43"/>
      <c r="Q1438" s="43"/>
      <c r="R1438" s="43"/>
      <c r="S1438" s="51"/>
    </row>
    <row r="1439" spans="1:19" ht="18" customHeight="1" x14ac:dyDescent="0.25">
      <c r="A1439" s="38"/>
      <c r="B1439" s="49"/>
      <c r="C1439" s="31" t="s">
        <v>0</v>
      </c>
      <c r="D1439" s="27"/>
      <c r="E1439" s="23"/>
      <c r="F1439" s="23"/>
      <c r="G1439" s="23"/>
      <c r="H1439" s="23"/>
      <c r="I1439" s="23"/>
      <c r="J1439" s="43"/>
      <c r="K1439" s="43"/>
      <c r="L1439" s="43"/>
      <c r="M1439" s="43"/>
      <c r="N1439" s="53"/>
      <c r="O1439" s="43"/>
      <c r="P1439" s="43"/>
      <c r="Q1439" s="43"/>
      <c r="R1439" s="43"/>
      <c r="S1439" s="51"/>
    </row>
    <row r="1440" spans="1:19" ht="18" customHeight="1" x14ac:dyDescent="0.25">
      <c r="A1440" s="38"/>
      <c r="B1440" s="49"/>
      <c r="C1440" s="31" t="s">
        <v>1</v>
      </c>
      <c r="D1440" s="27">
        <f t="shared" ref="D1440" si="347">SUM(E1440:I1440)</f>
        <v>18990.244499999997</v>
      </c>
      <c r="E1440" s="23">
        <f>35614.7645-16624.52</f>
        <v>18990.244499999997</v>
      </c>
      <c r="F1440" s="23"/>
      <c r="G1440" s="23"/>
      <c r="H1440" s="23"/>
      <c r="I1440" s="23"/>
      <c r="J1440" s="43"/>
      <c r="K1440" s="43"/>
      <c r="L1440" s="43"/>
      <c r="M1440" s="43"/>
      <c r="N1440" s="53"/>
      <c r="O1440" s="43"/>
      <c r="P1440" s="43"/>
      <c r="Q1440" s="43"/>
      <c r="R1440" s="43"/>
      <c r="S1440" s="51"/>
    </row>
    <row r="1441" spans="1:19" ht="18" customHeight="1" x14ac:dyDescent="0.25">
      <c r="A1441" s="38"/>
      <c r="B1441" s="49"/>
      <c r="C1441" s="31" t="s">
        <v>2</v>
      </c>
      <c r="D1441" s="27"/>
      <c r="E1441" s="23"/>
      <c r="F1441" s="23"/>
      <c r="G1441" s="23"/>
      <c r="H1441" s="23"/>
      <c r="I1441" s="23"/>
      <c r="J1441" s="43"/>
      <c r="K1441" s="43"/>
      <c r="L1441" s="43"/>
      <c r="M1441" s="43"/>
      <c r="N1441" s="53"/>
      <c r="O1441" s="43"/>
      <c r="P1441" s="43"/>
      <c r="Q1441" s="43"/>
      <c r="R1441" s="43"/>
      <c r="S1441" s="51"/>
    </row>
    <row r="1442" spans="1:19" ht="18" customHeight="1" x14ac:dyDescent="0.25">
      <c r="A1442" s="38"/>
      <c r="B1442" s="49"/>
      <c r="C1442" s="31" t="s">
        <v>3</v>
      </c>
      <c r="D1442" s="27"/>
      <c r="E1442" s="23"/>
      <c r="F1442" s="23"/>
      <c r="G1442" s="23"/>
      <c r="H1442" s="23"/>
      <c r="I1442" s="23"/>
      <c r="J1442" s="43"/>
      <c r="K1442" s="43"/>
      <c r="L1442" s="43"/>
      <c r="M1442" s="43"/>
      <c r="N1442" s="53"/>
      <c r="O1442" s="43"/>
      <c r="P1442" s="43"/>
      <c r="Q1442" s="43"/>
      <c r="R1442" s="43"/>
      <c r="S1442" s="51"/>
    </row>
    <row r="1443" spans="1:19" ht="18.75" customHeight="1" x14ac:dyDescent="0.25">
      <c r="A1443" s="37" t="s">
        <v>59</v>
      </c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  <c r="O1443" s="37"/>
      <c r="P1443" s="37"/>
      <c r="Q1443" s="37"/>
      <c r="R1443" s="37"/>
      <c r="S1443" s="37"/>
    </row>
    <row r="1444" spans="1:19" ht="21" customHeight="1" x14ac:dyDescent="0.25">
      <c r="A1444" s="38"/>
      <c r="B1444" s="48" t="s">
        <v>562</v>
      </c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</row>
    <row r="1445" spans="1:19" ht="18.75" customHeight="1" x14ac:dyDescent="0.25">
      <c r="A1445" s="38"/>
      <c r="B1445" s="49" t="s">
        <v>331</v>
      </c>
      <c r="C1445" s="50" t="s">
        <v>877</v>
      </c>
      <c r="D1445" s="50"/>
      <c r="E1445" s="50"/>
      <c r="F1445" s="50"/>
      <c r="G1445" s="50"/>
      <c r="H1445" s="50"/>
      <c r="I1445" s="50"/>
      <c r="J1445" s="43" t="s">
        <v>366</v>
      </c>
      <c r="K1445" s="43" t="s">
        <v>821</v>
      </c>
      <c r="L1445" s="43" t="s">
        <v>73</v>
      </c>
      <c r="M1445" s="43" t="s">
        <v>62</v>
      </c>
      <c r="N1445" s="53" t="s">
        <v>732</v>
      </c>
      <c r="O1445" s="43" t="s">
        <v>17</v>
      </c>
      <c r="P1445" s="43" t="s">
        <v>18</v>
      </c>
      <c r="Q1445" s="43" t="s">
        <v>44</v>
      </c>
      <c r="R1445" s="43"/>
      <c r="S1445" s="51"/>
    </row>
    <row r="1446" spans="1:19" ht="18" customHeight="1" x14ac:dyDescent="0.25">
      <c r="A1446" s="38"/>
      <c r="B1446" s="49"/>
      <c r="C1446" s="31" t="s">
        <v>6</v>
      </c>
      <c r="D1446" s="27">
        <f t="shared" ref="D1446" si="348">SUM(D1447:D1450)</f>
        <v>1400000</v>
      </c>
      <c r="E1446" s="23"/>
      <c r="F1446" s="23"/>
      <c r="G1446" s="23">
        <f t="shared" ref="G1446:I1446" si="349">SUM(G1447:G1450)</f>
        <v>400000</v>
      </c>
      <c r="H1446" s="23">
        <f t="shared" si="349"/>
        <v>400000</v>
      </c>
      <c r="I1446" s="23">
        <f t="shared" si="349"/>
        <v>600000</v>
      </c>
      <c r="J1446" s="43"/>
      <c r="K1446" s="43"/>
      <c r="L1446" s="43"/>
      <c r="M1446" s="43"/>
      <c r="N1446" s="53"/>
      <c r="O1446" s="43"/>
      <c r="P1446" s="43"/>
      <c r="Q1446" s="43"/>
      <c r="R1446" s="43"/>
      <c r="S1446" s="51"/>
    </row>
    <row r="1447" spans="1:19" ht="18" customHeight="1" x14ac:dyDescent="0.25">
      <c r="A1447" s="38"/>
      <c r="B1447" s="49"/>
      <c r="C1447" s="31" t="s">
        <v>0</v>
      </c>
      <c r="D1447" s="27">
        <f>SUM(E1447:I1447)</f>
        <v>1260000</v>
      </c>
      <c r="E1447" s="23"/>
      <c r="F1447" s="23"/>
      <c r="G1447" s="23">
        <v>360000</v>
      </c>
      <c r="H1447" s="23">
        <v>360000</v>
      </c>
      <c r="I1447" s="23">
        <v>540000</v>
      </c>
      <c r="J1447" s="43"/>
      <c r="K1447" s="43"/>
      <c r="L1447" s="43"/>
      <c r="M1447" s="43"/>
      <c r="N1447" s="53"/>
      <c r="O1447" s="43"/>
      <c r="P1447" s="43"/>
      <c r="Q1447" s="43"/>
      <c r="R1447" s="43"/>
      <c r="S1447" s="51"/>
    </row>
    <row r="1448" spans="1:19" ht="18" customHeight="1" x14ac:dyDescent="0.25">
      <c r="A1448" s="38"/>
      <c r="B1448" s="49"/>
      <c r="C1448" s="31" t="s">
        <v>1</v>
      </c>
      <c r="D1448" s="27">
        <f t="shared" ref="D1448" si="350">SUM(E1448:I1448)</f>
        <v>140000</v>
      </c>
      <c r="E1448" s="23"/>
      <c r="F1448" s="23"/>
      <c r="G1448" s="23">
        <v>40000</v>
      </c>
      <c r="H1448" s="23">
        <v>40000</v>
      </c>
      <c r="I1448" s="23">
        <v>60000</v>
      </c>
      <c r="J1448" s="43"/>
      <c r="K1448" s="43"/>
      <c r="L1448" s="43"/>
      <c r="M1448" s="43"/>
      <c r="N1448" s="53"/>
      <c r="O1448" s="43"/>
      <c r="P1448" s="43"/>
      <c r="Q1448" s="43"/>
      <c r="R1448" s="43"/>
      <c r="S1448" s="51"/>
    </row>
    <row r="1449" spans="1:19" ht="18" customHeight="1" x14ac:dyDescent="0.25">
      <c r="A1449" s="38"/>
      <c r="B1449" s="49"/>
      <c r="C1449" s="31" t="s">
        <v>2</v>
      </c>
      <c r="D1449" s="27"/>
      <c r="E1449" s="23"/>
      <c r="F1449" s="23"/>
      <c r="G1449" s="23"/>
      <c r="H1449" s="23"/>
      <c r="I1449" s="23"/>
      <c r="J1449" s="43"/>
      <c r="K1449" s="43"/>
      <c r="L1449" s="43"/>
      <c r="M1449" s="43"/>
      <c r="N1449" s="53"/>
      <c r="O1449" s="43"/>
      <c r="P1449" s="43"/>
      <c r="Q1449" s="43"/>
      <c r="R1449" s="43"/>
      <c r="S1449" s="51"/>
    </row>
    <row r="1450" spans="1:19" ht="18" customHeight="1" x14ac:dyDescent="0.25">
      <c r="A1450" s="38"/>
      <c r="B1450" s="49"/>
      <c r="C1450" s="31" t="s">
        <v>3</v>
      </c>
      <c r="D1450" s="27"/>
      <c r="E1450" s="23"/>
      <c r="F1450" s="23"/>
      <c r="G1450" s="23"/>
      <c r="H1450" s="23"/>
      <c r="I1450" s="23"/>
      <c r="J1450" s="43"/>
      <c r="K1450" s="43"/>
      <c r="L1450" s="43"/>
      <c r="M1450" s="43"/>
      <c r="N1450" s="53"/>
      <c r="O1450" s="43"/>
      <c r="P1450" s="43"/>
      <c r="Q1450" s="43"/>
      <c r="R1450" s="43"/>
      <c r="S1450" s="51"/>
    </row>
    <row r="1451" spans="1:19" ht="18.75" customHeight="1" x14ac:dyDescent="0.25">
      <c r="A1451" s="37" t="s">
        <v>59</v>
      </c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  <c r="O1451" s="37"/>
      <c r="P1451" s="37"/>
      <c r="Q1451" s="37"/>
      <c r="R1451" s="37"/>
      <c r="S1451" s="37"/>
    </row>
    <row r="1452" spans="1:19" ht="21" customHeight="1" x14ac:dyDescent="0.25">
      <c r="A1452" s="38"/>
      <c r="B1452" s="48" t="s">
        <v>562</v>
      </c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</row>
    <row r="1453" spans="1:19" ht="18.75" customHeight="1" x14ac:dyDescent="0.25">
      <c r="A1453" s="38"/>
      <c r="B1453" s="49" t="s">
        <v>677</v>
      </c>
      <c r="C1453" s="50" t="s">
        <v>160</v>
      </c>
      <c r="D1453" s="50"/>
      <c r="E1453" s="50"/>
      <c r="F1453" s="50"/>
      <c r="G1453" s="50"/>
      <c r="H1453" s="50"/>
      <c r="I1453" s="50"/>
      <c r="J1453" s="43" t="s">
        <v>66</v>
      </c>
      <c r="K1453" s="43" t="s">
        <v>821</v>
      </c>
      <c r="L1453" s="43" t="s">
        <v>73</v>
      </c>
      <c r="M1453" s="43" t="s">
        <v>62</v>
      </c>
      <c r="N1453" s="53" t="s">
        <v>733</v>
      </c>
      <c r="O1453" s="43" t="s">
        <v>17</v>
      </c>
      <c r="P1453" s="43" t="s">
        <v>18</v>
      </c>
      <c r="Q1453" s="43" t="s">
        <v>44</v>
      </c>
      <c r="R1453" s="43"/>
      <c r="S1453" s="51"/>
    </row>
    <row r="1454" spans="1:19" ht="18" customHeight="1" x14ac:dyDescent="0.25">
      <c r="A1454" s="38"/>
      <c r="B1454" s="49"/>
      <c r="C1454" s="31" t="s">
        <v>6</v>
      </c>
      <c r="D1454" s="27">
        <f t="shared" ref="D1454:F1454" si="351">SUM(D1455:D1458)</f>
        <v>48700.078999999998</v>
      </c>
      <c r="E1454" s="23">
        <f t="shared" si="351"/>
        <v>21531.858999999997</v>
      </c>
      <c r="F1454" s="23">
        <f t="shared" si="351"/>
        <v>27168.22</v>
      </c>
      <c r="G1454" s="23"/>
      <c r="H1454" s="23"/>
      <c r="I1454" s="23"/>
      <c r="J1454" s="43"/>
      <c r="K1454" s="43"/>
      <c r="L1454" s="43"/>
      <c r="M1454" s="43"/>
      <c r="N1454" s="53"/>
      <c r="O1454" s="43"/>
      <c r="P1454" s="43"/>
      <c r="Q1454" s="43"/>
      <c r="R1454" s="43"/>
      <c r="S1454" s="51"/>
    </row>
    <row r="1455" spans="1:19" ht="18" customHeight="1" x14ac:dyDescent="0.25">
      <c r="A1455" s="38"/>
      <c r="B1455" s="49"/>
      <c r="C1455" s="31" t="s">
        <v>0</v>
      </c>
      <c r="D1455" s="27"/>
      <c r="E1455" s="23"/>
      <c r="F1455" s="23"/>
      <c r="G1455" s="23"/>
      <c r="H1455" s="23"/>
      <c r="I1455" s="23"/>
      <c r="J1455" s="43"/>
      <c r="K1455" s="43"/>
      <c r="L1455" s="43"/>
      <c r="M1455" s="43"/>
      <c r="N1455" s="53"/>
      <c r="O1455" s="43"/>
      <c r="P1455" s="43"/>
      <c r="Q1455" s="43"/>
      <c r="R1455" s="43"/>
      <c r="S1455" s="51"/>
    </row>
    <row r="1456" spans="1:19" ht="18" customHeight="1" x14ac:dyDescent="0.25">
      <c r="A1456" s="38"/>
      <c r="B1456" s="49"/>
      <c r="C1456" s="31" t="s">
        <v>1</v>
      </c>
      <c r="D1456" s="27">
        <f t="shared" ref="D1456" si="352">SUM(E1456:I1456)</f>
        <v>48700.078999999998</v>
      </c>
      <c r="E1456" s="25">
        <f>32163.53-10631.671</f>
        <v>21531.858999999997</v>
      </c>
      <c r="F1456" s="23">
        <v>27168.22</v>
      </c>
      <c r="G1456" s="23"/>
      <c r="H1456" s="23"/>
      <c r="I1456" s="23"/>
      <c r="J1456" s="43"/>
      <c r="K1456" s="43"/>
      <c r="L1456" s="43"/>
      <c r="M1456" s="43"/>
      <c r="N1456" s="53"/>
      <c r="O1456" s="43"/>
      <c r="P1456" s="43"/>
      <c r="Q1456" s="43"/>
      <c r="R1456" s="43"/>
      <c r="S1456" s="51"/>
    </row>
    <row r="1457" spans="1:19" ht="18" customHeight="1" x14ac:dyDescent="0.25">
      <c r="A1457" s="38"/>
      <c r="B1457" s="49"/>
      <c r="C1457" s="31" t="s">
        <v>2</v>
      </c>
      <c r="D1457" s="27"/>
      <c r="E1457" s="23"/>
      <c r="F1457" s="23"/>
      <c r="G1457" s="23"/>
      <c r="H1457" s="23"/>
      <c r="I1457" s="23"/>
      <c r="J1457" s="43"/>
      <c r="K1457" s="43"/>
      <c r="L1457" s="43"/>
      <c r="M1457" s="43"/>
      <c r="N1457" s="53"/>
      <c r="O1457" s="43"/>
      <c r="P1457" s="43"/>
      <c r="Q1457" s="43"/>
      <c r="R1457" s="43"/>
      <c r="S1457" s="51"/>
    </row>
    <row r="1458" spans="1:19" ht="18" customHeight="1" x14ac:dyDescent="0.25">
      <c r="A1458" s="38"/>
      <c r="B1458" s="49"/>
      <c r="C1458" s="31" t="s">
        <v>3</v>
      </c>
      <c r="D1458" s="27"/>
      <c r="E1458" s="23"/>
      <c r="F1458" s="23"/>
      <c r="G1458" s="23"/>
      <c r="H1458" s="23"/>
      <c r="I1458" s="23"/>
      <c r="J1458" s="43"/>
      <c r="K1458" s="43"/>
      <c r="L1458" s="43"/>
      <c r="M1458" s="43"/>
      <c r="N1458" s="53"/>
      <c r="O1458" s="43"/>
      <c r="P1458" s="43"/>
      <c r="Q1458" s="43"/>
      <c r="R1458" s="43"/>
      <c r="S1458" s="51"/>
    </row>
    <row r="1459" spans="1:19" ht="18.75" customHeight="1" x14ac:dyDescent="0.25">
      <c r="A1459" s="37" t="s">
        <v>59</v>
      </c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  <c r="O1459" s="37"/>
      <c r="P1459" s="37"/>
      <c r="Q1459" s="37"/>
      <c r="R1459" s="37"/>
      <c r="S1459" s="37"/>
    </row>
    <row r="1460" spans="1:19" ht="21" customHeight="1" x14ac:dyDescent="0.25">
      <c r="A1460" s="38"/>
      <c r="B1460" s="48" t="s">
        <v>562</v>
      </c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</row>
    <row r="1461" spans="1:19" ht="18.75" customHeight="1" x14ac:dyDescent="0.25">
      <c r="A1461" s="38"/>
      <c r="B1461" s="49" t="s">
        <v>678</v>
      </c>
      <c r="C1461" s="50" t="s">
        <v>181</v>
      </c>
      <c r="D1461" s="50"/>
      <c r="E1461" s="50"/>
      <c r="F1461" s="50"/>
      <c r="G1461" s="50"/>
      <c r="H1461" s="50"/>
      <c r="I1461" s="50"/>
      <c r="J1461" s="43" t="s">
        <v>66</v>
      </c>
      <c r="K1461" s="43" t="s">
        <v>821</v>
      </c>
      <c r="L1461" s="43" t="s">
        <v>73</v>
      </c>
      <c r="M1461" s="43" t="s">
        <v>62</v>
      </c>
      <c r="N1461" s="53" t="s">
        <v>733</v>
      </c>
      <c r="O1461" s="43" t="s">
        <v>17</v>
      </c>
      <c r="P1461" s="43" t="s">
        <v>18</v>
      </c>
      <c r="Q1461" s="43" t="s">
        <v>44</v>
      </c>
      <c r="R1461" s="43"/>
      <c r="S1461" s="51"/>
    </row>
    <row r="1462" spans="1:19" ht="18" customHeight="1" x14ac:dyDescent="0.25">
      <c r="A1462" s="38"/>
      <c r="B1462" s="49"/>
      <c r="C1462" s="31" t="s">
        <v>6</v>
      </c>
      <c r="D1462" s="27">
        <f t="shared" ref="D1462:H1462" si="353">SUM(D1463:D1466)</f>
        <v>1367000</v>
      </c>
      <c r="E1462" s="23"/>
      <c r="F1462" s="23"/>
      <c r="G1462" s="23">
        <f t="shared" si="353"/>
        <v>300000</v>
      </c>
      <c r="H1462" s="23">
        <f t="shared" si="353"/>
        <v>1067000</v>
      </c>
      <c r="I1462" s="23"/>
      <c r="J1462" s="43"/>
      <c r="K1462" s="43"/>
      <c r="L1462" s="43"/>
      <c r="M1462" s="43"/>
      <c r="N1462" s="53"/>
      <c r="O1462" s="43"/>
      <c r="P1462" s="43"/>
      <c r="Q1462" s="43"/>
      <c r="R1462" s="43"/>
      <c r="S1462" s="51"/>
    </row>
    <row r="1463" spans="1:19" ht="18" customHeight="1" x14ac:dyDescent="0.25">
      <c r="A1463" s="38"/>
      <c r="B1463" s="49"/>
      <c r="C1463" s="31" t="s">
        <v>0</v>
      </c>
      <c r="D1463" s="27">
        <f>SUM(E1463:I1463)</f>
        <v>1230000</v>
      </c>
      <c r="E1463" s="23"/>
      <c r="F1463" s="23"/>
      <c r="G1463" s="23">
        <v>270000</v>
      </c>
      <c r="H1463" s="23">
        <v>960000</v>
      </c>
      <c r="I1463" s="23"/>
      <c r="J1463" s="43"/>
      <c r="K1463" s="43"/>
      <c r="L1463" s="43"/>
      <c r="M1463" s="43"/>
      <c r="N1463" s="53"/>
      <c r="O1463" s="43"/>
      <c r="P1463" s="43"/>
      <c r="Q1463" s="43"/>
      <c r="R1463" s="43"/>
      <c r="S1463" s="51"/>
    </row>
    <row r="1464" spans="1:19" ht="18" customHeight="1" x14ac:dyDescent="0.25">
      <c r="A1464" s="38"/>
      <c r="B1464" s="49"/>
      <c r="C1464" s="31" t="s">
        <v>1</v>
      </c>
      <c r="D1464" s="27">
        <f t="shared" ref="D1464" si="354">SUM(E1464:I1464)</f>
        <v>137000</v>
      </c>
      <c r="E1464" s="23"/>
      <c r="F1464" s="23"/>
      <c r="G1464" s="23">
        <v>30000</v>
      </c>
      <c r="H1464" s="23">
        <v>107000</v>
      </c>
      <c r="I1464" s="23"/>
      <c r="J1464" s="43"/>
      <c r="K1464" s="43"/>
      <c r="L1464" s="43"/>
      <c r="M1464" s="43"/>
      <c r="N1464" s="53"/>
      <c r="O1464" s="43"/>
      <c r="P1464" s="43"/>
      <c r="Q1464" s="43"/>
      <c r="R1464" s="43"/>
      <c r="S1464" s="51"/>
    </row>
    <row r="1465" spans="1:19" ht="18" customHeight="1" x14ac:dyDescent="0.25">
      <c r="A1465" s="38"/>
      <c r="B1465" s="49"/>
      <c r="C1465" s="31" t="s">
        <v>2</v>
      </c>
      <c r="D1465" s="27"/>
      <c r="E1465" s="23"/>
      <c r="F1465" s="23"/>
      <c r="G1465" s="23"/>
      <c r="H1465" s="23"/>
      <c r="I1465" s="23"/>
      <c r="J1465" s="43"/>
      <c r="K1465" s="43"/>
      <c r="L1465" s="43"/>
      <c r="M1465" s="43"/>
      <c r="N1465" s="53"/>
      <c r="O1465" s="43"/>
      <c r="P1465" s="43"/>
      <c r="Q1465" s="43"/>
      <c r="R1465" s="43"/>
      <c r="S1465" s="51"/>
    </row>
    <row r="1466" spans="1:19" ht="18" customHeight="1" x14ac:dyDescent="0.25">
      <c r="A1466" s="38"/>
      <c r="B1466" s="49"/>
      <c r="C1466" s="31" t="s">
        <v>3</v>
      </c>
      <c r="D1466" s="27"/>
      <c r="E1466" s="23"/>
      <c r="F1466" s="23"/>
      <c r="G1466" s="23"/>
      <c r="H1466" s="23"/>
      <c r="I1466" s="23"/>
      <c r="J1466" s="43"/>
      <c r="K1466" s="43"/>
      <c r="L1466" s="43"/>
      <c r="M1466" s="43"/>
      <c r="N1466" s="53"/>
      <c r="O1466" s="43"/>
      <c r="P1466" s="43"/>
      <c r="Q1466" s="43"/>
      <c r="R1466" s="43"/>
      <c r="S1466" s="51"/>
    </row>
    <row r="1467" spans="1:19" ht="18.75" customHeight="1" x14ac:dyDescent="0.25">
      <c r="A1467" s="37" t="s">
        <v>59</v>
      </c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  <c r="O1467" s="37"/>
      <c r="P1467" s="37"/>
      <c r="Q1467" s="37"/>
      <c r="R1467" s="37"/>
      <c r="S1467" s="37"/>
    </row>
    <row r="1468" spans="1:19" ht="21" customHeight="1" x14ac:dyDescent="0.25">
      <c r="A1468" s="38"/>
      <c r="B1468" s="48" t="s">
        <v>562</v>
      </c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</row>
    <row r="1469" spans="1:19" ht="18.75" customHeight="1" x14ac:dyDescent="0.25">
      <c r="A1469" s="38"/>
      <c r="B1469" s="49" t="s">
        <v>679</v>
      </c>
      <c r="C1469" s="50" t="s">
        <v>168</v>
      </c>
      <c r="D1469" s="50"/>
      <c r="E1469" s="50"/>
      <c r="F1469" s="50"/>
      <c r="G1469" s="50"/>
      <c r="H1469" s="50"/>
      <c r="I1469" s="50"/>
      <c r="J1469" s="43" t="s">
        <v>14</v>
      </c>
      <c r="K1469" s="43" t="s">
        <v>821</v>
      </c>
      <c r="L1469" s="43" t="s">
        <v>397</v>
      </c>
      <c r="M1469" s="43" t="s">
        <v>62</v>
      </c>
      <c r="N1469" s="53" t="s">
        <v>529</v>
      </c>
      <c r="O1469" s="43" t="s">
        <v>17</v>
      </c>
      <c r="P1469" s="43" t="s">
        <v>342</v>
      </c>
      <c r="Q1469" s="43" t="s">
        <v>9</v>
      </c>
      <c r="R1469" s="43" t="s">
        <v>720</v>
      </c>
      <c r="S1469" s="51" t="s">
        <v>734</v>
      </c>
    </row>
    <row r="1470" spans="1:19" ht="18" customHeight="1" x14ac:dyDescent="0.25">
      <c r="A1470" s="38"/>
      <c r="B1470" s="49"/>
      <c r="C1470" s="31" t="s">
        <v>6</v>
      </c>
      <c r="D1470" s="27">
        <f t="shared" ref="D1470:E1470" si="355">SUM(D1471:D1474)</f>
        <v>335465</v>
      </c>
      <c r="E1470" s="23">
        <f t="shared" si="355"/>
        <v>335465</v>
      </c>
      <c r="F1470" s="23"/>
      <c r="G1470" s="23"/>
      <c r="H1470" s="23"/>
      <c r="I1470" s="23"/>
      <c r="J1470" s="43"/>
      <c r="K1470" s="43"/>
      <c r="L1470" s="43"/>
      <c r="M1470" s="43"/>
      <c r="N1470" s="53"/>
      <c r="O1470" s="43"/>
      <c r="P1470" s="43"/>
      <c r="Q1470" s="43"/>
      <c r="R1470" s="43"/>
      <c r="S1470" s="51"/>
    </row>
    <row r="1471" spans="1:19" ht="18" customHeight="1" x14ac:dyDescent="0.25">
      <c r="A1471" s="38"/>
      <c r="B1471" s="49"/>
      <c r="C1471" s="31" t="s">
        <v>0</v>
      </c>
      <c r="D1471" s="27">
        <f>SUM(E1471:I1471)</f>
        <v>289360</v>
      </c>
      <c r="E1471" s="23">
        <f>258600+30760</f>
        <v>289360</v>
      </c>
      <c r="F1471" s="23"/>
      <c r="G1471" s="23"/>
      <c r="H1471" s="23"/>
      <c r="I1471" s="23"/>
      <c r="J1471" s="43"/>
      <c r="K1471" s="43"/>
      <c r="L1471" s="43"/>
      <c r="M1471" s="43"/>
      <c r="N1471" s="53"/>
      <c r="O1471" s="43"/>
      <c r="P1471" s="43"/>
      <c r="Q1471" s="43"/>
      <c r="R1471" s="43"/>
      <c r="S1471" s="51"/>
    </row>
    <row r="1472" spans="1:19" ht="18" customHeight="1" x14ac:dyDescent="0.25">
      <c r="A1472" s="38"/>
      <c r="B1472" s="49"/>
      <c r="C1472" s="31" t="s">
        <v>1</v>
      </c>
      <c r="D1472" s="27">
        <f t="shared" ref="D1472" si="356">SUM(E1472:I1472)</f>
        <v>46105</v>
      </c>
      <c r="E1472" s="23">
        <f>41865+4240</f>
        <v>46105</v>
      </c>
      <c r="F1472" s="23"/>
      <c r="G1472" s="23"/>
      <c r="H1472" s="23"/>
      <c r="I1472" s="23"/>
      <c r="J1472" s="43"/>
      <c r="K1472" s="43"/>
      <c r="L1472" s="43"/>
      <c r="M1472" s="43"/>
      <c r="N1472" s="53"/>
      <c r="O1472" s="43"/>
      <c r="P1472" s="43"/>
      <c r="Q1472" s="43"/>
      <c r="R1472" s="43"/>
      <c r="S1472" s="51"/>
    </row>
    <row r="1473" spans="1:19" ht="18" customHeight="1" x14ac:dyDescent="0.25">
      <c r="A1473" s="38"/>
      <c r="B1473" s="49"/>
      <c r="C1473" s="31" t="s">
        <v>2</v>
      </c>
      <c r="D1473" s="27"/>
      <c r="E1473" s="23"/>
      <c r="F1473" s="23"/>
      <c r="G1473" s="23"/>
      <c r="H1473" s="23"/>
      <c r="I1473" s="23"/>
      <c r="J1473" s="43"/>
      <c r="K1473" s="43"/>
      <c r="L1473" s="43"/>
      <c r="M1473" s="43"/>
      <c r="N1473" s="53"/>
      <c r="O1473" s="43"/>
      <c r="P1473" s="43"/>
      <c r="Q1473" s="43"/>
      <c r="R1473" s="43"/>
      <c r="S1473" s="51"/>
    </row>
    <row r="1474" spans="1:19" ht="18" customHeight="1" x14ac:dyDescent="0.25">
      <c r="A1474" s="38"/>
      <c r="B1474" s="49"/>
      <c r="C1474" s="31" t="s">
        <v>3</v>
      </c>
      <c r="D1474" s="27"/>
      <c r="E1474" s="23"/>
      <c r="F1474" s="23"/>
      <c r="G1474" s="23"/>
      <c r="H1474" s="23"/>
      <c r="I1474" s="23"/>
      <c r="J1474" s="43"/>
      <c r="K1474" s="43"/>
      <c r="L1474" s="43"/>
      <c r="M1474" s="43"/>
      <c r="N1474" s="53"/>
      <c r="O1474" s="43"/>
      <c r="P1474" s="43"/>
      <c r="Q1474" s="43"/>
      <c r="R1474" s="43"/>
      <c r="S1474" s="51"/>
    </row>
    <row r="1475" spans="1:19" ht="19.5" customHeight="1" x14ac:dyDescent="0.25">
      <c r="A1475" s="37" t="s">
        <v>59</v>
      </c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  <c r="O1475" s="37"/>
      <c r="P1475" s="37"/>
      <c r="Q1475" s="37"/>
      <c r="R1475" s="37"/>
      <c r="S1475" s="37"/>
    </row>
    <row r="1476" spans="1:19" ht="21" customHeight="1" x14ac:dyDescent="0.25">
      <c r="A1476" s="38"/>
      <c r="B1476" s="48" t="s">
        <v>562</v>
      </c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</row>
    <row r="1477" spans="1:19" ht="18.75" customHeight="1" x14ac:dyDescent="0.25">
      <c r="A1477" s="38"/>
      <c r="B1477" s="49" t="s">
        <v>680</v>
      </c>
      <c r="C1477" s="50" t="s">
        <v>191</v>
      </c>
      <c r="D1477" s="50"/>
      <c r="E1477" s="50"/>
      <c r="F1477" s="50"/>
      <c r="G1477" s="50"/>
      <c r="H1477" s="50"/>
      <c r="I1477" s="50"/>
      <c r="J1477" s="43" t="s">
        <v>530</v>
      </c>
      <c r="K1477" s="43" t="s">
        <v>821</v>
      </c>
      <c r="L1477" s="43" t="s">
        <v>398</v>
      </c>
      <c r="M1477" s="43" t="s">
        <v>62</v>
      </c>
      <c r="N1477" s="53" t="s">
        <v>531</v>
      </c>
      <c r="O1477" s="43" t="s">
        <v>17</v>
      </c>
      <c r="P1477" s="43" t="s">
        <v>18</v>
      </c>
      <c r="Q1477" s="43" t="s">
        <v>44</v>
      </c>
      <c r="R1477" s="43"/>
      <c r="S1477" s="51"/>
    </row>
    <row r="1478" spans="1:19" ht="18" customHeight="1" x14ac:dyDescent="0.25">
      <c r="A1478" s="38"/>
      <c r="B1478" s="49"/>
      <c r="C1478" s="31" t="s">
        <v>6</v>
      </c>
      <c r="D1478" s="27">
        <f t="shared" ref="D1478:E1478" si="357">SUM(D1479:D1482)</f>
        <v>2398.1040000000003</v>
      </c>
      <c r="E1478" s="23">
        <f t="shared" si="357"/>
        <v>2398.1040000000003</v>
      </c>
      <c r="F1478" s="23"/>
      <c r="G1478" s="23"/>
      <c r="H1478" s="23"/>
      <c r="I1478" s="23"/>
      <c r="J1478" s="43"/>
      <c r="K1478" s="43"/>
      <c r="L1478" s="43"/>
      <c r="M1478" s="43"/>
      <c r="N1478" s="53"/>
      <c r="O1478" s="43"/>
      <c r="P1478" s="43"/>
      <c r="Q1478" s="43"/>
      <c r="R1478" s="43"/>
      <c r="S1478" s="51"/>
    </row>
    <row r="1479" spans="1:19" ht="18" customHeight="1" x14ac:dyDescent="0.25">
      <c r="A1479" s="38"/>
      <c r="B1479" s="49"/>
      <c r="C1479" s="31" t="s">
        <v>0</v>
      </c>
      <c r="D1479" s="27"/>
      <c r="E1479" s="23"/>
      <c r="F1479" s="23"/>
      <c r="G1479" s="23"/>
      <c r="H1479" s="23"/>
      <c r="I1479" s="23"/>
      <c r="J1479" s="43"/>
      <c r="K1479" s="43"/>
      <c r="L1479" s="43"/>
      <c r="M1479" s="43"/>
      <c r="N1479" s="53"/>
      <c r="O1479" s="43"/>
      <c r="P1479" s="43"/>
      <c r="Q1479" s="43"/>
      <c r="R1479" s="43"/>
      <c r="S1479" s="51"/>
    </row>
    <row r="1480" spans="1:19" ht="18" customHeight="1" x14ac:dyDescent="0.25">
      <c r="A1480" s="38"/>
      <c r="B1480" s="49"/>
      <c r="C1480" s="31" t="s">
        <v>1</v>
      </c>
      <c r="D1480" s="27">
        <f t="shared" ref="D1480" si="358">SUM(E1480:I1480)</f>
        <v>2398.1040000000003</v>
      </c>
      <c r="E1480" s="23">
        <f>6500-1810.453-2941.119+649.676</f>
        <v>2398.1040000000003</v>
      </c>
      <c r="F1480" s="23"/>
      <c r="G1480" s="23"/>
      <c r="H1480" s="23"/>
      <c r="I1480" s="23"/>
      <c r="J1480" s="43"/>
      <c r="K1480" s="43"/>
      <c r="L1480" s="43"/>
      <c r="M1480" s="43"/>
      <c r="N1480" s="53"/>
      <c r="O1480" s="43"/>
      <c r="P1480" s="43"/>
      <c r="Q1480" s="43"/>
      <c r="R1480" s="43"/>
      <c r="S1480" s="51"/>
    </row>
    <row r="1481" spans="1:19" ht="18" customHeight="1" x14ac:dyDescent="0.25">
      <c r="A1481" s="38"/>
      <c r="B1481" s="49"/>
      <c r="C1481" s="31" t="s">
        <v>2</v>
      </c>
      <c r="D1481" s="27"/>
      <c r="E1481" s="23"/>
      <c r="F1481" s="23"/>
      <c r="G1481" s="23"/>
      <c r="H1481" s="23"/>
      <c r="I1481" s="23"/>
      <c r="J1481" s="43"/>
      <c r="K1481" s="43"/>
      <c r="L1481" s="43"/>
      <c r="M1481" s="43"/>
      <c r="N1481" s="53"/>
      <c r="O1481" s="43"/>
      <c r="P1481" s="43"/>
      <c r="Q1481" s="43"/>
      <c r="R1481" s="43"/>
      <c r="S1481" s="51"/>
    </row>
    <row r="1482" spans="1:19" ht="18" customHeight="1" x14ac:dyDescent="0.25">
      <c r="A1482" s="38"/>
      <c r="B1482" s="49"/>
      <c r="C1482" s="31" t="s">
        <v>3</v>
      </c>
      <c r="D1482" s="27"/>
      <c r="E1482" s="23"/>
      <c r="F1482" s="23"/>
      <c r="G1482" s="23"/>
      <c r="H1482" s="23"/>
      <c r="I1482" s="23"/>
      <c r="J1482" s="43"/>
      <c r="K1482" s="43"/>
      <c r="L1482" s="43"/>
      <c r="M1482" s="43"/>
      <c r="N1482" s="53"/>
      <c r="O1482" s="43"/>
      <c r="P1482" s="43"/>
      <c r="Q1482" s="43"/>
      <c r="R1482" s="43"/>
      <c r="S1482" s="51"/>
    </row>
    <row r="1483" spans="1:19" ht="18.75" customHeight="1" x14ac:dyDescent="0.25">
      <c r="A1483" s="37" t="s">
        <v>59</v>
      </c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  <c r="O1483" s="37"/>
      <c r="P1483" s="37"/>
      <c r="Q1483" s="37"/>
      <c r="R1483" s="37"/>
      <c r="S1483" s="37"/>
    </row>
    <row r="1484" spans="1:19" ht="21" customHeight="1" x14ac:dyDescent="0.25">
      <c r="A1484" s="38"/>
      <c r="B1484" s="48" t="s">
        <v>562</v>
      </c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</row>
    <row r="1485" spans="1:19" ht="38.25" customHeight="1" x14ac:dyDescent="0.25">
      <c r="A1485" s="38"/>
      <c r="B1485" s="49" t="s">
        <v>681</v>
      </c>
      <c r="C1485" s="50" t="s">
        <v>161</v>
      </c>
      <c r="D1485" s="50"/>
      <c r="E1485" s="50"/>
      <c r="F1485" s="50"/>
      <c r="G1485" s="50"/>
      <c r="H1485" s="50"/>
      <c r="I1485" s="50"/>
      <c r="J1485" s="43" t="s">
        <v>530</v>
      </c>
      <c r="K1485" s="43" t="s">
        <v>821</v>
      </c>
      <c r="L1485" s="43" t="s">
        <v>735</v>
      </c>
      <c r="M1485" s="43" t="s">
        <v>62</v>
      </c>
      <c r="N1485" s="53" t="s">
        <v>736</v>
      </c>
      <c r="O1485" s="43" t="s">
        <v>17</v>
      </c>
      <c r="P1485" s="43" t="s">
        <v>19</v>
      </c>
      <c r="Q1485" s="43" t="s">
        <v>44</v>
      </c>
      <c r="R1485" s="43"/>
      <c r="S1485" s="51"/>
    </row>
    <row r="1486" spans="1:19" ht="18" customHeight="1" x14ac:dyDescent="0.25">
      <c r="A1486" s="38"/>
      <c r="B1486" s="49"/>
      <c r="C1486" s="31" t="s">
        <v>6</v>
      </c>
      <c r="D1486" s="27">
        <f t="shared" ref="D1486:F1486" si="359">SUM(D1487:D1490)</f>
        <v>22259.11</v>
      </c>
      <c r="E1486" s="23">
        <f t="shared" si="359"/>
        <v>7015</v>
      </c>
      <c r="F1486" s="23">
        <f t="shared" si="359"/>
        <v>15244.11</v>
      </c>
      <c r="G1486" s="23"/>
      <c r="H1486" s="23"/>
      <c r="I1486" s="23"/>
      <c r="J1486" s="43"/>
      <c r="K1486" s="43"/>
      <c r="L1486" s="43"/>
      <c r="M1486" s="43"/>
      <c r="N1486" s="53"/>
      <c r="O1486" s="43"/>
      <c r="P1486" s="43"/>
      <c r="Q1486" s="43"/>
      <c r="R1486" s="43"/>
      <c r="S1486" s="51"/>
    </row>
    <row r="1487" spans="1:19" ht="18" customHeight="1" x14ac:dyDescent="0.25">
      <c r="A1487" s="38"/>
      <c r="B1487" s="49"/>
      <c r="C1487" s="31" t="s">
        <v>0</v>
      </c>
      <c r="D1487" s="27"/>
      <c r="E1487" s="23"/>
      <c r="F1487" s="23"/>
      <c r="G1487" s="23"/>
      <c r="H1487" s="23"/>
      <c r="I1487" s="23"/>
      <c r="J1487" s="43"/>
      <c r="K1487" s="43"/>
      <c r="L1487" s="43"/>
      <c r="M1487" s="43"/>
      <c r="N1487" s="53"/>
      <c r="O1487" s="43"/>
      <c r="P1487" s="43"/>
      <c r="Q1487" s="43"/>
      <c r="R1487" s="43"/>
      <c r="S1487" s="51"/>
    </row>
    <row r="1488" spans="1:19" ht="18" customHeight="1" x14ac:dyDescent="0.25">
      <c r="A1488" s="38"/>
      <c r="B1488" s="49"/>
      <c r="C1488" s="31" t="s">
        <v>1</v>
      </c>
      <c r="D1488" s="27">
        <f t="shared" ref="D1488" si="360">SUM(E1488:I1488)</f>
        <v>22259.11</v>
      </c>
      <c r="E1488" s="23">
        <f>28118.91-21103.91</f>
        <v>7015</v>
      </c>
      <c r="F1488" s="23">
        <v>15244.11</v>
      </c>
      <c r="G1488" s="23"/>
      <c r="H1488" s="23"/>
      <c r="I1488" s="23"/>
      <c r="J1488" s="43"/>
      <c r="K1488" s="43"/>
      <c r="L1488" s="43"/>
      <c r="M1488" s="43"/>
      <c r="N1488" s="53"/>
      <c r="O1488" s="43"/>
      <c r="P1488" s="43"/>
      <c r="Q1488" s="43"/>
      <c r="R1488" s="43"/>
      <c r="S1488" s="51"/>
    </row>
    <row r="1489" spans="1:19" ht="18" customHeight="1" x14ac:dyDescent="0.25">
      <c r="A1489" s="38"/>
      <c r="B1489" s="49"/>
      <c r="C1489" s="31" t="s">
        <v>2</v>
      </c>
      <c r="D1489" s="27"/>
      <c r="E1489" s="23"/>
      <c r="F1489" s="23"/>
      <c r="G1489" s="23"/>
      <c r="H1489" s="23"/>
      <c r="I1489" s="23"/>
      <c r="J1489" s="43"/>
      <c r="K1489" s="43"/>
      <c r="L1489" s="43"/>
      <c r="M1489" s="43"/>
      <c r="N1489" s="53"/>
      <c r="O1489" s="43"/>
      <c r="P1489" s="43"/>
      <c r="Q1489" s="43"/>
      <c r="R1489" s="43"/>
      <c r="S1489" s="51"/>
    </row>
    <row r="1490" spans="1:19" ht="18" customHeight="1" x14ac:dyDescent="0.25">
      <c r="A1490" s="38"/>
      <c r="B1490" s="49"/>
      <c r="C1490" s="31" t="s">
        <v>3</v>
      </c>
      <c r="D1490" s="27"/>
      <c r="E1490" s="23"/>
      <c r="F1490" s="23"/>
      <c r="G1490" s="23"/>
      <c r="H1490" s="23"/>
      <c r="I1490" s="23"/>
      <c r="J1490" s="43"/>
      <c r="K1490" s="43"/>
      <c r="L1490" s="43"/>
      <c r="M1490" s="43"/>
      <c r="N1490" s="53"/>
      <c r="O1490" s="43"/>
      <c r="P1490" s="43"/>
      <c r="Q1490" s="43"/>
      <c r="R1490" s="43"/>
      <c r="S1490" s="51"/>
    </row>
    <row r="1491" spans="1:19" ht="18.75" customHeight="1" x14ac:dyDescent="0.25">
      <c r="A1491" s="37" t="s">
        <v>59</v>
      </c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  <c r="O1491" s="37"/>
      <c r="P1491" s="37"/>
      <c r="Q1491" s="37"/>
      <c r="R1491" s="37"/>
      <c r="S1491" s="37"/>
    </row>
    <row r="1492" spans="1:19" ht="21" customHeight="1" x14ac:dyDescent="0.25">
      <c r="A1492" s="38"/>
      <c r="B1492" s="48" t="s">
        <v>562</v>
      </c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</row>
    <row r="1493" spans="1:19" ht="36" customHeight="1" x14ac:dyDescent="0.25">
      <c r="A1493" s="38"/>
      <c r="B1493" s="49" t="s">
        <v>682</v>
      </c>
      <c r="C1493" s="50" t="s">
        <v>74</v>
      </c>
      <c r="D1493" s="50"/>
      <c r="E1493" s="50"/>
      <c r="F1493" s="50"/>
      <c r="G1493" s="50"/>
      <c r="H1493" s="50"/>
      <c r="I1493" s="50"/>
      <c r="J1493" s="43" t="s">
        <v>530</v>
      </c>
      <c r="K1493" s="43" t="s">
        <v>821</v>
      </c>
      <c r="L1493" s="43" t="s">
        <v>735</v>
      </c>
      <c r="M1493" s="43" t="s">
        <v>62</v>
      </c>
      <c r="N1493" s="53" t="s">
        <v>736</v>
      </c>
      <c r="O1493" s="43" t="s">
        <v>17</v>
      </c>
      <c r="P1493" s="43" t="s">
        <v>19</v>
      </c>
      <c r="Q1493" s="43" t="s">
        <v>44</v>
      </c>
      <c r="R1493" s="43"/>
      <c r="S1493" s="51"/>
    </row>
    <row r="1494" spans="1:19" ht="18" customHeight="1" x14ac:dyDescent="0.25">
      <c r="A1494" s="38"/>
      <c r="B1494" s="49"/>
      <c r="C1494" s="31" t="s">
        <v>6</v>
      </c>
      <c r="D1494" s="27">
        <f t="shared" ref="D1494:I1494" si="361">SUM(D1495:D1498)</f>
        <v>3400000</v>
      </c>
      <c r="E1494" s="23"/>
      <c r="F1494" s="23"/>
      <c r="G1494" s="23">
        <f t="shared" si="361"/>
        <v>1200000</v>
      </c>
      <c r="H1494" s="23">
        <f t="shared" si="361"/>
        <v>1100000</v>
      </c>
      <c r="I1494" s="23">
        <f t="shared" si="361"/>
        <v>1100000</v>
      </c>
      <c r="J1494" s="43"/>
      <c r="K1494" s="43"/>
      <c r="L1494" s="43"/>
      <c r="M1494" s="43"/>
      <c r="N1494" s="53"/>
      <c r="O1494" s="43"/>
      <c r="P1494" s="43"/>
      <c r="Q1494" s="43"/>
      <c r="R1494" s="43"/>
      <c r="S1494" s="51"/>
    </row>
    <row r="1495" spans="1:19" ht="18" customHeight="1" x14ac:dyDescent="0.25">
      <c r="A1495" s="38"/>
      <c r="B1495" s="49"/>
      <c r="C1495" s="31" t="s">
        <v>0</v>
      </c>
      <c r="D1495" s="27">
        <f>SUM(E1495:I1495)</f>
        <v>3060000</v>
      </c>
      <c r="E1495" s="23"/>
      <c r="F1495" s="23"/>
      <c r="G1495" s="23">
        <v>1080000</v>
      </c>
      <c r="H1495" s="23">
        <v>990000</v>
      </c>
      <c r="I1495" s="23">
        <v>990000</v>
      </c>
      <c r="J1495" s="43"/>
      <c r="K1495" s="43"/>
      <c r="L1495" s="43"/>
      <c r="M1495" s="43"/>
      <c r="N1495" s="53"/>
      <c r="O1495" s="43"/>
      <c r="P1495" s="43"/>
      <c r="Q1495" s="43"/>
      <c r="R1495" s="43"/>
      <c r="S1495" s="51"/>
    </row>
    <row r="1496" spans="1:19" ht="18" customHeight="1" x14ac:dyDescent="0.25">
      <c r="A1496" s="38"/>
      <c r="B1496" s="49"/>
      <c r="C1496" s="31" t="s">
        <v>1</v>
      </c>
      <c r="D1496" s="27">
        <f t="shared" ref="D1496" si="362">SUM(E1496:I1496)</f>
        <v>340000</v>
      </c>
      <c r="E1496" s="23"/>
      <c r="F1496" s="23"/>
      <c r="G1496" s="23">
        <v>120000</v>
      </c>
      <c r="H1496" s="23">
        <v>110000</v>
      </c>
      <c r="I1496" s="23">
        <v>110000</v>
      </c>
      <c r="J1496" s="43"/>
      <c r="K1496" s="43"/>
      <c r="L1496" s="43"/>
      <c r="M1496" s="43"/>
      <c r="N1496" s="53"/>
      <c r="O1496" s="43"/>
      <c r="P1496" s="43"/>
      <c r="Q1496" s="43"/>
      <c r="R1496" s="43"/>
      <c r="S1496" s="51"/>
    </row>
    <row r="1497" spans="1:19" ht="18" customHeight="1" x14ac:dyDescent="0.25">
      <c r="A1497" s="38"/>
      <c r="B1497" s="49"/>
      <c r="C1497" s="31" t="s">
        <v>2</v>
      </c>
      <c r="D1497" s="27"/>
      <c r="E1497" s="23"/>
      <c r="F1497" s="23"/>
      <c r="G1497" s="23"/>
      <c r="H1497" s="23"/>
      <c r="I1497" s="23"/>
      <c r="J1497" s="43"/>
      <c r="K1497" s="43"/>
      <c r="L1497" s="43"/>
      <c r="M1497" s="43"/>
      <c r="N1497" s="53"/>
      <c r="O1497" s="43"/>
      <c r="P1497" s="43"/>
      <c r="Q1497" s="43"/>
      <c r="R1497" s="43"/>
      <c r="S1497" s="51"/>
    </row>
    <row r="1498" spans="1:19" ht="18" customHeight="1" x14ac:dyDescent="0.25">
      <c r="A1498" s="38"/>
      <c r="B1498" s="49"/>
      <c r="C1498" s="31" t="s">
        <v>3</v>
      </c>
      <c r="D1498" s="27"/>
      <c r="E1498" s="23"/>
      <c r="F1498" s="23"/>
      <c r="G1498" s="23"/>
      <c r="H1498" s="23"/>
      <c r="I1498" s="23"/>
      <c r="J1498" s="43"/>
      <c r="K1498" s="43"/>
      <c r="L1498" s="43"/>
      <c r="M1498" s="43"/>
      <c r="N1498" s="53"/>
      <c r="O1498" s="43"/>
      <c r="P1498" s="43"/>
      <c r="Q1498" s="43"/>
      <c r="R1498" s="43"/>
      <c r="S1498" s="51"/>
    </row>
    <row r="1499" spans="1:19" ht="18.75" customHeight="1" x14ac:dyDescent="0.25">
      <c r="A1499" s="37" t="s">
        <v>59</v>
      </c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  <c r="O1499" s="37"/>
      <c r="P1499" s="37"/>
      <c r="Q1499" s="37"/>
      <c r="R1499" s="37"/>
      <c r="S1499" s="37"/>
    </row>
    <row r="1500" spans="1:19" ht="21" customHeight="1" x14ac:dyDescent="0.25">
      <c r="A1500" s="38"/>
      <c r="B1500" s="48" t="s">
        <v>562</v>
      </c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</row>
    <row r="1501" spans="1:19" ht="18.75" customHeight="1" x14ac:dyDescent="0.25">
      <c r="A1501" s="38"/>
      <c r="B1501" s="49" t="s">
        <v>683</v>
      </c>
      <c r="C1501" s="50" t="s">
        <v>1038</v>
      </c>
      <c r="D1501" s="50"/>
      <c r="E1501" s="50"/>
      <c r="F1501" s="50"/>
      <c r="G1501" s="50"/>
      <c r="H1501" s="50"/>
      <c r="I1501" s="50"/>
      <c r="J1501" s="43" t="s">
        <v>66</v>
      </c>
      <c r="K1501" s="43" t="s">
        <v>821</v>
      </c>
      <c r="L1501" s="43" t="s">
        <v>75</v>
      </c>
      <c r="M1501" s="43" t="s">
        <v>62</v>
      </c>
      <c r="N1501" s="53" t="s">
        <v>737</v>
      </c>
      <c r="O1501" s="43" t="s">
        <v>17</v>
      </c>
      <c r="P1501" s="43" t="s">
        <v>19</v>
      </c>
      <c r="Q1501" s="43" t="s">
        <v>44</v>
      </c>
      <c r="R1501" s="43"/>
      <c r="S1501" s="51"/>
    </row>
    <row r="1502" spans="1:19" ht="18" customHeight="1" x14ac:dyDescent="0.25">
      <c r="A1502" s="38"/>
      <c r="B1502" s="49"/>
      <c r="C1502" s="31" t="s">
        <v>6</v>
      </c>
      <c r="D1502" s="27">
        <f t="shared" ref="D1502:E1502" si="363">SUM(D1503:D1506)</f>
        <v>6294.6889099999999</v>
      </c>
      <c r="E1502" s="23">
        <f t="shared" si="363"/>
        <v>6294.6889099999999</v>
      </c>
      <c r="F1502" s="23"/>
      <c r="G1502" s="23"/>
      <c r="H1502" s="23"/>
      <c r="I1502" s="23"/>
      <c r="J1502" s="43"/>
      <c r="K1502" s="43"/>
      <c r="L1502" s="43"/>
      <c r="M1502" s="43"/>
      <c r="N1502" s="53"/>
      <c r="O1502" s="43"/>
      <c r="P1502" s="43"/>
      <c r="Q1502" s="43"/>
      <c r="R1502" s="43"/>
      <c r="S1502" s="51"/>
    </row>
    <row r="1503" spans="1:19" ht="18" customHeight="1" x14ac:dyDescent="0.25">
      <c r="A1503" s="38"/>
      <c r="B1503" s="49"/>
      <c r="C1503" s="31" t="s">
        <v>0</v>
      </c>
      <c r="D1503" s="27"/>
      <c r="E1503" s="23"/>
      <c r="F1503" s="23"/>
      <c r="G1503" s="23"/>
      <c r="H1503" s="23"/>
      <c r="I1503" s="23"/>
      <c r="J1503" s="43"/>
      <c r="K1503" s="43"/>
      <c r="L1503" s="43"/>
      <c r="M1503" s="43"/>
      <c r="N1503" s="53"/>
      <c r="O1503" s="43"/>
      <c r="P1503" s="43"/>
      <c r="Q1503" s="43"/>
      <c r="R1503" s="43"/>
      <c r="S1503" s="51"/>
    </row>
    <row r="1504" spans="1:19" ht="18" customHeight="1" x14ac:dyDescent="0.25">
      <c r="A1504" s="38"/>
      <c r="B1504" s="49"/>
      <c r="C1504" s="31" t="s">
        <v>1</v>
      </c>
      <c r="D1504" s="27">
        <f t="shared" ref="D1504" si="364">SUM(E1504:I1504)</f>
        <v>6294.6889099999999</v>
      </c>
      <c r="E1504" s="23">
        <f>6295.68891-1</f>
        <v>6294.6889099999999</v>
      </c>
      <c r="F1504" s="23"/>
      <c r="G1504" s="23"/>
      <c r="H1504" s="23"/>
      <c r="I1504" s="23"/>
      <c r="J1504" s="43"/>
      <c r="K1504" s="43"/>
      <c r="L1504" s="43"/>
      <c r="M1504" s="43"/>
      <c r="N1504" s="53"/>
      <c r="O1504" s="43"/>
      <c r="P1504" s="43"/>
      <c r="Q1504" s="43"/>
      <c r="R1504" s="43"/>
      <c r="S1504" s="51"/>
    </row>
    <row r="1505" spans="1:19" ht="18" customHeight="1" x14ac:dyDescent="0.25">
      <c r="A1505" s="38"/>
      <c r="B1505" s="49"/>
      <c r="C1505" s="31" t="s">
        <v>2</v>
      </c>
      <c r="D1505" s="27"/>
      <c r="E1505" s="23"/>
      <c r="F1505" s="23"/>
      <c r="G1505" s="23"/>
      <c r="H1505" s="23"/>
      <c r="I1505" s="23"/>
      <c r="J1505" s="43"/>
      <c r="K1505" s="43"/>
      <c r="L1505" s="43"/>
      <c r="M1505" s="43"/>
      <c r="N1505" s="53"/>
      <c r="O1505" s="43"/>
      <c r="P1505" s="43"/>
      <c r="Q1505" s="43"/>
      <c r="R1505" s="43"/>
      <c r="S1505" s="51"/>
    </row>
    <row r="1506" spans="1:19" ht="18" customHeight="1" x14ac:dyDescent="0.25">
      <c r="A1506" s="38"/>
      <c r="B1506" s="49"/>
      <c r="C1506" s="31" t="s">
        <v>3</v>
      </c>
      <c r="D1506" s="27"/>
      <c r="E1506" s="23"/>
      <c r="F1506" s="23"/>
      <c r="G1506" s="23"/>
      <c r="H1506" s="23"/>
      <c r="I1506" s="23"/>
      <c r="J1506" s="43"/>
      <c r="K1506" s="43"/>
      <c r="L1506" s="43"/>
      <c r="M1506" s="43"/>
      <c r="N1506" s="53"/>
      <c r="O1506" s="43"/>
      <c r="P1506" s="43"/>
      <c r="Q1506" s="43"/>
      <c r="R1506" s="43"/>
      <c r="S1506" s="51"/>
    </row>
    <row r="1507" spans="1:19" ht="18.75" customHeight="1" x14ac:dyDescent="0.25">
      <c r="A1507" s="37" t="s">
        <v>59</v>
      </c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  <c r="O1507" s="37"/>
      <c r="P1507" s="37"/>
      <c r="Q1507" s="37"/>
      <c r="R1507" s="37"/>
      <c r="S1507" s="37"/>
    </row>
    <row r="1508" spans="1:19" ht="21" customHeight="1" x14ac:dyDescent="0.25">
      <c r="A1508" s="38"/>
      <c r="B1508" s="48" t="s">
        <v>562</v>
      </c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</row>
    <row r="1509" spans="1:19" ht="18.75" customHeight="1" x14ac:dyDescent="0.25">
      <c r="A1509" s="38"/>
      <c r="B1509" s="49" t="s">
        <v>684</v>
      </c>
      <c r="C1509" s="50" t="s">
        <v>1039</v>
      </c>
      <c r="D1509" s="50"/>
      <c r="E1509" s="50"/>
      <c r="F1509" s="50"/>
      <c r="G1509" s="50"/>
      <c r="H1509" s="50"/>
      <c r="I1509" s="50"/>
      <c r="J1509" s="43" t="s">
        <v>66</v>
      </c>
      <c r="K1509" s="43" t="s">
        <v>821</v>
      </c>
      <c r="L1509" s="43" t="s">
        <v>75</v>
      </c>
      <c r="M1509" s="43" t="s">
        <v>62</v>
      </c>
      <c r="N1509" s="53" t="s">
        <v>737</v>
      </c>
      <c r="O1509" s="43" t="s">
        <v>17</v>
      </c>
      <c r="P1509" s="43" t="s">
        <v>19</v>
      </c>
      <c r="Q1509" s="43" t="s">
        <v>44</v>
      </c>
      <c r="R1509" s="43"/>
      <c r="S1509" s="51"/>
    </row>
    <row r="1510" spans="1:19" ht="18" customHeight="1" x14ac:dyDescent="0.25">
      <c r="A1510" s="38"/>
      <c r="B1510" s="49"/>
      <c r="C1510" s="31" t="s">
        <v>6</v>
      </c>
      <c r="D1510" s="27">
        <f t="shared" ref="D1510:H1510" si="365">SUM(D1511:D1514)</f>
        <v>1111485.7309999999</v>
      </c>
      <c r="E1510" s="27">
        <f t="shared" si="365"/>
        <v>313410.73100000003</v>
      </c>
      <c r="F1510" s="23">
        <f t="shared" si="365"/>
        <v>265965</v>
      </c>
      <c r="G1510" s="23">
        <f t="shared" si="365"/>
        <v>300000</v>
      </c>
      <c r="H1510" s="23">
        <f t="shared" si="365"/>
        <v>232110</v>
      </c>
      <c r="I1510" s="23"/>
      <c r="J1510" s="43"/>
      <c r="K1510" s="43"/>
      <c r="L1510" s="43"/>
      <c r="M1510" s="43"/>
      <c r="N1510" s="53"/>
      <c r="O1510" s="43"/>
      <c r="P1510" s="43"/>
      <c r="Q1510" s="43"/>
      <c r="R1510" s="43"/>
      <c r="S1510" s="51"/>
    </row>
    <row r="1511" spans="1:19" ht="18" customHeight="1" x14ac:dyDescent="0.25">
      <c r="A1511" s="38"/>
      <c r="B1511" s="49"/>
      <c r="C1511" s="31" t="s">
        <v>0</v>
      </c>
      <c r="D1511" s="27">
        <f>SUM(E1511:I1511)</f>
        <v>993470.5</v>
      </c>
      <c r="E1511" s="23">
        <f>305962-30760</f>
        <v>275202</v>
      </c>
      <c r="F1511" s="23">
        <v>239368.5</v>
      </c>
      <c r="G1511" s="23">
        <v>270000</v>
      </c>
      <c r="H1511" s="23">
        <v>208900</v>
      </c>
      <c r="I1511" s="23"/>
      <c r="J1511" s="43"/>
      <c r="K1511" s="43"/>
      <c r="L1511" s="43"/>
      <c r="M1511" s="43"/>
      <c r="N1511" s="53"/>
      <c r="O1511" s="43"/>
      <c r="P1511" s="43"/>
      <c r="Q1511" s="43"/>
      <c r="R1511" s="43"/>
      <c r="S1511" s="51"/>
    </row>
    <row r="1512" spans="1:19" ht="18" customHeight="1" x14ac:dyDescent="0.25">
      <c r="A1512" s="38"/>
      <c r="B1512" s="49"/>
      <c r="C1512" s="31" t="s">
        <v>1</v>
      </c>
      <c r="D1512" s="27">
        <f t="shared" ref="D1512" si="366">SUM(E1512:I1512)</f>
        <v>118015.231</v>
      </c>
      <c r="E1512" s="23">
        <f>42448.731-4240</f>
        <v>38208.731</v>
      </c>
      <c r="F1512" s="23">
        <v>26596.5</v>
      </c>
      <c r="G1512" s="23">
        <v>30000</v>
      </c>
      <c r="H1512" s="23">
        <v>23210</v>
      </c>
      <c r="I1512" s="23"/>
      <c r="J1512" s="43"/>
      <c r="K1512" s="43"/>
      <c r="L1512" s="43"/>
      <c r="M1512" s="43"/>
      <c r="N1512" s="53"/>
      <c r="O1512" s="43"/>
      <c r="P1512" s="43"/>
      <c r="Q1512" s="43"/>
      <c r="R1512" s="43"/>
      <c r="S1512" s="51"/>
    </row>
    <row r="1513" spans="1:19" ht="18" customHeight="1" x14ac:dyDescent="0.25">
      <c r="A1513" s="38"/>
      <c r="B1513" s="49"/>
      <c r="C1513" s="31" t="s">
        <v>2</v>
      </c>
      <c r="D1513" s="27"/>
      <c r="E1513" s="23"/>
      <c r="F1513" s="23"/>
      <c r="G1513" s="23"/>
      <c r="H1513" s="23"/>
      <c r="I1513" s="23"/>
      <c r="J1513" s="43"/>
      <c r="K1513" s="43"/>
      <c r="L1513" s="43"/>
      <c r="M1513" s="43"/>
      <c r="N1513" s="53"/>
      <c r="O1513" s="43"/>
      <c r="P1513" s="43"/>
      <c r="Q1513" s="43"/>
      <c r="R1513" s="43"/>
      <c r="S1513" s="51"/>
    </row>
    <row r="1514" spans="1:19" ht="18" customHeight="1" x14ac:dyDescent="0.25">
      <c r="A1514" s="38"/>
      <c r="B1514" s="49"/>
      <c r="C1514" s="31" t="s">
        <v>3</v>
      </c>
      <c r="D1514" s="27"/>
      <c r="E1514" s="23"/>
      <c r="F1514" s="23"/>
      <c r="G1514" s="23"/>
      <c r="H1514" s="23"/>
      <c r="I1514" s="23"/>
      <c r="J1514" s="43"/>
      <c r="K1514" s="43"/>
      <c r="L1514" s="43"/>
      <c r="M1514" s="43"/>
      <c r="N1514" s="53"/>
      <c r="O1514" s="43"/>
      <c r="P1514" s="43"/>
      <c r="Q1514" s="43"/>
      <c r="R1514" s="43"/>
      <c r="S1514" s="51"/>
    </row>
    <row r="1515" spans="1:19" ht="18.75" customHeight="1" x14ac:dyDescent="0.25">
      <c r="A1515" s="37" t="s">
        <v>59</v>
      </c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  <c r="O1515" s="37"/>
      <c r="P1515" s="37"/>
      <c r="Q1515" s="37"/>
      <c r="R1515" s="37"/>
      <c r="S1515" s="37"/>
    </row>
    <row r="1516" spans="1:19" ht="21.75" customHeight="1" x14ac:dyDescent="0.25">
      <c r="A1516" s="38"/>
      <c r="B1516" s="48" t="s">
        <v>562</v>
      </c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</row>
    <row r="1517" spans="1:19" ht="18.75" customHeight="1" x14ac:dyDescent="0.25">
      <c r="A1517" s="38"/>
      <c r="B1517" s="49" t="s">
        <v>685</v>
      </c>
      <c r="C1517" s="41" t="s">
        <v>967</v>
      </c>
      <c r="D1517" s="41"/>
      <c r="E1517" s="41"/>
      <c r="F1517" s="41"/>
      <c r="G1517" s="41"/>
      <c r="H1517" s="41"/>
      <c r="I1517" s="41"/>
      <c r="J1517" s="43" t="s">
        <v>11</v>
      </c>
      <c r="K1517" s="43" t="s">
        <v>821</v>
      </c>
      <c r="L1517" s="43" t="s">
        <v>76</v>
      </c>
      <c r="M1517" s="43" t="s">
        <v>62</v>
      </c>
      <c r="N1517" s="53" t="s">
        <v>738</v>
      </c>
      <c r="O1517" s="43" t="s">
        <v>17</v>
      </c>
      <c r="P1517" s="43" t="s">
        <v>22</v>
      </c>
      <c r="Q1517" s="43" t="s">
        <v>44</v>
      </c>
      <c r="R1517" s="43"/>
      <c r="S1517" s="51"/>
    </row>
    <row r="1518" spans="1:19" ht="18" customHeight="1" x14ac:dyDescent="0.25">
      <c r="A1518" s="38"/>
      <c r="B1518" s="49"/>
      <c r="C1518" s="31" t="s">
        <v>6</v>
      </c>
      <c r="D1518" s="27">
        <f t="shared" ref="D1518:E1518" si="367">SUM(D1519:D1522)</f>
        <v>9959.0518899999988</v>
      </c>
      <c r="E1518" s="23">
        <f t="shared" si="367"/>
        <v>9959.0518899999988</v>
      </c>
      <c r="F1518" s="23"/>
      <c r="G1518" s="23"/>
      <c r="H1518" s="23"/>
      <c r="I1518" s="23"/>
      <c r="J1518" s="43"/>
      <c r="K1518" s="43"/>
      <c r="L1518" s="43"/>
      <c r="M1518" s="43"/>
      <c r="N1518" s="53"/>
      <c r="O1518" s="43"/>
      <c r="P1518" s="43"/>
      <c r="Q1518" s="43"/>
      <c r="R1518" s="43"/>
      <c r="S1518" s="51"/>
    </row>
    <row r="1519" spans="1:19" ht="18" customHeight="1" x14ac:dyDescent="0.25">
      <c r="A1519" s="38"/>
      <c r="B1519" s="49"/>
      <c r="C1519" s="31" t="s">
        <v>0</v>
      </c>
      <c r="D1519" s="27"/>
      <c r="E1519" s="23"/>
      <c r="F1519" s="23"/>
      <c r="G1519" s="23"/>
      <c r="H1519" s="23"/>
      <c r="I1519" s="23"/>
      <c r="J1519" s="43"/>
      <c r="K1519" s="43"/>
      <c r="L1519" s="43"/>
      <c r="M1519" s="43"/>
      <c r="N1519" s="53"/>
      <c r="O1519" s="43"/>
      <c r="P1519" s="43"/>
      <c r="Q1519" s="43"/>
      <c r="R1519" s="43"/>
      <c r="S1519" s="51"/>
    </row>
    <row r="1520" spans="1:19" ht="18" customHeight="1" x14ac:dyDescent="0.25">
      <c r="A1520" s="38"/>
      <c r="B1520" s="49"/>
      <c r="C1520" s="31" t="s">
        <v>1</v>
      </c>
      <c r="D1520" s="27">
        <f t="shared" ref="D1520" si="368">SUM(E1520:I1520)</f>
        <v>9959.0518899999988</v>
      </c>
      <c r="E1520" s="23">
        <f>13429.935-3470.88311</f>
        <v>9959.0518899999988</v>
      </c>
      <c r="F1520" s="23"/>
      <c r="G1520" s="23"/>
      <c r="H1520" s="23"/>
      <c r="I1520" s="23"/>
      <c r="J1520" s="43"/>
      <c r="K1520" s="43"/>
      <c r="L1520" s="43"/>
      <c r="M1520" s="43"/>
      <c r="N1520" s="53"/>
      <c r="O1520" s="43"/>
      <c r="P1520" s="43"/>
      <c r="Q1520" s="43"/>
      <c r="R1520" s="43"/>
      <c r="S1520" s="51"/>
    </row>
    <row r="1521" spans="1:19" ht="18" customHeight="1" x14ac:dyDescent="0.25">
      <c r="A1521" s="38"/>
      <c r="B1521" s="49"/>
      <c r="C1521" s="31" t="s">
        <v>2</v>
      </c>
      <c r="D1521" s="27"/>
      <c r="E1521" s="23"/>
      <c r="F1521" s="23"/>
      <c r="G1521" s="23"/>
      <c r="H1521" s="23"/>
      <c r="I1521" s="23"/>
      <c r="J1521" s="43"/>
      <c r="K1521" s="43"/>
      <c r="L1521" s="43"/>
      <c r="M1521" s="43"/>
      <c r="N1521" s="53"/>
      <c r="O1521" s="43"/>
      <c r="P1521" s="43"/>
      <c r="Q1521" s="43"/>
      <c r="R1521" s="43"/>
      <c r="S1521" s="51"/>
    </row>
    <row r="1522" spans="1:19" ht="18" customHeight="1" x14ac:dyDescent="0.25">
      <c r="A1522" s="38"/>
      <c r="B1522" s="49"/>
      <c r="C1522" s="31" t="s">
        <v>3</v>
      </c>
      <c r="D1522" s="27"/>
      <c r="E1522" s="23"/>
      <c r="F1522" s="23"/>
      <c r="G1522" s="23"/>
      <c r="H1522" s="23"/>
      <c r="I1522" s="23"/>
      <c r="J1522" s="43"/>
      <c r="K1522" s="43"/>
      <c r="L1522" s="43"/>
      <c r="M1522" s="43"/>
      <c r="N1522" s="53"/>
      <c r="O1522" s="43"/>
      <c r="P1522" s="43"/>
      <c r="Q1522" s="43"/>
      <c r="R1522" s="43"/>
      <c r="S1522" s="51"/>
    </row>
    <row r="1523" spans="1:19" ht="18.75" customHeight="1" x14ac:dyDescent="0.25">
      <c r="A1523" s="37" t="s">
        <v>59</v>
      </c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  <c r="O1523" s="37"/>
      <c r="P1523" s="37"/>
      <c r="Q1523" s="37"/>
      <c r="R1523" s="37"/>
      <c r="S1523" s="37"/>
    </row>
    <row r="1524" spans="1:19" ht="21" customHeight="1" x14ac:dyDescent="0.25">
      <c r="A1524" s="38"/>
      <c r="B1524" s="48" t="s">
        <v>562</v>
      </c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</row>
    <row r="1525" spans="1:19" ht="18" customHeight="1" x14ac:dyDescent="0.25">
      <c r="A1525" s="38"/>
      <c r="B1525" s="49" t="s">
        <v>686</v>
      </c>
      <c r="C1525" s="41" t="s">
        <v>966</v>
      </c>
      <c r="D1525" s="41"/>
      <c r="E1525" s="41"/>
      <c r="F1525" s="41"/>
      <c r="G1525" s="41"/>
      <c r="H1525" s="41"/>
      <c r="I1525" s="41"/>
      <c r="J1525" s="43" t="s">
        <v>11</v>
      </c>
      <c r="K1525" s="43" t="s">
        <v>821</v>
      </c>
      <c r="L1525" s="43" t="s">
        <v>76</v>
      </c>
      <c r="M1525" s="43" t="s">
        <v>62</v>
      </c>
      <c r="N1525" s="53" t="s">
        <v>738</v>
      </c>
      <c r="O1525" s="43" t="s">
        <v>17</v>
      </c>
      <c r="P1525" s="43" t="s">
        <v>4</v>
      </c>
      <c r="Q1525" s="43" t="s">
        <v>44</v>
      </c>
      <c r="R1525" s="43"/>
      <c r="S1525" s="51"/>
    </row>
    <row r="1526" spans="1:19" ht="18" customHeight="1" x14ac:dyDescent="0.25">
      <c r="A1526" s="38"/>
      <c r="B1526" s="49"/>
      <c r="C1526" s="31" t="s">
        <v>6</v>
      </c>
      <c r="D1526" s="27">
        <f t="shared" ref="D1526:G1526" si="369">SUM(D1527:D1530)</f>
        <v>400000</v>
      </c>
      <c r="E1526" s="23"/>
      <c r="F1526" s="23">
        <f t="shared" si="369"/>
        <v>200000</v>
      </c>
      <c r="G1526" s="23">
        <f t="shared" si="369"/>
        <v>200000</v>
      </c>
      <c r="H1526" s="23"/>
      <c r="I1526" s="23"/>
      <c r="J1526" s="43"/>
      <c r="K1526" s="43"/>
      <c r="L1526" s="43"/>
      <c r="M1526" s="43"/>
      <c r="N1526" s="53"/>
      <c r="O1526" s="43"/>
      <c r="P1526" s="43"/>
      <c r="Q1526" s="43"/>
      <c r="R1526" s="43"/>
      <c r="S1526" s="51"/>
    </row>
    <row r="1527" spans="1:19" ht="18" customHeight="1" x14ac:dyDescent="0.25">
      <c r="A1527" s="38"/>
      <c r="B1527" s="49"/>
      <c r="C1527" s="31" t="s">
        <v>0</v>
      </c>
      <c r="D1527" s="27">
        <f>SUM(E1527:I1527)</f>
        <v>360000</v>
      </c>
      <c r="E1527" s="23"/>
      <c r="F1527" s="23">
        <v>180000</v>
      </c>
      <c r="G1527" s="23">
        <v>180000</v>
      </c>
      <c r="H1527" s="23"/>
      <c r="I1527" s="23"/>
      <c r="J1527" s="43"/>
      <c r="K1527" s="43"/>
      <c r="L1527" s="43"/>
      <c r="M1527" s="43"/>
      <c r="N1527" s="53"/>
      <c r="O1527" s="43"/>
      <c r="P1527" s="43"/>
      <c r="Q1527" s="43"/>
      <c r="R1527" s="43"/>
      <c r="S1527" s="51"/>
    </row>
    <row r="1528" spans="1:19" ht="18" customHeight="1" x14ac:dyDescent="0.25">
      <c r="A1528" s="38"/>
      <c r="B1528" s="49"/>
      <c r="C1528" s="31" t="s">
        <v>1</v>
      </c>
      <c r="D1528" s="27">
        <f t="shared" ref="D1528" si="370">SUM(E1528:I1528)</f>
        <v>40000</v>
      </c>
      <c r="E1528" s="23"/>
      <c r="F1528" s="23">
        <v>20000</v>
      </c>
      <c r="G1528" s="23">
        <v>20000</v>
      </c>
      <c r="H1528" s="23"/>
      <c r="I1528" s="23"/>
      <c r="J1528" s="43"/>
      <c r="K1528" s="43"/>
      <c r="L1528" s="43"/>
      <c r="M1528" s="43"/>
      <c r="N1528" s="53"/>
      <c r="O1528" s="43"/>
      <c r="P1528" s="43"/>
      <c r="Q1528" s="43"/>
      <c r="R1528" s="43"/>
      <c r="S1528" s="51"/>
    </row>
    <row r="1529" spans="1:19" ht="18" customHeight="1" x14ac:dyDescent="0.25">
      <c r="A1529" s="38"/>
      <c r="B1529" s="49"/>
      <c r="C1529" s="31" t="s">
        <v>2</v>
      </c>
      <c r="D1529" s="27"/>
      <c r="E1529" s="23"/>
      <c r="F1529" s="23"/>
      <c r="G1529" s="23"/>
      <c r="H1529" s="23"/>
      <c r="I1529" s="23"/>
      <c r="J1529" s="43"/>
      <c r="K1529" s="43"/>
      <c r="L1529" s="43"/>
      <c r="M1529" s="43"/>
      <c r="N1529" s="53"/>
      <c r="O1529" s="43"/>
      <c r="P1529" s="43"/>
      <c r="Q1529" s="43"/>
      <c r="R1529" s="43"/>
      <c r="S1529" s="51"/>
    </row>
    <row r="1530" spans="1:19" ht="18" customHeight="1" x14ac:dyDescent="0.25">
      <c r="A1530" s="38"/>
      <c r="B1530" s="49"/>
      <c r="C1530" s="31" t="s">
        <v>3</v>
      </c>
      <c r="D1530" s="27"/>
      <c r="E1530" s="23"/>
      <c r="F1530" s="23"/>
      <c r="G1530" s="23"/>
      <c r="H1530" s="23"/>
      <c r="I1530" s="23"/>
      <c r="J1530" s="43"/>
      <c r="K1530" s="43"/>
      <c r="L1530" s="43"/>
      <c r="M1530" s="43"/>
      <c r="N1530" s="53"/>
      <c r="O1530" s="43"/>
      <c r="P1530" s="43"/>
      <c r="Q1530" s="43"/>
      <c r="R1530" s="43"/>
      <c r="S1530" s="51"/>
    </row>
    <row r="1531" spans="1:19" ht="18.75" customHeight="1" x14ac:dyDescent="0.25">
      <c r="A1531" s="37" t="s">
        <v>59</v>
      </c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  <c r="O1531" s="37"/>
      <c r="P1531" s="37"/>
      <c r="Q1531" s="37"/>
      <c r="R1531" s="37"/>
      <c r="S1531" s="37"/>
    </row>
    <row r="1532" spans="1:19" ht="21" customHeight="1" x14ac:dyDescent="0.25">
      <c r="A1532" s="38"/>
      <c r="B1532" s="48" t="s">
        <v>562</v>
      </c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</row>
    <row r="1533" spans="1:19" ht="18.75" customHeight="1" x14ac:dyDescent="0.25">
      <c r="A1533" s="38"/>
      <c r="B1533" s="49" t="s">
        <v>687</v>
      </c>
      <c r="C1533" s="41" t="s">
        <v>969</v>
      </c>
      <c r="D1533" s="41"/>
      <c r="E1533" s="41"/>
      <c r="F1533" s="41"/>
      <c r="G1533" s="41"/>
      <c r="H1533" s="41"/>
      <c r="I1533" s="41"/>
      <c r="J1533" s="43" t="s">
        <v>66</v>
      </c>
      <c r="K1533" s="43" t="s">
        <v>821</v>
      </c>
      <c r="L1533" s="43" t="s">
        <v>399</v>
      </c>
      <c r="M1533" s="43" t="s">
        <v>62</v>
      </c>
      <c r="N1533" s="53" t="s">
        <v>739</v>
      </c>
      <c r="O1533" s="43" t="s">
        <v>17</v>
      </c>
      <c r="P1533" s="43" t="s">
        <v>22</v>
      </c>
      <c r="Q1533" s="43" t="s">
        <v>44</v>
      </c>
      <c r="R1533" s="43"/>
      <c r="S1533" s="51"/>
    </row>
    <row r="1534" spans="1:19" ht="18" customHeight="1" x14ac:dyDescent="0.25">
      <c r="A1534" s="38"/>
      <c r="B1534" s="49"/>
      <c r="C1534" s="31" t="s">
        <v>6</v>
      </c>
      <c r="D1534" s="27">
        <f t="shared" ref="D1534:E1534" si="371">SUM(D1535:D1538)</f>
        <v>9175.7270000000008</v>
      </c>
      <c r="E1534" s="23">
        <f t="shared" si="371"/>
        <v>9175.7270000000008</v>
      </c>
      <c r="F1534" s="23"/>
      <c r="G1534" s="23"/>
      <c r="H1534" s="23"/>
      <c r="I1534" s="23"/>
      <c r="J1534" s="43"/>
      <c r="K1534" s="43"/>
      <c r="L1534" s="43"/>
      <c r="M1534" s="43"/>
      <c r="N1534" s="53"/>
      <c r="O1534" s="43"/>
      <c r="P1534" s="43"/>
      <c r="Q1534" s="43"/>
      <c r="R1534" s="43"/>
      <c r="S1534" s="51"/>
    </row>
    <row r="1535" spans="1:19" ht="18" customHeight="1" x14ac:dyDescent="0.25">
      <c r="A1535" s="38"/>
      <c r="B1535" s="49"/>
      <c r="C1535" s="31" t="s">
        <v>0</v>
      </c>
      <c r="D1535" s="27"/>
      <c r="E1535" s="23"/>
      <c r="F1535" s="23"/>
      <c r="G1535" s="23"/>
      <c r="H1535" s="23"/>
      <c r="I1535" s="23"/>
      <c r="J1535" s="43"/>
      <c r="K1535" s="43"/>
      <c r="L1535" s="43"/>
      <c r="M1535" s="43"/>
      <c r="N1535" s="53"/>
      <c r="O1535" s="43"/>
      <c r="P1535" s="43"/>
      <c r="Q1535" s="43"/>
      <c r="R1535" s="43"/>
      <c r="S1535" s="51"/>
    </row>
    <row r="1536" spans="1:19" ht="18" customHeight="1" x14ac:dyDescent="0.25">
      <c r="A1536" s="38"/>
      <c r="B1536" s="49"/>
      <c r="C1536" s="31" t="s">
        <v>1</v>
      </c>
      <c r="D1536" s="27">
        <f t="shared" ref="D1536" si="372">SUM(E1536:I1536)</f>
        <v>9175.7270000000008</v>
      </c>
      <c r="E1536" s="23">
        <f>25556.38-15789.195-591.458</f>
        <v>9175.7270000000008</v>
      </c>
      <c r="F1536" s="23"/>
      <c r="G1536" s="23"/>
      <c r="H1536" s="23"/>
      <c r="I1536" s="23"/>
      <c r="J1536" s="43"/>
      <c r="K1536" s="43"/>
      <c r="L1536" s="43"/>
      <c r="M1536" s="43"/>
      <c r="N1536" s="53"/>
      <c r="O1536" s="43"/>
      <c r="P1536" s="43"/>
      <c r="Q1536" s="43"/>
      <c r="R1536" s="43"/>
      <c r="S1536" s="51"/>
    </row>
    <row r="1537" spans="1:19" ht="18" customHeight="1" x14ac:dyDescent="0.25">
      <c r="A1537" s="38"/>
      <c r="B1537" s="49"/>
      <c r="C1537" s="31" t="s">
        <v>2</v>
      </c>
      <c r="D1537" s="27"/>
      <c r="E1537" s="23"/>
      <c r="F1537" s="23"/>
      <c r="G1537" s="23"/>
      <c r="H1537" s="23"/>
      <c r="I1537" s="23"/>
      <c r="J1537" s="43"/>
      <c r="K1537" s="43"/>
      <c r="L1537" s="43"/>
      <c r="M1537" s="43"/>
      <c r="N1537" s="53"/>
      <c r="O1537" s="43"/>
      <c r="P1537" s="43"/>
      <c r="Q1537" s="43"/>
      <c r="R1537" s="43"/>
      <c r="S1537" s="51"/>
    </row>
    <row r="1538" spans="1:19" ht="18" customHeight="1" x14ac:dyDescent="0.25">
      <c r="A1538" s="38"/>
      <c r="B1538" s="49"/>
      <c r="C1538" s="31" t="s">
        <v>3</v>
      </c>
      <c r="D1538" s="27"/>
      <c r="E1538" s="23"/>
      <c r="F1538" s="23"/>
      <c r="G1538" s="23"/>
      <c r="H1538" s="23"/>
      <c r="I1538" s="23"/>
      <c r="J1538" s="43"/>
      <c r="K1538" s="43"/>
      <c r="L1538" s="43"/>
      <c r="M1538" s="43"/>
      <c r="N1538" s="53"/>
      <c r="O1538" s="43"/>
      <c r="P1538" s="43"/>
      <c r="Q1538" s="43"/>
      <c r="R1538" s="43"/>
      <c r="S1538" s="51"/>
    </row>
    <row r="1539" spans="1:19" ht="18.75" customHeight="1" x14ac:dyDescent="0.25">
      <c r="A1539" s="37" t="s">
        <v>59</v>
      </c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  <c r="O1539" s="37"/>
      <c r="P1539" s="37"/>
      <c r="Q1539" s="37"/>
      <c r="R1539" s="37"/>
      <c r="S1539" s="37"/>
    </row>
    <row r="1540" spans="1:19" ht="21" customHeight="1" x14ac:dyDescent="0.25">
      <c r="A1540" s="38"/>
      <c r="B1540" s="48" t="s">
        <v>562</v>
      </c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</row>
    <row r="1541" spans="1:19" ht="18.75" customHeight="1" x14ac:dyDescent="0.25">
      <c r="A1541" s="38"/>
      <c r="B1541" s="49" t="s">
        <v>688</v>
      </c>
      <c r="C1541" s="41" t="s">
        <v>968</v>
      </c>
      <c r="D1541" s="41"/>
      <c r="E1541" s="41"/>
      <c r="F1541" s="41"/>
      <c r="G1541" s="41"/>
      <c r="H1541" s="41"/>
      <c r="I1541" s="41"/>
      <c r="J1541" s="43" t="s">
        <v>66</v>
      </c>
      <c r="K1541" s="43" t="s">
        <v>821</v>
      </c>
      <c r="L1541" s="43" t="s">
        <v>399</v>
      </c>
      <c r="M1541" s="43" t="s">
        <v>62</v>
      </c>
      <c r="N1541" s="53" t="s">
        <v>739</v>
      </c>
      <c r="O1541" s="43" t="s">
        <v>17</v>
      </c>
      <c r="P1541" s="43" t="s">
        <v>22</v>
      </c>
      <c r="Q1541" s="43" t="s">
        <v>44</v>
      </c>
      <c r="R1541" s="43"/>
      <c r="S1541" s="51"/>
    </row>
    <row r="1542" spans="1:19" ht="18" customHeight="1" x14ac:dyDescent="0.25">
      <c r="A1542" s="38"/>
      <c r="B1542" s="49"/>
      <c r="C1542" s="31" t="s">
        <v>6</v>
      </c>
      <c r="D1542" s="27">
        <f t="shared" ref="D1542:H1542" si="373">SUM(D1543:D1546)</f>
        <v>600000</v>
      </c>
      <c r="E1542" s="23"/>
      <c r="F1542" s="23">
        <f t="shared" si="373"/>
        <v>200000</v>
      </c>
      <c r="G1542" s="23">
        <f t="shared" si="373"/>
        <v>277700</v>
      </c>
      <c r="H1542" s="23">
        <f t="shared" si="373"/>
        <v>122300</v>
      </c>
      <c r="I1542" s="23"/>
      <c r="J1542" s="43"/>
      <c r="K1542" s="43"/>
      <c r="L1542" s="43"/>
      <c r="M1542" s="43"/>
      <c r="N1542" s="53"/>
      <c r="O1542" s="43"/>
      <c r="P1542" s="43"/>
      <c r="Q1542" s="43"/>
      <c r="R1542" s="43"/>
      <c r="S1542" s="51"/>
    </row>
    <row r="1543" spans="1:19" ht="18" customHeight="1" x14ac:dyDescent="0.25">
      <c r="A1543" s="38"/>
      <c r="B1543" s="49"/>
      <c r="C1543" s="31" t="s">
        <v>0</v>
      </c>
      <c r="D1543" s="27">
        <f>SUM(E1543:I1543)</f>
        <v>540070</v>
      </c>
      <c r="E1543" s="23"/>
      <c r="F1543" s="23">
        <v>180000</v>
      </c>
      <c r="G1543" s="23">
        <v>250000</v>
      </c>
      <c r="H1543" s="23">
        <v>110070</v>
      </c>
      <c r="I1543" s="23"/>
      <c r="J1543" s="43"/>
      <c r="K1543" s="43"/>
      <c r="L1543" s="43"/>
      <c r="M1543" s="43"/>
      <c r="N1543" s="53"/>
      <c r="O1543" s="43"/>
      <c r="P1543" s="43"/>
      <c r="Q1543" s="43"/>
      <c r="R1543" s="43"/>
      <c r="S1543" s="51"/>
    </row>
    <row r="1544" spans="1:19" ht="18" customHeight="1" x14ac:dyDescent="0.25">
      <c r="A1544" s="38"/>
      <c r="B1544" s="49"/>
      <c r="C1544" s="31" t="s">
        <v>1</v>
      </c>
      <c r="D1544" s="27">
        <f t="shared" ref="D1544" si="374">SUM(E1544:I1544)</f>
        <v>59930</v>
      </c>
      <c r="E1544" s="23"/>
      <c r="F1544" s="23">
        <v>20000</v>
      </c>
      <c r="G1544" s="23">
        <v>27700</v>
      </c>
      <c r="H1544" s="23">
        <v>12230</v>
      </c>
      <c r="I1544" s="23"/>
      <c r="J1544" s="43"/>
      <c r="K1544" s="43"/>
      <c r="L1544" s="43"/>
      <c r="M1544" s="43"/>
      <c r="N1544" s="53"/>
      <c r="O1544" s="43"/>
      <c r="P1544" s="43"/>
      <c r="Q1544" s="43"/>
      <c r="R1544" s="43"/>
      <c r="S1544" s="51"/>
    </row>
    <row r="1545" spans="1:19" ht="18" customHeight="1" x14ac:dyDescent="0.25">
      <c r="A1545" s="38"/>
      <c r="B1545" s="49"/>
      <c r="C1545" s="31" t="s">
        <v>2</v>
      </c>
      <c r="D1545" s="27"/>
      <c r="E1545" s="23"/>
      <c r="F1545" s="23"/>
      <c r="G1545" s="23"/>
      <c r="H1545" s="23"/>
      <c r="I1545" s="23"/>
      <c r="J1545" s="43"/>
      <c r="K1545" s="43"/>
      <c r="L1545" s="43"/>
      <c r="M1545" s="43"/>
      <c r="N1545" s="53"/>
      <c r="O1545" s="43"/>
      <c r="P1545" s="43"/>
      <c r="Q1545" s="43"/>
      <c r="R1545" s="43"/>
      <c r="S1545" s="51"/>
    </row>
    <row r="1546" spans="1:19" ht="18" customHeight="1" x14ac:dyDescent="0.25">
      <c r="A1546" s="38"/>
      <c r="B1546" s="49"/>
      <c r="C1546" s="31" t="s">
        <v>3</v>
      </c>
      <c r="D1546" s="27"/>
      <c r="E1546" s="23"/>
      <c r="F1546" s="23"/>
      <c r="G1546" s="23"/>
      <c r="H1546" s="23"/>
      <c r="I1546" s="23"/>
      <c r="J1546" s="43"/>
      <c r="K1546" s="43"/>
      <c r="L1546" s="43"/>
      <c r="M1546" s="43"/>
      <c r="N1546" s="53"/>
      <c r="O1546" s="43"/>
      <c r="P1546" s="43"/>
      <c r="Q1546" s="43"/>
      <c r="R1546" s="43"/>
      <c r="S1546" s="51"/>
    </row>
    <row r="1547" spans="1:19" ht="18.75" customHeight="1" x14ac:dyDescent="0.25">
      <c r="A1547" s="37" t="s">
        <v>59</v>
      </c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  <c r="O1547" s="37"/>
      <c r="P1547" s="37"/>
      <c r="Q1547" s="37"/>
      <c r="R1547" s="37"/>
      <c r="S1547" s="37"/>
    </row>
    <row r="1548" spans="1:19" ht="21" customHeight="1" x14ac:dyDescent="0.25">
      <c r="A1548" s="38"/>
      <c r="B1548" s="48" t="s">
        <v>562</v>
      </c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</row>
    <row r="1549" spans="1:19" ht="18.75" customHeight="1" x14ac:dyDescent="0.25">
      <c r="A1549" s="38"/>
      <c r="B1549" s="49" t="s">
        <v>689</v>
      </c>
      <c r="C1549" s="50" t="s">
        <v>162</v>
      </c>
      <c r="D1549" s="50"/>
      <c r="E1549" s="50"/>
      <c r="F1549" s="50"/>
      <c r="G1549" s="50"/>
      <c r="H1549" s="50"/>
      <c r="I1549" s="50"/>
      <c r="J1549" s="43" t="s">
        <v>11</v>
      </c>
      <c r="K1549" s="43" t="s">
        <v>821</v>
      </c>
      <c r="L1549" s="43" t="s">
        <v>72</v>
      </c>
      <c r="M1549" s="43" t="s">
        <v>62</v>
      </c>
      <c r="N1549" s="53" t="s">
        <v>532</v>
      </c>
      <c r="O1549" s="43" t="s">
        <v>17</v>
      </c>
      <c r="P1549" s="43" t="s">
        <v>18</v>
      </c>
      <c r="Q1549" s="43" t="s">
        <v>44</v>
      </c>
      <c r="R1549" s="43"/>
      <c r="S1549" s="51"/>
    </row>
    <row r="1550" spans="1:19" ht="18" customHeight="1" x14ac:dyDescent="0.25">
      <c r="A1550" s="38"/>
      <c r="B1550" s="49"/>
      <c r="C1550" s="31" t="s">
        <v>6</v>
      </c>
      <c r="D1550" s="27">
        <f t="shared" ref="D1550:E1550" si="375">SUM(D1551:D1554)</f>
        <v>2478.9381199999998</v>
      </c>
      <c r="E1550" s="23">
        <f t="shared" si="375"/>
        <v>2478.9381199999998</v>
      </c>
      <c r="F1550" s="23"/>
      <c r="G1550" s="23"/>
      <c r="H1550" s="23"/>
      <c r="I1550" s="23"/>
      <c r="J1550" s="43"/>
      <c r="K1550" s="43"/>
      <c r="L1550" s="43"/>
      <c r="M1550" s="43"/>
      <c r="N1550" s="53"/>
      <c r="O1550" s="43"/>
      <c r="P1550" s="43"/>
      <c r="Q1550" s="43"/>
      <c r="R1550" s="43"/>
      <c r="S1550" s="51"/>
    </row>
    <row r="1551" spans="1:19" ht="18" customHeight="1" x14ac:dyDescent="0.25">
      <c r="A1551" s="38"/>
      <c r="B1551" s="49"/>
      <c r="C1551" s="31" t="s">
        <v>0</v>
      </c>
      <c r="D1551" s="27"/>
      <c r="E1551" s="23"/>
      <c r="F1551" s="23"/>
      <c r="G1551" s="23"/>
      <c r="H1551" s="23"/>
      <c r="I1551" s="23"/>
      <c r="J1551" s="43"/>
      <c r="K1551" s="43"/>
      <c r="L1551" s="43"/>
      <c r="M1551" s="43"/>
      <c r="N1551" s="53"/>
      <c r="O1551" s="43"/>
      <c r="P1551" s="43"/>
      <c r="Q1551" s="43"/>
      <c r="R1551" s="43"/>
      <c r="S1551" s="51"/>
    </row>
    <row r="1552" spans="1:19" ht="18" customHeight="1" x14ac:dyDescent="0.25">
      <c r="A1552" s="38"/>
      <c r="B1552" s="49"/>
      <c r="C1552" s="31" t="s">
        <v>1</v>
      </c>
      <c r="D1552" s="27">
        <f t="shared" ref="D1552" si="376">SUM(E1552:I1552)</f>
        <v>2478.9381199999998</v>
      </c>
      <c r="E1552" s="23">
        <f>6708.48468-4229.54656</f>
        <v>2478.9381199999998</v>
      </c>
      <c r="F1552" s="23"/>
      <c r="G1552" s="23"/>
      <c r="H1552" s="23"/>
      <c r="I1552" s="23"/>
      <c r="J1552" s="43"/>
      <c r="K1552" s="43"/>
      <c r="L1552" s="43"/>
      <c r="M1552" s="43"/>
      <c r="N1552" s="53"/>
      <c r="O1552" s="43"/>
      <c r="P1552" s="43"/>
      <c r="Q1552" s="43"/>
      <c r="R1552" s="43"/>
      <c r="S1552" s="51"/>
    </row>
    <row r="1553" spans="1:19" ht="18" customHeight="1" x14ac:dyDescent="0.25">
      <c r="A1553" s="38"/>
      <c r="B1553" s="49"/>
      <c r="C1553" s="31" t="s">
        <v>2</v>
      </c>
      <c r="D1553" s="27"/>
      <c r="E1553" s="23"/>
      <c r="F1553" s="23"/>
      <c r="G1553" s="23"/>
      <c r="H1553" s="23"/>
      <c r="I1553" s="23"/>
      <c r="J1553" s="43"/>
      <c r="K1553" s="43"/>
      <c r="L1553" s="43"/>
      <c r="M1553" s="43"/>
      <c r="N1553" s="53"/>
      <c r="O1553" s="43"/>
      <c r="P1553" s="43"/>
      <c r="Q1553" s="43"/>
      <c r="R1553" s="43"/>
      <c r="S1553" s="51"/>
    </row>
    <row r="1554" spans="1:19" ht="18" customHeight="1" x14ac:dyDescent="0.25">
      <c r="A1554" s="38"/>
      <c r="B1554" s="49"/>
      <c r="C1554" s="31" t="s">
        <v>3</v>
      </c>
      <c r="D1554" s="27"/>
      <c r="E1554" s="23"/>
      <c r="F1554" s="23"/>
      <c r="G1554" s="23"/>
      <c r="H1554" s="23"/>
      <c r="I1554" s="23"/>
      <c r="J1554" s="43"/>
      <c r="K1554" s="43"/>
      <c r="L1554" s="43"/>
      <c r="M1554" s="43"/>
      <c r="N1554" s="53"/>
      <c r="O1554" s="43"/>
      <c r="P1554" s="43"/>
      <c r="Q1554" s="43"/>
      <c r="R1554" s="43"/>
      <c r="S1554" s="51"/>
    </row>
    <row r="1555" spans="1:19" ht="18.75" customHeight="1" x14ac:dyDescent="0.25">
      <c r="A1555" s="37" t="s">
        <v>59</v>
      </c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  <c r="O1555" s="37"/>
      <c r="P1555" s="37"/>
      <c r="Q1555" s="37"/>
      <c r="R1555" s="37"/>
      <c r="S1555" s="37"/>
    </row>
    <row r="1556" spans="1:19" ht="18.75" customHeight="1" x14ac:dyDescent="0.25">
      <c r="A1556" s="38"/>
      <c r="B1556" s="48" t="s">
        <v>562</v>
      </c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</row>
    <row r="1557" spans="1:19" ht="18.75" customHeight="1" x14ac:dyDescent="0.25">
      <c r="A1557" s="38"/>
      <c r="B1557" s="49" t="s">
        <v>690</v>
      </c>
      <c r="C1557" s="50" t="s">
        <v>77</v>
      </c>
      <c r="D1557" s="50"/>
      <c r="E1557" s="50"/>
      <c r="F1557" s="50"/>
      <c r="G1557" s="50"/>
      <c r="H1557" s="50"/>
      <c r="I1557" s="50"/>
      <c r="J1557" s="43" t="s">
        <v>11</v>
      </c>
      <c r="K1557" s="43" t="s">
        <v>821</v>
      </c>
      <c r="L1557" s="43" t="s">
        <v>72</v>
      </c>
      <c r="M1557" s="43" t="s">
        <v>62</v>
      </c>
      <c r="N1557" s="53" t="s">
        <v>532</v>
      </c>
      <c r="O1557" s="43" t="s">
        <v>17</v>
      </c>
      <c r="P1557" s="43" t="s">
        <v>18</v>
      </c>
      <c r="Q1557" s="43" t="s">
        <v>44</v>
      </c>
      <c r="R1557" s="43"/>
      <c r="S1557" s="51"/>
    </row>
    <row r="1558" spans="1:19" ht="18" customHeight="1" x14ac:dyDescent="0.25">
      <c r="A1558" s="38"/>
      <c r="B1558" s="49"/>
      <c r="C1558" s="31" t="s">
        <v>6</v>
      </c>
      <c r="D1558" s="27">
        <f t="shared" ref="D1558:G1558" si="377">SUM(D1559:D1562)</f>
        <v>408037.25</v>
      </c>
      <c r="E1558" s="23"/>
      <c r="F1558" s="23">
        <f t="shared" si="377"/>
        <v>158037.25</v>
      </c>
      <c r="G1558" s="23">
        <f t="shared" si="377"/>
        <v>250000</v>
      </c>
      <c r="H1558" s="23"/>
      <c r="I1558" s="23"/>
      <c r="J1558" s="43"/>
      <c r="K1558" s="43"/>
      <c r="L1558" s="43"/>
      <c r="M1558" s="43"/>
      <c r="N1558" s="53"/>
      <c r="O1558" s="43"/>
      <c r="P1558" s="43"/>
      <c r="Q1558" s="43"/>
      <c r="R1558" s="43"/>
      <c r="S1558" s="51"/>
    </row>
    <row r="1559" spans="1:19" ht="18" customHeight="1" x14ac:dyDescent="0.25">
      <c r="A1559" s="38"/>
      <c r="B1559" s="49"/>
      <c r="C1559" s="31" t="s">
        <v>0</v>
      </c>
      <c r="D1559" s="27"/>
      <c r="E1559" s="23"/>
      <c r="F1559" s="23"/>
      <c r="G1559" s="23"/>
      <c r="H1559" s="23"/>
      <c r="I1559" s="23"/>
      <c r="J1559" s="43"/>
      <c r="K1559" s="43"/>
      <c r="L1559" s="43"/>
      <c r="M1559" s="43"/>
      <c r="N1559" s="53"/>
      <c r="O1559" s="43"/>
      <c r="P1559" s="43"/>
      <c r="Q1559" s="43"/>
      <c r="R1559" s="43"/>
      <c r="S1559" s="51"/>
    </row>
    <row r="1560" spans="1:19" ht="18" customHeight="1" x14ac:dyDescent="0.25">
      <c r="A1560" s="38"/>
      <c r="B1560" s="49"/>
      <c r="C1560" s="31" t="s">
        <v>1</v>
      </c>
      <c r="D1560" s="27">
        <f t="shared" ref="D1560" si="378">SUM(E1560:I1560)</f>
        <v>408037.25</v>
      </c>
      <c r="E1560" s="23"/>
      <c r="F1560" s="23">
        <v>158037.25</v>
      </c>
      <c r="G1560" s="23">
        <v>250000</v>
      </c>
      <c r="H1560" s="23"/>
      <c r="I1560" s="23"/>
      <c r="J1560" s="43"/>
      <c r="K1560" s="43"/>
      <c r="L1560" s="43"/>
      <c r="M1560" s="43"/>
      <c r="N1560" s="53"/>
      <c r="O1560" s="43"/>
      <c r="P1560" s="43"/>
      <c r="Q1560" s="43"/>
      <c r="R1560" s="43"/>
      <c r="S1560" s="51"/>
    </row>
    <row r="1561" spans="1:19" ht="18" customHeight="1" x14ac:dyDescent="0.25">
      <c r="A1561" s="38"/>
      <c r="B1561" s="49"/>
      <c r="C1561" s="31" t="s">
        <v>2</v>
      </c>
      <c r="D1561" s="27"/>
      <c r="E1561" s="23"/>
      <c r="F1561" s="23"/>
      <c r="G1561" s="23"/>
      <c r="H1561" s="23"/>
      <c r="I1561" s="23"/>
      <c r="J1561" s="43"/>
      <c r="K1561" s="43"/>
      <c r="L1561" s="43"/>
      <c r="M1561" s="43"/>
      <c r="N1561" s="53"/>
      <c r="O1561" s="43"/>
      <c r="P1561" s="43"/>
      <c r="Q1561" s="43"/>
      <c r="R1561" s="43"/>
      <c r="S1561" s="51"/>
    </row>
    <row r="1562" spans="1:19" ht="18" customHeight="1" x14ac:dyDescent="0.25">
      <c r="A1562" s="38"/>
      <c r="B1562" s="49"/>
      <c r="C1562" s="31" t="s">
        <v>3</v>
      </c>
      <c r="D1562" s="27"/>
      <c r="E1562" s="23"/>
      <c r="F1562" s="23"/>
      <c r="G1562" s="23"/>
      <c r="H1562" s="23"/>
      <c r="I1562" s="23"/>
      <c r="J1562" s="43"/>
      <c r="K1562" s="43"/>
      <c r="L1562" s="43"/>
      <c r="M1562" s="43"/>
      <c r="N1562" s="53"/>
      <c r="O1562" s="43"/>
      <c r="P1562" s="43"/>
      <c r="Q1562" s="43"/>
      <c r="R1562" s="43"/>
      <c r="S1562" s="51"/>
    </row>
    <row r="1563" spans="1:19" ht="18.75" customHeight="1" x14ac:dyDescent="0.25">
      <c r="A1563" s="37" t="s">
        <v>59</v>
      </c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  <c r="O1563" s="37"/>
      <c r="P1563" s="37"/>
      <c r="Q1563" s="37"/>
      <c r="R1563" s="37"/>
      <c r="S1563" s="37"/>
    </row>
    <row r="1564" spans="1:19" ht="21" customHeight="1" x14ac:dyDescent="0.25">
      <c r="A1564" s="38"/>
      <c r="B1564" s="48" t="s">
        <v>562</v>
      </c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</row>
    <row r="1565" spans="1:19" ht="18.75" customHeight="1" x14ac:dyDescent="0.25">
      <c r="A1565" s="38"/>
      <c r="B1565" s="49" t="s">
        <v>691</v>
      </c>
      <c r="C1565" s="50" t="s">
        <v>163</v>
      </c>
      <c r="D1565" s="50"/>
      <c r="E1565" s="50"/>
      <c r="F1565" s="50"/>
      <c r="G1565" s="50"/>
      <c r="H1565" s="50"/>
      <c r="I1565" s="50"/>
      <c r="J1565" s="43" t="s">
        <v>14</v>
      </c>
      <c r="K1565" s="43" t="s">
        <v>828</v>
      </c>
      <c r="L1565" s="43" t="s">
        <v>400</v>
      </c>
      <c r="M1565" s="43" t="s">
        <v>481</v>
      </c>
      <c r="N1565" s="53" t="s">
        <v>533</v>
      </c>
      <c r="O1565" s="43" t="s">
        <v>12</v>
      </c>
      <c r="P1565" s="43" t="s">
        <v>18</v>
      </c>
      <c r="Q1565" s="43" t="s">
        <v>44</v>
      </c>
      <c r="R1565" s="43"/>
      <c r="S1565" s="51"/>
    </row>
    <row r="1566" spans="1:19" ht="18" customHeight="1" x14ac:dyDescent="0.25">
      <c r="A1566" s="38"/>
      <c r="B1566" s="49"/>
      <c r="C1566" s="31" t="s">
        <v>6</v>
      </c>
      <c r="D1566" s="27">
        <f t="shared" ref="D1566" si="379">SUM(D1567:D1570)</f>
        <v>21549.96</v>
      </c>
      <c r="E1566" s="23">
        <f>SUM(E1567:E1570)</f>
        <v>4320</v>
      </c>
      <c r="F1566" s="23">
        <f t="shared" ref="F1566" si="380">SUM(F1567:F1570)</f>
        <v>17229.96</v>
      </c>
      <c r="G1566" s="23"/>
      <c r="H1566" s="23"/>
      <c r="I1566" s="23"/>
      <c r="J1566" s="43"/>
      <c r="K1566" s="43"/>
      <c r="L1566" s="43"/>
      <c r="M1566" s="43"/>
      <c r="N1566" s="53"/>
      <c r="O1566" s="43"/>
      <c r="P1566" s="43"/>
      <c r="Q1566" s="43"/>
      <c r="R1566" s="43"/>
      <c r="S1566" s="51"/>
    </row>
    <row r="1567" spans="1:19" ht="18" customHeight="1" x14ac:dyDescent="0.25">
      <c r="A1567" s="38"/>
      <c r="B1567" s="49"/>
      <c r="C1567" s="31" t="s">
        <v>0</v>
      </c>
      <c r="D1567" s="27"/>
      <c r="E1567" s="23"/>
      <c r="F1567" s="23"/>
      <c r="G1567" s="23"/>
      <c r="H1567" s="23"/>
      <c r="I1567" s="23"/>
      <c r="J1567" s="43"/>
      <c r="K1567" s="43"/>
      <c r="L1567" s="43"/>
      <c r="M1567" s="43"/>
      <c r="N1567" s="53"/>
      <c r="O1567" s="43"/>
      <c r="P1567" s="43"/>
      <c r="Q1567" s="43"/>
      <c r="R1567" s="43"/>
      <c r="S1567" s="51"/>
    </row>
    <row r="1568" spans="1:19" ht="18" customHeight="1" x14ac:dyDescent="0.25">
      <c r="A1568" s="38"/>
      <c r="B1568" s="49"/>
      <c r="C1568" s="31" t="s">
        <v>1</v>
      </c>
      <c r="D1568" s="27">
        <f t="shared" ref="D1568" si="381">SUM(E1568:I1568)</f>
        <v>21549.96</v>
      </c>
      <c r="E1568" s="23">
        <f>5856.933-1536.933</f>
        <v>4320</v>
      </c>
      <c r="F1568" s="23">
        <v>17229.96</v>
      </c>
      <c r="G1568" s="23"/>
      <c r="H1568" s="23"/>
      <c r="I1568" s="23"/>
      <c r="J1568" s="43"/>
      <c r="K1568" s="43"/>
      <c r="L1568" s="43"/>
      <c r="M1568" s="43"/>
      <c r="N1568" s="53"/>
      <c r="O1568" s="43"/>
      <c r="P1568" s="43"/>
      <c r="Q1568" s="43"/>
      <c r="R1568" s="43"/>
      <c r="S1568" s="51"/>
    </row>
    <row r="1569" spans="1:19" ht="18" customHeight="1" x14ac:dyDescent="0.25">
      <c r="A1569" s="38"/>
      <c r="B1569" s="49"/>
      <c r="C1569" s="31" t="s">
        <v>2</v>
      </c>
      <c r="D1569" s="27"/>
      <c r="E1569" s="23"/>
      <c r="F1569" s="23"/>
      <c r="G1569" s="23"/>
      <c r="H1569" s="23"/>
      <c r="I1569" s="23"/>
      <c r="J1569" s="43"/>
      <c r="K1569" s="43"/>
      <c r="L1569" s="43"/>
      <c r="M1569" s="43"/>
      <c r="N1569" s="53"/>
      <c r="O1569" s="43"/>
      <c r="P1569" s="43"/>
      <c r="Q1569" s="43"/>
      <c r="R1569" s="43"/>
      <c r="S1569" s="51"/>
    </row>
    <row r="1570" spans="1:19" ht="18" customHeight="1" x14ac:dyDescent="0.25">
      <c r="A1570" s="38"/>
      <c r="B1570" s="49"/>
      <c r="C1570" s="31" t="s">
        <v>3</v>
      </c>
      <c r="D1570" s="27"/>
      <c r="E1570" s="23"/>
      <c r="F1570" s="23"/>
      <c r="G1570" s="23"/>
      <c r="H1570" s="23"/>
      <c r="I1570" s="23"/>
      <c r="J1570" s="43"/>
      <c r="K1570" s="43"/>
      <c r="L1570" s="43"/>
      <c r="M1570" s="43"/>
      <c r="N1570" s="53"/>
      <c r="O1570" s="43"/>
      <c r="P1570" s="43"/>
      <c r="Q1570" s="43"/>
      <c r="R1570" s="43"/>
      <c r="S1570" s="51"/>
    </row>
    <row r="1571" spans="1:19" ht="18.75" customHeight="1" x14ac:dyDescent="0.25">
      <c r="A1571" s="37" t="s">
        <v>59</v>
      </c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  <c r="O1571" s="37"/>
      <c r="P1571" s="37"/>
      <c r="Q1571" s="37"/>
      <c r="R1571" s="37"/>
      <c r="S1571" s="37"/>
    </row>
    <row r="1572" spans="1:19" ht="21" customHeight="1" x14ac:dyDescent="0.25">
      <c r="A1572" s="38"/>
      <c r="B1572" s="48" t="s">
        <v>562</v>
      </c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</row>
    <row r="1573" spans="1:19" ht="18.75" customHeight="1" x14ac:dyDescent="0.25">
      <c r="A1573" s="38"/>
      <c r="B1573" s="49" t="s">
        <v>692</v>
      </c>
      <c r="C1573" s="50" t="s">
        <v>164</v>
      </c>
      <c r="D1573" s="50"/>
      <c r="E1573" s="50"/>
      <c r="F1573" s="50"/>
      <c r="G1573" s="50"/>
      <c r="H1573" s="50"/>
      <c r="I1573" s="50"/>
      <c r="J1573" s="43" t="s">
        <v>14</v>
      </c>
      <c r="K1573" s="43" t="s">
        <v>828</v>
      </c>
      <c r="L1573" s="43" t="s">
        <v>401</v>
      </c>
      <c r="M1573" s="43" t="s">
        <v>481</v>
      </c>
      <c r="N1573" s="53" t="s">
        <v>535</v>
      </c>
      <c r="O1573" s="43" t="s">
        <v>12</v>
      </c>
      <c r="P1573" s="43" t="s">
        <v>18</v>
      </c>
      <c r="Q1573" s="43" t="s">
        <v>44</v>
      </c>
      <c r="R1573" s="43"/>
      <c r="S1573" s="51"/>
    </row>
    <row r="1574" spans="1:19" ht="17.25" customHeight="1" x14ac:dyDescent="0.25">
      <c r="A1574" s="38"/>
      <c r="B1574" s="49"/>
      <c r="C1574" s="31" t="s">
        <v>6</v>
      </c>
      <c r="D1574" s="27">
        <f>SUM(D1575:D1578)</f>
        <v>32318.296000000002</v>
      </c>
      <c r="E1574" s="23">
        <f>SUM(E1575:E1578)</f>
        <v>7643.7759999999998</v>
      </c>
      <c r="F1574" s="23">
        <f t="shared" ref="F1574" si="382">SUM(F1575:F1578)</f>
        <v>24674.52</v>
      </c>
      <c r="G1574" s="23"/>
      <c r="H1574" s="23"/>
      <c r="I1574" s="23"/>
      <c r="J1574" s="43"/>
      <c r="K1574" s="43"/>
      <c r="L1574" s="43"/>
      <c r="M1574" s="43"/>
      <c r="N1574" s="53"/>
      <c r="O1574" s="43"/>
      <c r="P1574" s="43"/>
      <c r="Q1574" s="43"/>
      <c r="R1574" s="43"/>
      <c r="S1574" s="51"/>
    </row>
    <row r="1575" spans="1:19" ht="17.25" customHeight="1" x14ac:dyDescent="0.25">
      <c r="A1575" s="38"/>
      <c r="B1575" s="49"/>
      <c r="C1575" s="31" t="s">
        <v>0</v>
      </c>
      <c r="D1575" s="27"/>
      <c r="E1575" s="34"/>
      <c r="F1575" s="23"/>
      <c r="G1575" s="23"/>
      <c r="H1575" s="23"/>
      <c r="I1575" s="23"/>
      <c r="J1575" s="43"/>
      <c r="K1575" s="43"/>
      <c r="L1575" s="43"/>
      <c r="M1575" s="43"/>
      <c r="N1575" s="53"/>
      <c r="O1575" s="43"/>
      <c r="P1575" s="43"/>
      <c r="Q1575" s="43"/>
      <c r="R1575" s="43"/>
      <c r="S1575" s="51"/>
    </row>
    <row r="1576" spans="1:19" ht="17.25" customHeight="1" x14ac:dyDescent="0.25">
      <c r="A1576" s="38"/>
      <c r="B1576" s="49"/>
      <c r="C1576" s="31" t="s">
        <v>1</v>
      </c>
      <c r="D1576" s="27">
        <f t="shared" ref="D1576" si="383">SUM(E1576:I1576)</f>
        <v>32318.296000000002</v>
      </c>
      <c r="E1576" s="23">
        <v>7643.7759999999998</v>
      </c>
      <c r="F1576" s="23">
        <v>24674.52</v>
      </c>
      <c r="G1576" s="23"/>
      <c r="H1576" s="23"/>
      <c r="I1576" s="23"/>
      <c r="J1576" s="43"/>
      <c r="K1576" s="43"/>
      <c r="L1576" s="43"/>
      <c r="M1576" s="43"/>
      <c r="N1576" s="53"/>
      <c r="O1576" s="43"/>
      <c r="P1576" s="43"/>
      <c r="Q1576" s="43"/>
      <c r="R1576" s="43"/>
      <c r="S1576" s="51"/>
    </row>
    <row r="1577" spans="1:19" ht="17.25" customHeight="1" x14ac:dyDescent="0.25">
      <c r="A1577" s="38"/>
      <c r="B1577" s="49"/>
      <c r="C1577" s="31" t="s">
        <v>2</v>
      </c>
      <c r="D1577" s="27"/>
      <c r="E1577" s="23"/>
      <c r="F1577" s="23"/>
      <c r="G1577" s="23"/>
      <c r="H1577" s="23"/>
      <c r="I1577" s="23"/>
      <c r="J1577" s="43"/>
      <c r="K1577" s="43"/>
      <c r="L1577" s="43"/>
      <c r="M1577" s="43"/>
      <c r="N1577" s="53"/>
      <c r="O1577" s="43"/>
      <c r="P1577" s="43"/>
      <c r="Q1577" s="43"/>
      <c r="R1577" s="43"/>
      <c r="S1577" s="51"/>
    </row>
    <row r="1578" spans="1:19" ht="17.25" customHeight="1" x14ac:dyDescent="0.25">
      <c r="A1578" s="38"/>
      <c r="B1578" s="49"/>
      <c r="C1578" s="31" t="s">
        <v>3</v>
      </c>
      <c r="D1578" s="27"/>
      <c r="E1578" s="23"/>
      <c r="F1578" s="23"/>
      <c r="G1578" s="23"/>
      <c r="H1578" s="23"/>
      <c r="I1578" s="23"/>
      <c r="J1578" s="43"/>
      <c r="K1578" s="43"/>
      <c r="L1578" s="43"/>
      <c r="M1578" s="43"/>
      <c r="N1578" s="53"/>
      <c r="O1578" s="43"/>
      <c r="P1578" s="43"/>
      <c r="Q1578" s="43"/>
      <c r="R1578" s="43"/>
      <c r="S1578" s="51"/>
    </row>
    <row r="1579" spans="1:19" ht="18.75" customHeight="1" x14ac:dyDescent="0.25">
      <c r="A1579" s="37" t="s">
        <v>59</v>
      </c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  <c r="O1579" s="37"/>
      <c r="P1579" s="37"/>
      <c r="Q1579" s="37"/>
      <c r="R1579" s="37"/>
      <c r="S1579" s="37"/>
    </row>
    <row r="1580" spans="1:19" ht="21" customHeight="1" x14ac:dyDescent="0.25">
      <c r="A1580" s="38"/>
      <c r="B1580" s="48" t="s">
        <v>562</v>
      </c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</row>
    <row r="1581" spans="1:19" ht="39.75" customHeight="1" x14ac:dyDescent="0.25">
      <c r="A1581" s="38"/>
      <c r="B1581" s="49" t="s">
        <v>693</v>
      </c>
      <c r="C1581" s="50" t="s">
        <v>165</v>
      </c>
      <c r="D1581" s="50"/>
      <c r="E1581" s="50"/>
      <c r="F1581" s="50"/>
      <c r="G1581" s="50"/>
      <c r="H1581" s="50"/>
      <c r="I1581" s="50"/>
      <c r="J1581" s="43" t="s">
        <v>14</v>
      </c>
      <c r="K1581" s="43" t="s">
        <v>828</v>
      </c>
      <c r="L1581" s="43" t="s">
        <v>402</v>
      </c>
      <c r="M1581" s="43" t="s">
        <v>903</v>
      </c>
      <c r="N1581" s="53" t="s">
        <v>534</v>
      </c>
      <c r="O1581" s="43" t="s">
        <v>12</v>
      </c>
      <c r="P1581" s="43" t="s">
        <v>18</v>
      </c>
      <c r="Q1581" s="43" t="s">
        <v>44</v>
      </c>
      <c r="R1581" s="43"/>
      <c r="S1581" s="51"/>
    </row>
    <row r="1582" spans="1:19" ht="18" customHeight="1" x14ac:dyDescent="0.25">
      <c r="A1582" s="38"/>
      <c r="B1582" s="49"/>
      <c r="C1582" s="31" t="s">
        <v>6</v>
      </c>
      <c r="D1582" s="27">
        <f t="shared" ref="D1582:F1582" si="384">SUM(D1583:D1586)</f>
        <v>14705.662</v>
      </c>
      <c r="E1582" s="23">
        <f t="shared" si="384"/>
        <v>705.66200000000003</v>
      </c>
      <c r="F1582" s="23">
        <f t="shared" si="384"/>
        <v>14000</v>
      </c>
      <c r="G1582" s="23"/>
      <c r="H1582" s="23"/>
      <c r="I1582" s="23"/>
      <c r="J1582" s="43"/>
      <c r="K1582" s="43"/>
      <c r="L1582" s="43"/>
      <c r="M1582" s="43"/>
      <c r="N1582" s="53"/>
      <c r="O1582" s="43"/>
      <c r="P1582" s="43"/>
      <c r="Q1582" s="43"/>
      <c r="R1582" s="43"/>
      <c r="S1582" s="51"/>
    </row>
    <row r="1583" spans="1:19" ht="18" customHeight="1" x14ac:dyDescent="0.25">
      <c r="A1583" s="38"/>
      <c r="B1583" s="49"/>
      <c r="C1583" s="31" t="s">
        <v>0</v>
      </c>
      <c r="D1583" s="27"/>
      <c r="E1583" s="23"/>
      <c r="F1583" s="23"/>
      <c r="G1583" s="23"/>
      <c r="H1583" s="23"/>
      <c r="I1583" s="23"/>
      <c r="J1583" s="43"/>
      <c r="K1583" s="43"/>
      <c r="L1583" s="43"/>
      <c r="M1583" s="43"/>
      <c r="N1583" s="53"/>
      <c r="O1583" s="43"/>
      <c r="P1583" s="43"/>
      <c r="Q1583" s="43"/>
      <c r="R1583" s="43"/>
      <c r="S1583" s="51"/>
    </row>
    <row r="1584" spans="1:19" ht="18" customHeight="1" x14ac:dyDescent="0.25">
      <c r="A1584" s="38"/>
      <c r="B1584" s="49"/>
      <c r="C1584" s="31" t="s">
        <v>1</v>
      </c>
      <c r="D1584" s="27">
        <f t="shared" ref="D1584:D1585" si="385">SUM(E1584:I1584)</f>
        <v>13225.662</v>
      </c>
      <c r="E1584" s="23">
        <f>720-94.338</f>
        <v>625.66200000000003</v>
      </c>
      <c r="F1584" s="23">
        <v>12600</v>
      </c>
      <c r="G1584" s="23"/>
      <c r="H1584" s="23"/>
      <c r="I1584" s="23"/>
      <c r="J1584" s="43"/>
      <c r="K1584" s="43"/>
      <c r="L1584" s="43"/>
      <c r="M1584" s="43"/>
      <c r="N1584" s="53"/>
      <c r="O1584" s="43"/>
      <c r="P1584" s="43"/>
      <c r="Q1584" s="43"/>
      <c r="R1584" s="43"/>
      <c r="S1584" s="51"/>
    </row>
    <row r="1585" spans="1:19" ht="18" customHeight="1" x14ac:dyDescent="0.25">
      <c r="A1585" s="38"/>
      <c r="B1585" s="49"/>
      <c r="C1585" s="31" t="s">
        <v>2</v>
      </c>
      <c r="D1585" s="27">
        <f t="shared" si="385"/>
        <v>1480</v>
      </c>
      <c r="E1585" s="23">
        <v>80</v>
      </c>
      <c r="F1585" s="23">
        <v>1400</v>
      </c>
      <c r="G1585" s="23"/>
      <c r="H1585" s="23"/>
      <c r="I1585" s="23"/>
      <c r="J1585" s="43"/>
      <c r="K1585" s="43"/>
      <c r="L1585" s="43"/>
      <c r="M1585" s="43"/>
      <c r="N1585" s="53"/>
      <c r="O1585" s="43"/>
      <c r="P1585" s="43"/>
      <c r="Q1585" s="43"/>
      <c r="R1585" s="43"/>
      <c r="S1585" s="51"/>
    </row>
    <row r="1586" spans="1:19" ht="18" customHeight="1" x14ac:dyDescent="0.25">
      <c r="A1586" s="38"/>
      <c r="B1586" s="49"/>
      <c r="C1586" s="31" t="s">
        <v>3</v>
      </c>
      <c r="D1586" s="27"/>
      <c r="E1586" s="23"/>
      <c r="F1586" s="23"/>
      <c r="G1586" s="23"/>
      <c r="H1586" s="23"/>
      <c r="I1586" s="23"/>
      <c r="J1586" s="43"/>
      <c r="K1586" s="43"/>
      <c r="L1586" s="43"/>
      <c r="M1586" s="43"/>
      <c r="N1586" s="53"/>
      <c r="O1586" s="43"/>
      <c r="P1586" s="43"/>
      <c r="Q1586" s="43"/>
      <c r="R1586" s="43"/>
      <c r="S1586" s="51"/>
    </row>
    <row r="1587" spans="1:19" ht="18.75" customHeight="1" x14ac:dyDescent="0.25">
      <c r="A1587" s="37" t="s">
        <v>59</v>
      </c>
      <c r="B1587" s="37"/>
      <c r="C1587" s="37"/>
      <c r="D1587" s="37"/>
      <c r="E1587" s="37"/>
      <c r="F1587" s="37"/>
      <c r="G1587" s="37"/>
      <c r="H1587" s="37"/>
      <c r="I1587" s="37"/>
      <c r="J1587" s="37"/>
      <c r="K1587" s="37"/>
      <c r="L1587" s="37"/>
      <c r="M1587" s="37"/>
      <c r="N1587" s="37"/>
      <c r="O1587" s="37"/>
      <c r="P1587" s="37"/>
      <c r="Q1587" s="37"/>
      <c r="R1587" s="37"/>
      <c r="S1587" s="37"/>
    </row>
    <row r="1588" spans="1:19" ht="21" customHeight="1" x14ac:dyDescent="0.25">
      <c r="A1588" s="38"/>
      <c r="B1588" s="48" t="s">
        <v>562</v>
      </c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</row>
    <row r="1589" spans="1:19" ht="36.75" customHeight="1" x14ac:dyDescent="0.25">
      <c r="A1589" s="38"/>
      <c r="B1589" s="49" t="s">
        <v>694</v>
      </c>
      <c r="C1589" s="50" t="s">
        <v>904</v>
      </c>
      <c r="D1589" s="50"/>
      <c r="E1589" s="50"/>
      <c r="F1589" s="50"/>
      <c r="G1589" s="50"/>
      <c r="H1589" s="50"/>
      <c r="I1589" s="50"/>
      <c r="J1589" s="43" t="s">
        <v>15</v>
      </c>
      <c r="K1589" s="43" t="s">
        <v>828</v>
      </c>
      <c r="L1589" s="43" t="s">
        <v>403</v>
      </c>
      <c r="M1589" s="43" t="s">
        <v>481</v>
      </c>
      <c r="N1589" s="53" t="s">
        <v>537</v>
      </c>
      <c r="O1589" s="43" t="s">
        <v>12</v>
      </c>
      <c r="P1589" s="43" t="s">
        <v>18</v>
      </c>
      <c r="Q1589" s="43" t="s">
        <v>44</v>
      </c>
      <c r="R1589" s="43"/>
      <c r="S1589" s="51"/>
    </row>
    <row r="1590" spans="1:19" ht="18" customHeight="1" x14ac:dyDescent="0.25">
      <c r="A1590" s="38"/>
      <c r="B1590" s="49"/>
      <c r="C1590" s="31" t="s">
        <v>6</v>
      </c>
      <c r="D1590" s="27">
        <f t="shared" ref="D1590:E1590" si="386">SUM(D1591:D1594)</f>
        <v>900</v>
      </c>
      <c r="E1590" s="23">
        <f t="shared" si="386"/>
        <v>900</v>
      </c>
      <c r="F1590" s="23"/>
      <c r="G1590" s="23"/>
      <c r="H1590" s="23"/>
      <c r="I1590" s="23"/>
      <c r="J1590" s="43"/>
      <c r="K1590" s="43"/>
      <c r="L1590" s="43"/>
      <c r="M1590" s="43"/>
      <c r="N1590" s="53"/>
      <c r="O1590" s="43"/>
      <c r="P1590" s="43"/>
      <c r="Q1590" s="43"/>
      <c r="R1590" s="43"/>
      <c r="S1590" s="51"/>
    </row>
    <row r="1591" spans="1:19" ht="18" customHeight="1" x14ac:dyDescent="0.25">
      <c r="A1591" s="38"/>
      <c r="B1591" s="49"/>
      <c r="C1591" s="31" t="s">
        <v>0</v>
      </c>
      <c r="D1591" s="27" t="s">
        <v>536</v>
      </c>
      <c r="E1591" s="23"/>
      <c r="F1591" s="23"/>
      <c r="G1591" s="23"/>
      <c r="H1591" s="23"/>
      <c r="I1591" s="23"/>
      <c r="J1591" s="43"/>
      <c r="K1591" s="43"/>
      <c r="L1591" s="43"/>
      <c r="M1591" s="43"/>
      <c r="N1591" s="53"/>
      <c r="O1591" s="43"/>
      <c r="P1591" s="43"/>
      <c r="Q1591" s="43"/>
      <c r="R1591" s="43"/>
      <c r="S1591" s="51"/>
    </row>
    <row r="1592" spans="1:19" ht="18" customHeight="1" x14ac:dyDescent="0.25">
      <c r="A1592" s="38"/>
      <c r="B1592" s="49"/>
      <c r="C1592" s="31" t="s">
        <v>1</v>
      </c>
      <c r="D1592" s="27">
        <f t="shared" ref="D1592" si="387">SUM(E1592:I1592)</f>
        <v>900</v>
      </c>
      <c r="E1592" s="23">
        <f>6040.857-5140.857</f>
        <v>900</v>
      </c>
      <c r="F1592" s="23"/>
      <c r="G1592" s="23"/>
      <c r="H1592" s="23"/>
      <c r="I1592" s="23"/>
      <c r="J1592" s="43"/>
      <c r="K1592" s="43"/>
      <c r="L1592" s="43"/>
      <c r="M1592" s="43"/>
      <c r="N1592" s="53"/>
      <c r="O1592" s="43"/>
      <c r="P1592" s="43"/>
      <c r="Q1592" s="43"/>
      <c r="R1592" s="43"/>
      <c r="S1592" s="51"/>
    </row>
    <row r="1593" spans="1:19" ht="18" customHeight="1" x14ac:dyDescent="0.25">
      <c r="A1593" s="38"/>
      <c r="B1593" s="49"/>
      <c r="C1593" s="31" t="s">
        <v>2</v>
      </c>
      <c r="D1593" s="27"/>
      <c r="E1593" s="23"/>
      <c r="F1593" s="23"/>
      <c r="G1593" s="23"/>
      <c r="H1593" s="23"/>
      <c r="I1593" s="23"/>
      <c r="J1593" s="43"/>
      <c r="K1593" s="43"/>
      <c r="L1593" s="43"/>
      <c r="M1593" s="43"/>
      <c r="N1593" s="53"/>
      <c r="O1593" s="43"/>
      <c r="P1593" s="43"/>
      <c r="Q1593" s="43"/>
      <c r="R1593" s="43"/>
      <c r="S1593" s="51"/>
    </row>
    <row r="1594" spans="1:19" ht="18" customHeight="1" x14ac:dyDescent="0.25">
      <c r="A1594" s="38"/>
      <c r="B1594" s="49"/>
      <c r="C1594" s="31" t="s">
        <v>3</v>
      </c>
      <c r="D1594" s="27"/>
      <c r="E1594" s="23"/>
      <c r="F1594" s="23"/>
      <c r="G1594" s="23"/>
      <c r="H1594" s="23"/>
      <c r="I1594" s="23"/>
      <c r="J1594" s="43"/>
      <c r="K1594" s="43"/>
      <c r="L1594" s="43"/>
      <c r="M1594" s="43"/>
      <c r="N1594" s="53"/>
      <c r="O1594" s="43"/>
      <c r="P1594" s="43"/>
      <c r="Q1594" s="43"/>
      <c r="R1594" s="43"/>
      <c r="S1594" s="51"/>
    </row>
    <row r="1595" spans="1:19" ht="18.75" customHeight="1" x14ac:dyDescent="0.25">
      <c r="A1595" s="37" t="s">
        <v>59</v>
      </c>
      <c r="B1595" s="37"/>
      <c r="C1595" s="37"/>
      <c r="D1595" s="37"/>
      <c r="E1595" s="37"/>
      <c r="F1595" s="37"/>
      <c r="G1595" s="37"/>
      <c r="H1595" s="37"/>
      <c r="I1595" s="37"/>
      <c r="J1595" s="37"/>
      <c r="K1595" s="37"/>
      <c r="L1595" s="37"/>
      <c r="M1595" s="37"/>
      <c r="N1595" s="37"/>
      <c r="O1595" s="37"/>
      <c r="P1595" s="37"/>
      <c r="Q1595" s="37"/>
      <c r="R1595" s="37"/>
      <c r="S1595" s="37"/>
    </row>
    <row r="1596" spans="1:19" ht="21" customHeight="1" x14ac:dyDescent="0.25">
      <c r="A1596" s="38"/>
      <c r="B1596" s="48" t="s">
        <v>562</v>
      </c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</row>
    <row r="1597" spans="1:19" ht="18.75" customHeight="1" x14ac:dyDescent="0.25">
      <c r="A1597" s="38"/>
      <c r="B1597" s="49" t="s">
        <v>695</v>
      </c>
      <c r="C1597" s="50" t="s">
        <v>133</v>
      </c>
      <c r="D1597" s="50"/>
      <c r="E1597" s="50"/>
      <c r="F1597" s="50"/>
      <c r="G1597" s="50"/>
      <c r="H1597" s="50"/>
      <c r="I1597" s="50"/>
      <c r="J1597" s="43" t="s">
        <v>15</v>
      </c>
      <c r="K1597" s="43" t="s">
        <v>828</v>
      </c>
      <c r="L1597" s="43" t="s">
        <v>404</v>
      </c>
      <c r="M1597" s="43" t="s">
        <v>539</v>
      </c>
      <c r="N1597" s="53" t="s">
        <v>538</v>
      </c>
      <c r="O1597" s="43" t="s">
        <v>12</v>
      </c>
      <c r="P1597" s="43" t="s">
        <v>18</v>
      </c>
      <c r="Q1597" s="43" t="s">
        <v>44</v>
      </c>
      <c r="R1597" s="43"/>
      <c r="S1597" s="51"/>
    </row>
    <row r="1598" spans="1:19" ht="18" customHeight="1" x14ac:dyDescent="0.25">
      <c r="A1598" s="38"/>
      <c r="B1598" s="49"/>
      <c r="C1598" s="31" t="s">
        <v>6</v>
      </c>
      <c r="D1598" s="27">
        <f t="shared" ref="D1598:E1598" si="388">SUM(D1599:D1602)</f>
        <v>9233.491</v>
      </c>
      <c r="E1598" s="23">
        <f t="shared" si="388"/>
        <v>9233.491</v>
      </c>
      <c r="F1598" s="23"/>
      <c r="G1598" s="23"/>
      <c r="H1598" s="23"/>
      <c r="I1598" s="23"/>
      <c r="J1598" s="43"/>
      <c r="K1598" s="43"/>
      <c r="L1598" s="43"/>
      <c r="M1598" s="43"/>
      <c r="N1598" s="53"/>
      <c r="O1598" s="43"/>
      <c r="P1598" s="43"/>
      <c r="Q1598" s="43"/>
      <c r="R1598" s="43"/>
      <c r="S1598" s="51"/>
    </row>
    <row r="1599" spans="1:19" ht="18" customHeight="1" x14ac:dyDescent="0.25">
      <c r="A1599" s="38"/>
      <c r="B1599" s="49"/>
      <c r="C1599" s="31" t="s">
        <v>0</v>
      </c>
      <c r="D1599" s="27"/>
      <c r="E1599" s="23"/>
      <c r="F1599" s="23"/>
      <c r="G1599" s="23"/>
      <c r="H1599" s="23"/>
      <c r="I1599" s="23"/>
      <c r="J1599" s="43"/>
      <c r="K1599" s="43"/>
      <c r="L1599" s="43"/>
      <c r="M1599" s="43"/>
      <c r="N1599" s="53"/>
      <c r="O1599" s="43"/>
      <c r="P1599" s="43"/>
      <c r="Q1599" s="43"/>
      <c r="R1599" s="43"/>
      <c r="S1599" s="51"/>
    </row>
    <row r="1600" spans="1:19" ht="18" customHeight="1" x14ac:dyDescent="0.25">
      <c r="A1600" s="38"/>
      <c r="B1600" s="49"/>
      <c r="C1600" s="31" t="s">
        <v>1</v>
      </c>
      <c r="D1600" s="27">
        <f t="shared" ref="D1600" si="389">SUM(E1600:I1600)</f>
        <v>9233.491</v>
      </c>
      <c r="E1600" s="23">
        <f>11076.087-1986.087+143.491</f>
        <v>9233.491</v>
      </c>
      <c r="F1600" s="23"/>
      <c r="G1600" s="23"/>
      <c r="H1600" s="23"/>
      <c r="I1600" s="23"/>
      <c r="J1600" s="43"/>
      <c r="K1600" s="43"/>
      <c r="L1600" s="43"/>
      <c r="M1600" s="43"/>
      <c r="N1600" s="53"/>
      <c r="O1600" s="43"/>
      <c r="P1600" s="43"/>
      <c r="Q1600" s="43"/>
      <c r="R1600" s="43"/>
      <c r="S1600" s="51"/>
    </row>
    <row r="1601" spans="1:19" ht="18" customHeight="1" x14ac:dyDescent="0.25">
      <c r="A1601" s="38"/>
      <c r="B1601" s="49"/>
      <c r="C1601" s="31" t="s">
        <v>2</v>
      </c>
      <c r="D1601" s="27"/>
      <c r="E1601" s="23"/>
      <c r="F1601" s="23"/>
      <c r="G1601" s="23"/>
      <c r="H1601" s="23"/>
      <c r="I1601" s="23"/>
      <c r="J1601" s="43"/>
      <c r="K1601" s="43"/>
      <c r="L1601" s="43"/>
      <c r="M1601" s="43"/>
      <c r="N1601" s="53"/>
      <c r="O1601" s="43"/>
      <c r="P1601" s="43"/>
      <c r="Q1601" s="43"/>
      <c r="R1601" s="43"/>
      <c r="S1601" s="51"/>
    </row>
    <row r="1602" spans="1:19" ht="18" customHeight="1" x14ac:dyDescent="0.25">
      <c r="A1602" s="38"/>
      <c r="B1602" s="49"/>
      <c r="C1602" s="31" t="s">
        <v>3</v>
      </c>
      <c r="D1602" s="27"/>
      <c r="E1602" s="23"/>
      <c r="F1602" s="23"/>
      <c r="G1602" s="23"/>
      <c r="H1602" s="23"/>
      <c r="I1602" s="23"/>
      <c r="J1602" s="43"/>
      <c r="K1602" s="43"/>
      <c r="L1602" s="43"/>
      <c r="M1602" s="43"/>
      <c r="N1602" s="53"/>
      <c r="O1602" s="43"/>
      <c r="P1602" s="43"/>
      <c r="Q1602" s="43"/>
      <c r="R1602" s="43"/>
      <c r="S1602" s="51"/>
    </row>
    <row r="1603" spans="1:19" ht="18.75" customHeight="1" x14ac:dyDescent="0.25">
      <c r="A1603" s="37" t="s">
        <v>59</v>
      </c>
      <c r="B1603" s="37"/>
      <c r="C1603" s="37"/>
      <c r="D1603" s="37"/>
      <c r="E1603" s="37"/>
      <c r="F1603" s="37"/>
      <c r="G1603" s="37"/>
      <c r="H1603" s="37"/>
      <c r="I1603" s="37"/>
      <c r="J1603" s="37"/>
      <c r="K1603" s="37"/>
      <c r="L1603" s="37"/>
      <c r="M1603" s="37"/>
      <c r="N1603" s="37"/>
      <c r="O1603" s="37"/>
      <c r="P1603" s="37"/>
      <c r="Q1603" s="37"/>
      <c r="R1603" s="37"/>
      <c r="S1603" s="37"/>
    </row>
    <row r="1604" spans="1:19" ht="21" customHeight="1" x14ac:dyDescent="0.25">
      <c r="A1604" s="38"/>
      <c r="B1604" s="48" t="s">
        <v>562</v>
      </c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</row>
    <row r="1605" spans="1:19" ht="18.75" customHeight="1" x14ac:dyDescent="0.25">
      <c r="A1605" s="38"/>
      <c r="B1605" s="49" t="s">
        <v>696</v>
      </c>
      <c r="C1605" s="50" t="s">
        <v>134</v>
      </c>
      <c r="D1605" s="50"/>
      <c r="E1605" s="50"/>
      <c r="F1605" s="50"/>
      <c r="G1605" s="50"/>
      <c r="H1605" s="50"/>
      <c r="I1605" s="50"/>
      <c r="J1605" s="43" t="s">
        <v>15</v>
      </c>
      <c r="K1605" s="43" t="s">
        <v>828</v>
      </c>
      <c r="L1605" s="43" t="s">
        <v>405</v>
      </c>
      <c r="M1605" s="43" t="s">
        <v>539</v>
      </c>
      <c r="N1605" s="53" t="s">
        <v>540</v>
      </c>
      <c r="O1605" s="43" t="s">
        <v>12</v>
      </c>
      <c r="P1605" s="43" t="s">
        <v>18</v>
      </c>
      <c r="Q1605" s="43" t="s">
        <v>44</v>
      </c>
      <c r="R1605" s="43"/>
      <c r="S1605" s="51"/>
    </row>
    <row r="1606" spans="1:19" ht="18" customHeight="1" x14ac:dyDescent="0.25">
      <c r="A1606" s="38"/>
      <c r="B1606" s="49"/>
      <c r="C1606" s="31" t="s">
        <v>6</v>
      </c>
      <c r="D1606" s="27">
        <f t="shared" ref="D1606:E1606" si="390">SUM(D1607:D1610)</f>
        <v>27607.194000000003</v>
      </c>
      <c r="E1606" s="23">
        <f t="shared" si="390"/>
        <v>27607.194000000003</v>
      </c>
      <c r="F1606" s="23"/>
      <c r="G1606" s="23"/>
      <c r="H1606" s="23"/>
      <c r="I1606" s="23"/>
      <c r="J1606" s="43"/>
      <c r="K1606" s="43"/>
      <c r="L1606" s="43"/>
      <c r="M1606" s="43"/>
      <c r="N1606" s="53"/>
      <c r="O1606" s="43"/>
      <c r="P1606" s="43"/>
      <c r="Q1606" s="43"/>
      <c r="R1606" s="43"/>
      <c r="S1606" s="51"/>
    </row>
    <row r="1607" spans="1:19" ht="18" customHeight="1" x14ac:dyDescent="0.25">
      <c r="A1607" s="38"/>
      <c r="B1607" s="49"/>
      <c r="C1607" s="31" t="s">
        <v>0</v>
      </c>
      <c r="D1607" s="27"/>
      <c r="E1607" s="23"/>
      <c r="F1607" s="23"/>
      <c r="G1607" s="23"/>
      <c r="H1607" s="23"/>
      <c r="I1607" s="23"/>
      <c r="J1607" s="43"/>
      <c r="K1607" s="43"/>
      <c r="L1607" s="43"/>
      <c r="M1607" s="43"/>
      <c r="N1607" s="53"/>
      <c r="O1607" s="43"/>
      <c r="P1607" s="43"/>
      <c r="Q1607" s="43"/>
      <c r="R1607" s="43"/>
      <c r="S1607" s="51"/>
    </row>
    <row r="1608" spans="1:19" ht="18" customHeight="1" x14ac:dyDescent="0.25">
      <c r="A1608" s="38"/>
      <c r="B1608" s="49"/>
      <c r="C1608" s="31" t="s">
        <v>1</v>
      </c>
      <c r="D1608" s="27">
        <f t="shared" ref="D1608" si="391">SUM(E1608:I1608)</f>
        <v>27607.194000000003</v>
      </c>
      <c r="E1608" s="23">
        <f>28733.81-1335.407+208.791</f>
        <v>27607.194000000003</v>
      </c>
      <c r="F1608" s="23"/>
      <c r="G1608" s="23"/>
      <c r="H1608" s="23"/>
      <c r="I1608" s="23"/>
      <c r="J1608" s="43"/>
      <c r="K1608" s="43"/>
      <c r="L1608" s="43"/>
      <c r="M1608" s="43"/>
      <c r="N1608" s="53"/>
      <c r="O1608" s="43"/>
      <c r="P1608" s="43"/>
      <c r="Q1608" s="43"/>
      <c r="R1608" s="43"/>
      <c r="S1608" s="51"/>
    </row>
    <row r="1609" spans="1:19" ht="18" customHeight="1" x14ac:dyDescent="0.25">
      <c r="A1609" s="38"/>
      <c r="B1609" s="49"/>
      <c r="C1609" s="31" t="s">
        <v>2</v>
      </c>
      <c r="D1609" s="27"/>
      <c r="E1609" s="23"/>
      <c r="F1609" s="23"/>
      <c r="G1609" s="23"/>
      <c r="H1609" s="23"/>
      <c r="I1609" s="23"/>
      <c r="J1609" s="43"/>
      <c r="K1609" s="43"/>
      <c r="L1609" s="43"/>
      <c r="M1609" s="43"/>
      <c r="N1609" s="53"/>
      <c r="O1609" s="43"/>
      <c r="P1609" s="43"/>
      <c r="Q1609" s="43"/>
      <c r="R1609" s="43"/>
      <c r="S1609" s="51"/>
    </row>
    <row r="1610" spans="1:19" ht="18" customHeight="1" x14ac:dyDescent="0.25">
      <c r="A1610" s="38"/>
      <c r="B1610" s="49"/>
      <c r="C1610" s="31" t="s">
        <v>3</v>
      </c>
      <c r="D1610" s="27"/>
      <c r="E1610" s="23"/>
      <c r="F1610" s="23"/>
      <c r="G1610" s="23"/>
      <c r="H1610" s="23"/>
      <c r="I1610" s="23"/>
      <c r="J1610" s="43"/>
      <c r="K1610" s="43"/>
      <c r="L1610" s="43"/>
      <c r="M1610" s="43"/>
      <c r="N1610" s="53"/>
      <c r="O1610" s="43"/>
      <c r="P1610" s="43"/>
      <c r="Q1610" s="43"/>
      <c r="R1610" s="43"/>
      <c r="S1610" s="51"/>
    </row>
    <row r="1611" spans="1:19" ht="18.75" customHeight="1" x14ac:dyDescent="0.25">
      <c r="A1611" s="37" t="s">
        <v>59</v>
      </c>
      <c r="B1611" s="37"/>
      <c r="C1611" s="37"/>
      <c r="D1611" s="37"/>
      <c r="E1611" s="37"/>
      <c r="F1611" s="37"/>
      <c r="G1611" s="37"/>
      <c r="H1611" s="37"/>
      <c r="I1611" s="37"/>
      <c r="J1611" s="37"/>
      <c r="K1611" s="37"/>
      <c r="L1611" s="37"/>
      <c r="M1611" s="37"/>
      <c r="N1611" s="37"/>
      <c r="O1611" s="37"/>
      <c r="P1611" s="37"/>
      <c r="Q1611" s="37"/>
      <c r="R1611" s="37"/>
      <c r="S1611" s="37"/>
    </row>
    <row r="1612" spans="1:19" ht="21" customHeight="1" x14ac:dyDescent="0.25">
      <c r="A1612" s="38"/>
      <c r="B1612" s="48" t="s">
        <v>562</v>
      </c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</row>
    <row r="1613" spans="1:19" ht="42.75" customHeight="1" x14ac:dyDescent="0.25">
      <c r="A1613" s="38"/>
      <c r="B1613" s="49" t="s">
        <v>697</v>
      </c>
      <c r="C1613" s="50" t="s">
        <v>166</v>
      </c>
      <c r="D1613" s="50"/>
      <c r="E1613" s="50"/>
      <c r="F1613" s="50"/>
      <c r="G1613" s="50"/>
      <c r="H1613" s="50"/>
      <c r="I1613" s="50"/>
      <c r="J1613" s="43" t="s">
        <v>15</v>
      </c>
      <c r="K1613" s="43" t="s">
        <v>828</v>
      </c>
      <c r="L1613" s="43" t="s">
        <v>406</v>
      </c>
      <c r="M1613" s="43" t="s">
        <v>494</v>
      </c>
      <c r="N1613" s="53" t="s">
        <v>541</v>
      </c>
      <c r="O1613" s="43" t="s">
        <v>12</v>
      </c>
      <c r="P1613" s="43" t="s">
        <v>18</v>
      </c>
      <c r="Q1613" s="43" t="s">
        <v>44</v>
      </c>
      <c r="R1613" s="43"/>
      <c r="S1613" s="51"/>
    </row>
    <row r="1614" spans="1:19" ht="18" customHeight="1" x14ac:dyDescent="0.25">
      <c r="A1614" s="38"/>
      <c r="B1614" s="49"/>
      <c r="C1614" s="31" t="s">
        <v>6</v>
      </c>
      <c r="D1614" s="27">
        <f t="shared" ref="D1614:E1614" si="392">SUM(D1615:D1618)</f>
        <v>2888.68</v>
      </c>
      <c r="E1614" s="23">
        <f t="shared" si="392"/>
        <v>2888.68</v>
      </c>
      <c r="F1614" s="23"/>
      <c r="G1614" s="23"/>
      <c r="H1614" s="23"/>
      <c r="I1614" s="23"/>
      <c r="J1614" s="43"/>
      <c r="K1614" s="43"/>
      <c r="L1614" s="43"/>
      <c r="M1614" s="43"/>
      <c r="N1614" s="53"/>
      <c r="O1614" s="43"/>
      <c r="P1614" s="43"/>
      <c r="Q1614" s="43"/>
      <c r="R1614" s="43"/>
      <c r="S1614" s="51"/>
    </row>
    <row r="1615" spans="1:19" ht="18" customHeight="1" x14ac:dyDescent="0.25">
      <c r="A1615" s="38"/>
      <c r="B1615" s="49"/>
      <c r="C1615" s="31" t="s">
        <v>0</v>
      </c>
      <c r="D1615" s="27"/>
      <c r="E1615" s="23"/>
      <c r="F1615" s="23"/>
      <c r="G1615" s="23"/>
      <c r="H1615" s="23"/>
      <c r="I1615" s="23"/>
      <c r="J1615" s="43"/>
      <c r="K1615" s="43"/>
      <c r="L1615" s="43"/>
      <c r="M1615" s="43"/>
      <c r="N1615" s="53"/>
      <c r="O1615" s="43"/>
      <c r="P1615" s="43"/>
      <c r="Q1615" s="43"/>
      <c r="R1615" s="43"/>
      <c r="S1615" s="51"/>
    </row>
    <row r="1616" spans="1:19" ht="18" customHeight="1" x14ac:dyDescent="0.25">
      <c r="A1616" s="38"/>
      <c r="B1616" s="49"/>
      <c r="C1616" s="31" t="s">
        <v>1</v>
      </c>
      <c r="D1616" s="27">
        <f t="shared" ref="D1616:D1617" si="393">SUM(E1616:I1616)</f>
        <v>2000</v>
      </c>
      <c r="E1616" s="23">
        <v>2000</v>
      </c>
      <c r="F1616" s="23"/>
      <c r="G1616" s="23"/>
      <c r="H1616" s="23"/>
      <c r="I1616" s="23"/>
      <c r="J1616" s="43"/>
      <c r="K1616" s="43"/>
      <c r="L1616" s="43"/>
      <c r="M1616" s="43"/>
      <c r="N1616" s="53"/>
      <c r="O1616" s="43"/>
      <c r="P1616" s="43"/>
      <c r="Q1616" s="43"/>
      <c r="R1616" s="43"/>
      <c r="S1616" s="51"/>
    </row>
    <row r="1617" spans="1:19" ht="18" customHeight="1" x14ac:dyDescent="0.25">
      <c r="A1617" s="38"/>
      <c r="B1617" s="49"/>
      <c r="C1617" s="31" t="s">
        <v>2</v>
      </c>
      <c r="D1617" s="27">
        <f t="shared" si="393"/>
        <v>888.68</v>
      </c>
      <c r="E1617" s="23">
        <v>888.68</v>
      </c>
      <c r="F1617" s="23"/>
      <c r="G1617" s="23"/>
      <c r="H1617" s="23"/>
      <c r="I1617" s="23"/>
      <c r="J1617" s="43"/>
      <c r="K1617" s="43"/>
      <c r="L1617" s="43"/>
      <c r="M1617" s="43"/>
      <c r="N1617" s="53"/>
      <c r="O1617" s="43"/>
      <c r="P1617" s="43"/>
      <c r="Q1617" s="43"/>
      <c r="R1617" s="43"/>
      <c r="S1617" s="51"/>
    </row>
    <row r="1618" spans="1:19" ht="18" customHeight="1" x14ac:dyDescent="0.25">
      <c r="A1618" s="38"/>
      <c r="B1618" s="49"/>
      <c r="C1618" s="31" t="s">
        <v>3</v>
      </c>
      <c r="D1618" s="27"/>
      <c r="E1618" s="23"/>
      <c r="F1618" s="23"/>
      <c r="G1618" s="23"/>
      <c r="H1618" s="23"/>
      <c r="I1618" s="23"/>
      <c r="J1618" s="43"/>
      <c r="K1618" s="43"/>
      <c r="L1618" s="43"/>
      <c r="M1618" s="43"/>
      <c r="N1618" s="53"/>
      <c r="O1618" s="43"/>
      <c r="P1618" s="43"/>
      <c r="Q1618" s="43"/>
      <c r="R1618" s="43"/>
      <c r="S1618" s="51"/>
    </row>
    <row r="1619" spans="1:19" ht="18.75" customHeight="1" x14ac:dyDescent="0.25">
      <c r="A1619" s="37" t="s">
        <v>59</v>
      </c>
      <c r="B1619" s="37"/>
      <c r="C1619" s="37"/>
      <c r="D1619" s="37"/>
      <c r="E1619" s="37"/>
      <c r="F1619" s="37"/>
      <c r="G1619" s="37"/>
      <c r="H1619" s="37"/>
      <c r="I1619" s="37"/>
      <c r="J1619" s="37"/>
      <c r="K1619" s="37"/>
      <c r="L1619" s="37"/>
      <c r="M1619" s="37"/>
      <c r="N1619" s="37"/>
      <c r="O1619" s="37"/>
      <c r="P1619" s="37"/>
      <c r="Q1619" s="37"/>
      <c r="R1619" s="37"/>
      <c r="S1619" s="37"/>
    </row>
    <row r="1620" spans="1:19" ht="21" customHeight="1" x14ac:dyDescent="0.25">
      <c r="A1620" s="38"/>
      <c r="B1620" s="48" t="s">
        <v>562</v>
      </c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</row>
    <row r="1621" spans="1:19" ht="39.75" customHeight="1" x14ac:dyDescent="0.25">
      <c r="A1621" s="38"/>
      <c r="B1621" s="49" t="s">
        <v>699</v>
      </c>
      <c r="C1621" s="50" t="s">
        <v>339</v>
      </c>
      <c r="D1621" s="50"/>
      <c r="E1621" s="50"/>
      <c r="F1621" s="50"/>
      <c r="G1621" s="50"/>
      <c r="H1621" s="50"/>
      <c r="I1621" s="50"/>
      <c r="J1621" s="43" t="s">
        <v>15</v>
      </c>
      <c r="K1621" s="43" t="s">
        <v>828</v>
      </c>
      <c r="L1621" s="43" t="s">
        <v>407</v>
      </c>
      <c r="M1621" s="43" t="s">
        <v>494</v>
      </c>
      <c r="N1621" s="53" t="s">
        <v>740</v>
      </c>
      <c r="O1621" s="43" t="s">
        <v>12</v>
      </c>
      <c r="P1621" s="43" t="s">
        <v>18</v>
      </c>
      <c r="Q1621" s="43" t="s">
        <v>44</v>
      </c>
      <c r="R1621" s="43"/>
      <c r="S1621" s="51"/>
    </row>
    <row r="1622" spans="1:19" ht="18" customHeight="1" x14ac:dyDescent="0.25">
      <c r="A1622" s="38"/>
      <c r="B1622" s="49"/>
      <c r="C1622" s="31" t="s">
        <v>6</v>
      </c>
      <c r="D1622" s="27">
        <f t="shared" ref="D1622:E1622" si="394">SUM(D1623:D1626)</f>
        <v>3025.4</v>
      </c>
      <c r="E1622" s="23">
        <f t="shared" si="394"/>
        <v>3025.4</v>
      </c>
      <c r="F1622" s="23"/>
      <c r="G1622" s="23"/>
      <c r="H1622" s="23"/>
      <c r="I1622" s="23"/>
      <c r="J1622" s="43"/>
      <c r="K1622" s="43"/>
      <c r="L1622" s="43"/>
      <c r="M1622" s="43"/>
      <c r="N1622" s="53"/>
      <c r="O1622" s="43"/>
      <c r="P1622" s="43"/>
      <c r="Q1622" s="43"/>
      <c r="R1622" s="43"/>
      <c r="S1622" s="51"/>
    </row>
    <row r="1623" spans="1:19" ht="18" customHeight="1" x14ac:dyDescent="0.25">
      <c r="A1623" s="38"/>
      <c r="B1623" s="49"/>
      <c r="C1623" s="31" t="s">
        <v>0</v>
      </c>
      <c r="D1623" s="27"/>
      <c r="E1623" s="23"/>
      <c r="F1623" s="23"/>
      <c r="G1623" s="23"/>
      <c r="H1623" s="23"/>
      <c r="I1623" s="23"/>
      <c r="J1623" s="43"/>
      <c r="K1623" s="43"/>
      <c r="L1623" s="43"/>
      <c r="M1623" s="43"/>
      <c r="N1623" s="53"/>
      <c r="O1623" s="43"/>
      <c r="P1623" s="43"/>
      <c r="Q1623" s="43"/>
      <c r="R1623" s="43"/>
      <c r="S1623" s="51"/>
    </row>
    <row r="1624" spans="1:19" ht="18" customHeight="1" x14ac:dyDescent="0.25">
      <c r="A1624" s="38"/>
      <c r="B1624" s="49"/>
      <c r="C1624" s="31" t="s">
        <v>1</v>
      </c>
      <c r="D1624" s="29">
        <f t="shared" ref="D1624:D1625" si="395">SUM(E1624:I1624)</f>
        <v>2000</v>
      </c>
      <c r="E1624" s="23">
        <v>2000</v>
      </c>
      <c r="F1624" s="23"/>
      <c r="G1624" s="23"/>
      <c r="H1624" s="23"/>
      <c r="I1624" s="23"/>
      <c r="J1624" s="43"/>
      <c r="K1624" s="43"/>
      <c r="L1624" s="43"/>
      <c r="M1624" s="43"/>
      <c r="N1624" s="53"/>
      <c r="O1624" s="43"/>
      <c r="P1624" s="43"/>
      <c r="Q1624" s="43"/>
      <c r="R1624" s="43"/>
      <c r="S1624" s="51"/>
    </row>
    <row r="1625" spans="1:19" ht="18" customHeight="1" x14ac:dyDescent="0.25">
      <c r="A1625" s="38"/>
      <c r="B1625" s="49"/>
      <c r="C1625" s="31" t="s">
        <v>2</v>
      </c>
      <c r="D1625" s="27">
        <f t="shared" si="395"/>
        <v>1025.4000000000001</v>
      </c>
      <c r="E1625" s="23">
        <v>1025.4000000000001</v>
      </c>
      <c r="F1625" s="23"/>
      <c r="G1625" s="23"/>
      <c r="H1625" s="23"/>
      <c r="I1625" s="23"/>
      <c r="J1625" s="43"/>
      <c r="K1625" s="43"/>
      <c r="L1625" s="43"/>
      <c r="M1625" s="43"/>
      <c r="N1625" s="53"/>
      <c r="O1625" s="43"/>
      <c r="P1625" s="43"/>
      <c r="Q1625" s="43"/>
      <c r="R1625" s="43"/>
      <c r="S1625" s="51"/>
    </row>
    <row r="1626" spans="1:19" ht="18" customHeight="1" x14ac:dyDescent="0.25">
      <c r="A1626" s="38"/>
      <c r="B1626" s="49"/>
      <c r="C1626" s="31" t="s">
        <v>3</v>
      </c>
      <c r="D1626" s="27"/>
      <c r="E1626" s="23"/>
      <c r="F1626" s="23"/>
      <c r="G1626" s="23"/>
      <c r="H1626" s="23"/>
      <c r="I1626" s="23"/>
      <c r="J1626" s="43"/>
      <c r="K1626" s="43"/>
      <c r="L1626" s="43"/>
      <c r="M1626" s="43"/>
      <c r="N1626" s="53"/>
      <c r="O1626" s="43"/>
      <c r="P1626" s="43"/>
      <c r="Q1626" s="43"/>
      <c r="R1626" s="43"/>
      <c r="S1626" s="51"/>
    </row>
    <row r="1627" spans="1:19" ht="18.75" customHeight="1" x14ac:dyDescent="0.25">
      <c r="A1627" s="37" t="s">
        <v>59</v>
      </c>
      <c r="B1627" s="37"/>
      <c r="C1627" s="37"/>
      <c r="D1627" s="37"/>
      <c r="E1627" s="37"/>
      <c r="F1627" s="37"/>
      <c r="G1627" s="37"/>
      <c r="H1627" s="37"/>
      <c r="I1627" s="37"/>
      <c r="J1627" s="37"/>
      <c r="K1627" s="37"/>
      <c r="L1627" s="37"/>
      <c r="M1627" s="37"/>
      <c r="N1627" s="37"/>
      <c r="O1627" s="37"/>
      <c r="P1627" s="37"/>
      <c r="Q1627" s="37"/>
      <c r="R1627" s="37"/>
      <c r="S1627" s="37"/>
    </row>
    <row r="1628" spans="1:19" ht="21" customHeight="1" x14ac:dyDescent="0.25">
      <c r="A1628" s="38"/>
      <c r="B1628" s="48" t="s">
        <v>562</v>
      </c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</row>
    <row r="1629" spans="1:19" ht="24.75" customHeight="1" x14ac:dyDescent="0.25">
      <c r="A1629" s="38"/>
      <c r="B1629" s="49" t="s">
        <v>698</v>
      </c>
      <c r="C1629" s="50" t="s">
        <v>340</v>
      </c>
      <c r="D1629" s="50"/>
      <c r="E1629" s="50"/>
      <c r="F1629" s="50"/>
      <c r="G1629" s="50"/>
      <c r="H1629" s="50"/>
      <c r="I1629" s="50"/>
      <c r="J1629" s="43" t="s">
        <v>15</v>
      </c>
      <c r="K1629" s="43" t="s">
        <v>828</v>
      </c>
      <c r="L1629" s="43" t="s">
        <v>408</v>
      </c>
      <c r="M1629" s="43" t="s">
        <v>473</v>
      </c>
      <c r="N1629" s="53" t="s">
        <v>542</v>
      </c>
      <c r="O1629" s="43" t="s">
        <v>12</v>
      </c>
      <c r="P1629" s="43" t="s">
        <v>37</v>
      </c>
      <c r="Q1629" s="43" t="s">
        <v>44</v>
      </c>
      <c r="R1629" s="43"/>
      <c r="S1629" s="51"/>
    </row>
    <row r="1630" spans="1:19" ht="18" customHeight="1" x14ac:dyDescent="0.25">
      <c r="A1630" s="38"/>
      <c r="B1630" s="49"/>
      <c r="C1630" s="31" t="s">
        <v>6</v>
      </c>
      <c r="D1630" s="27">
        <f t="shared" ref="D1630:E1630" si="396">SUM(D1631:D1634)</f>
        <v>35394.489000000001</v>
      </c>
      <c r="E1630" s="23">
        <f t="shared" si="396"/>
        <v>35394.489000000001</v>
      </c>
      <c r="F1630" s="23"/>
      <c r="G1630" s="23"/>
      <c r="H1630" s="23"/>
      <c r="I1630" s="23"/>
      <c r="J1630" s="43"/>
      <c r="K1630" s="43"/>
      <c r="L1630" s="43"/>
      <c r="M1630" s="43"/>
      <c r="N1630" s="53"/>
      <c r="O1630" s="43"/>
      <c r="P1630" s="43"/>
      <c r="Q1630" s="43"/>
      <c r="R1630" s="43"/>
      <c r="S1630" s="51"/>
    </row>
    <row r="1631" spans="1:19" ht="18" customHeight="1" x14ac:dyDescent="0.25">
      <c r="A1631" s="38"/>
      <c r="B1631" s="49"/>
      <c r="C1631" s="31" t="s">
        <v>0</v>
      </c>
      <c r="D1631" s="27"/>
      <c r="E1631" s="23"/>
      <c r="F1631" s="23"/>
      <c r="G1631" s="23"/>
      <c r="H1631" s="23"/>
      <c r="I1631" s="23"/>
      <c r="J1631" s="43"/>
      <c r="K1631" s="43"/>
      <c r="L1631" s="43"/>
      <c r="M1631" s="43"/>
      <c r="N1631" s="53"/>
      <c r="O1631" s="43"/>
      <c r="P1631" s="43"/>
      <c r="Q1631" s="43"/>
      <c r="R1631" s="43"/>
      <c r="S1631" s="51"/>
    </row>
    <row r="1632" spans="1:19" ht="18" customHeight="1" x14ac:dyDescent="0.25">
      <c r="A1632" s="38"/>
      <c r="B1632" s="49"/>
      <c r="C1632" s="31" t="s">
        <v>1</v>
      </c>
      <c r="D1632" s="27">
        <f t="shared" ref="D1632" si="397">SUM(E1632:I1632)</f>
        <v>35394.489000000001</v>
      </c>
      <c r="E1632" s="23">
        <v>35394.489000000001</v>
      </c>
      <c r="F1632" s="23"/>
      <c r="G1632" s="23"/>
      <c r="H1632" s="23"/>
      <c r="I1632" s="23"/>
      <c r="J1632" s="43"/>
      <c r="K1632" s="43"/>
      <c r="L1632" s="43"/>
      <c r="M1632" s="43"/>
      <c r="N1632" s="53"/>
      <c r="O1632" s="43"/>
      <c r="P1632" s="43"/>
      <c r="Q1632" s="43"/>
      <c r="R1632" s="43"/>
      <c r="S1632" s="51"/>
    </row>
    <row r="1633" spans="1:19" ht="18" customHeight="1" x14ac:dyDescent="0.25">
      <c r="A1633" s="38"/>
      <c r="B1633" s="49"/>
      <c r="C1633" s="31" t="s">
        <v>2</v>
      </c>
      <c r="D1633" s="27"/>
      <c r="E1633" s="23"/>
      <c r="F1633" s="23"/>
      <c r="G1633" s="23"/>
      <c r="H1633" s="23"/>
      <c r="I1633" s="23"/>
      <c r="J1633" s="43"/>
      <c r="K1633" s="43"/>
      <c r="L1633" s="43"/>
      <c r="M1633" s="43"/>
      <c r="N1633" s="53"/>
      <c r="O1633" s="43"/>
      <c r="P1633" s="43"/>
      <c r="Q1633" s="43"/>
      <c r="R1633" s="43"/>
      <c r="S1633" s="51"/>
    </row>
    <row r="1634" spans="1:19" ht="18" customHeight="1" x14ac:dyDescent="0.25">
      <c r="A1634" s="38"/>
      <c r="B1634" s="49"/>
      <c r="C1634" s="31" t="s">
        <v>3</v>
      </c>
      <c r="D1634" s="27"/>
      <c r="E1634" s="23"/>
      <c r="F1634" s="23"/>
      <c r="G1634" s="23"/>
      <c r="H1634" s="23"/>
      <c r="I1634" s="23"/>
      <c r="J1634" s="43"/>
      <c r="K1634" s="43"/>
      <c r="L1634" s="43"/>
      <c r="M1634" s="43"/>
      <c r="N1634" s="53"/>
      <c r="O1634" s="43"/>
      <c r="P1634" s="43"/>
      <c r="Q1634" s="43"/>
      <c r="R1634" s="43"/>
      <c r="S1634" s="51"/>
    </row>
    <row r="1635" spans="1:19" ht="18.75" customHeight="1" x14ac:dyDescent="0.25">
      <c r="A1635" s="37" t="s">
        <v>59</v>
      </c>
      <c r="B1635" s="37"/>
      <c r="C1635" s="37"/>
      <c r="D1635" s="37"/>
      <c r="E1635" s="37"/>
      <c r="F1635" s="37"/>
      <c r="G1635" s="37"/>
      <c r="H1635" s="37"/>
      <c r="I1635" s="37"/>
      <c r="J1635" s="37"/>
      <c r="K1635" s="37"/>
      <c r="L1635" s="37"/>
      <c r="M1635" s="37"/>
      <c r="N1635" s="37"/>
      <c r="O1635" s="37"/>
      <c r="P1635" s="37"/>
      <c r="Q1635" s="37"/>
      <c r="R1635" s="37"/>
      <c r="S1635" s="37"/>
    </row>
    <row r="1636" spans="1:19" ht="21" customHeight="1" x14ac:dyDescent="0.25">
      <c r="A1636" s="38"/>
      <c r="B1636" s="48" t="s">
        <v>561</v>
      </c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</row>
    <row r="1637" spans="1:19" ht="18.75" customHeight="1" x14ac:dyDescent="0.25">
      <c r="A1637" s="38"/>
      <c r="B1637" s="49" t="s">
        <v>700</v>
      </c>
      <c r="C1637" s="50" t="s">
        <v>102</v>
      </c>
      <c r="D1637" s="50"/>
      <c r="E1637" s="50"/>
      <c r="F1637" s="50"/>
      <c r="G1637" s="50"/>
      <c r="H1637" s="50"/>
      <c r="I1637" s="50"/>
      <c r="J1637" s="43" t="s">
        <v>15</v>
      </c>
      <c r="K1637" s="43" t="s">
        <v>828</v>
      </c>
      <c r="L1637" s="43" t="s">
        <v>409</v>
      </c>
      <c r="M1637" s="43" t="s">
        <v>491</v>
      </c>
      <c r="N1637" s="53" t="s">
        <v>543</v>
      </c>
      <c r="O1637" s="43" t="s">
        <v>12</v>
      </c>
      <c r="P1637" s="43" t="s">
        <v>19</v>
      </c>
      <c r="Q1637" s="43" t="s">
        <v>44</v>
      </c>
      <c r="R1637" s="43"/>
      <c r="S1637" s="51"/>
    </row>
    <row r="1638" spans="1:19" ht="18" customHeight="1" x14ac:dyDescent="0.25">
      <c r="A1638" s="38"/>
      <c r="B1638" s="49"/>
      <c r="C1638" s="31" t="s">
        <v>6</v>
      </c>
      <c r="D1638" s="27">
        <f t="shared" ref="D1638:E1638" si="398">SUM(D1639:D1642)</f>
        <v>2758.3409700000002</v>
      </c>
      <c r="E1638" s="23">
        <f t="shared" si="398"/>
        <v>2758.3409700000002</v>
      </c>
      <c r="F1638" s="23"/>
      <c r="G1638" s="23"/>
      <c r="H1638" s="23"/>
      <c r="I1638" s="23"/>
      <c r="J1638" s="43"/>
      <c r="K1638" s="43"/>
      <c r="L1638" s="43"/>
      <c r="M1638" s="43"/>
      <c r="N1638" s="53"/>
      <c r="O1638" s="43"/>
      <c r="P1638" s="43"/>
      <c r="Q1638" s="43"/>
      <c r="R1638" s="43"/>
      <c r="S1638" s="51"/>
    </row>
    <row r="1639" spans="1:19" ht="18" customHeight="1" x14ac:dyDescent="0.25">
      <c r="A1639" s="38"/>
      <c r="B1639" s="49"/>
      <c r="C1639" s="31" t="s">
        <v>0</v>
      </c>
      <c r="D1639" s="27"/>
      <c r="E1639" s="23"/>
      <c r="F1639" s="23"/>
      <c r="G1639" s="23"/>
      <c r="H1639" s="23"/>
      <c r="I1639" s="23"/>
      <c r="J1639" s="43"/>
      <c r="K1639" s="43"/>
      <c r="L1639" s="43"/>
      <c r="M1639" s="43"/>
      <c r="N1639" s="53"/>
      <c r="O1639" s="43"/>
      <c r="P1639" s="43"/>
      <c r="Q1639" s="43"/>
      <c r="R1639" s="43"/>
      <c r="S1639" s="51"/>
    </row>
    <row r="1640" spans="1:19" ht="18" customHeight="1" x14ac:dyDescent="0.25">
      <c r="A1640" s="38"/>
      <c r="B1640" s="49"/>
      <c r="C1640" s="31" t="s">
        <v>1</v>
      </c>
      <c r="D1640" s="27">
        <f t="shared" ref="D1640:D1641" si="399">SUM(E1640:I1640)</f>
        <v>2158.3409700000002</v>
      </c>
      <c r="E1640" s="23">
        <f>5400-3241.65903</f>
        <v>2158.3409700000002</v>
      </c>
      <c r="F1640" s="23"/>
      <c r="G1640" s="23"/>
      <c r="H1640" s="23"/>
      <c r="I1640" s="23"/>
      <c r="J1640" s="43"/>
      <c r="K1640" s="43"/>
      <c r="L1640" s="43"/>
      <c r="M1640" s="43"/>
      <c r="N1640" s="53"/>
      <c r="O1640" s="43"/>
      <c r="P1640" s="43"/>
      <c r="Q1640" s="43"/>
      <c r="R1640" s="43"/>
      <c r="S1640" s="51"/>
    </row>
    <row r="1641" spans="1:19" ht="18" customHeight="1" x14ac:dyDescent="0.25">
      <c r="A1641" s="38"/>
      <c r="B1641" s="49"/>
      <c r="C1641" s="31" t="s">
        <v>2</v>
      </c>
      <c r="D1641" s="27">
        <f t="shared" si="399"/>
        <v>600</v>
      </c>
      <c r="E1641" s="23">
        <v>600</v>
      </c>
      <c r="F1641" s="23"/>
      <c r="G1641" s="23"/>
      <c r="H1641" s="23"/>
      <c r="I1641" s="23"/>
      <c r="J1641" s="43"/>
      <c r="K1641" s="43"/>
      <c r="L1641" s="43"/>
      <c r="M1641" s="43"/>
      <c r="N1641" s="53"/>
      <c r="O1641" s="43"/>
      <c r="P1641" s="43"/>
      <c r="Q1641" s="43"/>
      <c r="R1641" s="43"/>
      <c r="S1641" s="51"/>
    </row>
    <row r="1642" spans="1:19" ht="18" customHeight="1" x14ac:dyDescent="0.25">
      <c r="A1642" s="38"/>
      <c r="B1642" s="49"/>
      <c r="C1642" s="31" t="s">
        <v>3</v>
      </c>
      <c r="D1642" s="27"/>
      <c r="E1642" s="23"/>
      <c r="F1642" s="23"/>
      <c r="G1642" s="23"/>
      <c r="H1642" s="23"/>
      <c r="I1642" s="23"/>
      <c r="J1642" s="43"/>
      <c r="K1642" s="43"/>
      <c r="L1642" s="43"/>
      <c r="M1642" s="43"/>
      <c r="N1642" s="53"/>
      <c r="O1642" s="43"/>
      <c r="P1642" s="43"/>
      <c r="Q1642" s="43"/>
      <c r="R1642" s="43"/>
      <c r="S1642" s="51"/>
    </row>
    <row r="1643" spans="1:19" ht="18.75" customHeight="1" x14ac:dyDescent="0.25">
      <c r="A1643" s="37" t="s">
        <v>59</v>
      </c>
      <c r="B1643" s="37"/>
      <c r="C1643" s="37"/>
      <c r="D1643" s="37"/>
      <c r="E1643" s="37"/>
      <c r="F1643" s="37"/>
      <c r="G1643" s="37"/>
      <c r="H1643" s="37"/>
      <c r="I1643" s="37"/>
      <c r="J1643" s="37"/>
      <c r="K1643" s="37"/>
      <c r="L1643" s="37"/>
      <c r="M1643" s="37"/>
      <c r="N1643" s="37"/>
      <c r="O1643" s="37"/>
      <c r="P1643" s="37"/>
      <c r="Q1643" s="37"/>
      <c r="R1643" s="37"/>
      <c r="S1643" s="37"/>
    </row>
    <row r="1644" spans="1:19" ht="21" customHeight="1" x14ac:dyDescent="0.25">
      <c r="A1644" s="38"/>
      <c r="B1644" s="48" t="s">
        <v>562</v>
      </c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</row>
    <row r="1645" spans="1:19" ht="21.75" customHeight="1" x14ac:dyDescent="0.25">
      <c r="A1645" s="38"/>
      <c r="B1645" s="49" t="s">
        <v>701</v>
      </c>
      <c r="C1645" s="50" t="s">
        <v>675</v>
      </c>
      <c r="D1645" s="50"/>
      <c r="E1645" s="50"/>
      <c r="F1645" s="50"/>
      <c r="G1645" s="50"/>
      <c r="H1645" s="50"/>
      <c r="I1645" s="50"/>
      <c r="J1645" s="43" t="s">
        <v>14</v>
      </c>
      <c r="K1645" s="43" t="s">
        <v>821</v>
      </c>
      <c r="L1645" s="43" t="s">
        <v>742</v>
      </c>
      <c r="M1645" s="43" t="s">
        <v>62</v>
      </c>
      <c r="N1645" s="53" t="s">
        <v>741</v>
      </c>
      <c r="O1645" s="43" t="s">
        <v>17</v>
      </c>
      <c r="P1645" s="43" t="s">
        <v>18</v>
      </c>
      <c r="Q1645" s="43" t="s">
        <v>44</v>
      </c>
      <c r="R1645" s="43"/>
      <c r="S1645" s="51"/>
    </row>
    <row r="1646" spans="1:19" ht="18" customHeight="1" x14ac:dyDescent="0.25">
      <c r="A1646" s="38"/>
      <c r="B1646" s="49"/>
      <c r="C1646" s="31" t="s">
        <v>6</v>
      </c>
      <c r="D1646" s="27">
        <f t="shared" ref="D1646:E1646" si="400">SUM(D1647:D1650)</f>
        <v>9164.4663600000003</v>
      </c>
      <c r="E1646" s="23">
        <f t="shared" si="400"/>
        <v>9164.4663600000003</v>
      </c>
      <c r="F1646" s="23"/>
      <c r="G1646" s="23"/>
      <c r="H1646" s="23"/>
      <c r="I1646" s="23"/>
      <c r="J1646" s="43"/>
      <c r="K1646" s="43"/>
      <c r="L1646" s="43"/>
      <c r="M1646" s="43"/>
      <c r="N1646" s="53"/>
      <c r="O1646" s="43"/>
      <c r="P1646" s="43"/>
      <c r="Q1646" s="43"/>
      <c r="R1646" s="43"/>
      <c r="S1646" s="51"/>
    </row>
    <row r="1647" spans="1:19" ht="18" customHeight="1" x14ac:dyDescent="0.25">
      <c r="A1647" s="38"/>
      <c r="B1647" s="49"/>
      <c r="C1647" s="31" t="s">
        <v>0</v>
      </c>
      <c r="D1647" s="27"/>
      <c r="E1647" s="23"/>
      <c r="F1647" s="23"/>
      <c r="G1647" s="23"/>
      <c r="H1647" s="23"/>
      <c r="I1647" s="23"/>
      <c r="J1647" s="43"/>
      <c r="K1647" s="43"/>
      <c r="L1647" s="43"/>
      <c r="M1647" s="43"/>
      <c r="N1647" s="53"/>
      <c r="O1647" s="43"/>
      <c r="P1647" s="43"/>
      <c r="Q1647" s="43"/>
      <c r="R1647" s="43"/>
      <c r="S1647" s="51"/>
    </row>
    <row r="1648" spans="1:19" ht="18" customHeight="1" x14ac:dyDescent="0.25">
      <c r="A1648" s="38"/>
      <c r="B1648" s="49"/>
      <c r="C1648" s="31" t="s">
        <v>1</v>
      </c>
      <c r="D1648" s="27">
        <f t="shared" ref="D1648" si="401">SUM(E1648:I1648)</f>
        <v>9164.4663600000003</v>
      </c>
      <c r="E1648" s="23">
        <f>9204.76-40.29364</f>
        <v>9164.4663600000003</v>
      </c>
      <c r="F1648" s="23"/>
      <c r="G1648" s="23"/>
      <c r="H1648" s="23"/>
      <c r="I1648" s="23"/>
      <c r="J1648" s="43"/>
      <c r="K1648" s="43"/>
      <c r="L1648" s="43"/>
      <c r="M1648" s="43"/>
      <c r="N1648" s="53"/>
      <c r="O1648" s="43"/>
      <c r="P1648" s="43"/>
      <c r="Q1648" s="43"/>
      <c r="R1648" s="43"/>
      <c r="S1648" s="51"/>
    </row>
    <row r="1649" spans="1:19" ht="18" customHeight="1" x14ac:dyDescent="0.25">
      <c r="A1649" s="38"/>
      <c r="B1649" s="49"/>
      <c r="C1649" s="31" t="s">
        <v>2</v>
      </c>
      <c r="D1649" s="27"/>
      <c r="E1649" s="23"/>
      <c r="F1649" s="23"/>
      <c r="G1649" s="23"/>
      <c r="H1649" s="23"/>
      <c r="I1649" s="23"/>
      <c r="J1649" s="43"/>
      <c r="K1649" s="43"/>
      <c r="L1649" s="43"/>
      <c r="M1649" s="43"/>
      <c r="N1649" s="53"/>
      <c r="O1649" s="43"/>
      <c r="P1649" s="43"/>
      <c r="Q1649" s="43"/>
      <c r="R1649" s="43"/>
      <c r="S1649" s="51"/>
    </row>
    <row r="1650" spans="1:19" ht="18" customHeight="1" x14ac:dyDescent="0.25">
      <c r="A1650" s="38"/>
      <c r="B1650" s="49"/>
      <c r="C1650" s="31" t="s">
        <v>3</v>
      </c>
      <c r="D1650" s="27"/>
      <c r="E1650" s="23"/>
      <c r="F1650" s="23"/>
      <c r="G1650" s="23"/>
      <c r="H1650" s="23"/>
      <c r="I1650" s="23"/>
      <c r="J1650" s="43"/>
      <c r="K1650" s="43"/>
      <c r="L1650" s="43"/>
      <c r="M1650" s="43"/>
      <c r="N1650" s="53"/>
      <c r="O1650" s="43"/>
      <c r="P1650" s="43"/>
      <c r="Q1650" s="43"/>
      <c r="R1650" s="43"/>
      <c r="S1650" s="51"/>
    </row>
    <row r="1651" spans="1:19" ht="18.75" customHeight="1" x14ac:dyDescent="0.25">
      <c r="A1651" s="37" t="s">
        <v>59</v>
      </c>
      <c r="B1651" s="37"/>
      <c r="C1651" s="37"/>
      <c r="D1651" s="37"/>
      <c r="E1651" s="37"/>
      <c r="F1651" s="37"/>
      <c r="G1651" s="37"/>
      <c r="H1651" s="37"/>
      <c r="I1651" s="37"/>
      <c r="J1651" s="37"/>
      <c r="K1651" s="37"/>
      <c r="L1651" s="37"/>
      <c r="M1651" s="37"/>
      <c r="N1651" s="37"/>
      <c r="O1651" s="37"/>
      <c r="P1651" s="37"/>
      <c r="Q1651" s="37"/>
      <c r="R1651" s="37"/>
      <c r="S1651" s="37"/>
    </row>
    <row r="1652" spans="1:19" ht="21" customHeight="1" x14ac:dyDescent="0.25">
      <c r="A1652" s="38"/>
      <c r="B1652" s="48" t="s">
        <v>562</v>
      </c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</row>
    <row r="1653" spans="1:19" ht="18.75" customHeight="1" x14ac:dyDescent="0.25">
      <c r="A1653" s="38"/>
      <c r="B1653" s="49" t="s">
        <v>702</v>
      </c>
      <c r="C1653" s="50" t="s">
        <v>676</v>
      </c>
      <c r="D1653" s="50"/>
      <c r="E1653" s="50"/>
      <c r="F1653" s="50"/>
      <c r="G1653" s="50"/>
      <c r="H1653" s="50"/>
      <c r="I1653" s="50"/>
      <c r="J1653" s="43" t="s">
        <v>11</v>
      </c>
      <c r="K1653" s="43" t="s">
        <v>821</v>
      </c>
      <c r="L1653" s="43" t="s">
        <v>743</v>
      </c>
      <c r="M1653" s="43" t="s">
        <v>62</v>
      </c>
      <c r="N1653" s="53" t="s">
        <v>744</v>
      </c>
      <c r="O1653" s="43" t="s">
        <v>17</v>
      </c>
      <c r="P1653" s="43" t="s">
        <v>18</v>
      </c>
      <c r="Q1653" s="43" t="s">
        <v>44</v>
      </c>
      <c r="R1653" s="43"/>
      <c r="S1653" s="51" t="s">
        <v>745</v>
      </c>
    </row>
    <row r="1654" spans="1:19" ht="18" customHeight="1" x14ac:dyDescent="0.25">
      <c r="A1654" s="38"/>
      <c r="B1654" s="49"/>
      <c r="C1654" s="31" t="s">
        <v>6</v>
      </c>
      <c r="D1654" s="27">
        <f t="shared" ref="D1654:E1654" si="402">SUM(D1655:D1658)</f>
        <v>56000</v>
      </c>
      <c r="E1654" s="23">
        <f t="shared" si="402"/>
        <v>56000</v>
      </c>
      <c r="F1654" s="23"/>
      <c r="G1654" s="23"/>
      <c r="H1654" s="23"/>
      <c r="I1654" s="23"/>
      <c r="J1654" s="43"/>
      <c r="K1654" s="43"/>
      <c r="L1654" s="43"/>
      <c r="M1654" s="43"/>
      <c r="N1654" s="53"/>
      <c r="O1654" s="43"/>
      <c r="P1654" s="43"/>
      <c r="Q1654" s="43"/>
      <c r="R1654" s="43"/>
      <c r="S1654" s="51"/>
    </row>
    <row r="1655" spans="1:19" ht="18" customHeight="1" x14ac:dyDescent="0.25">
      <c r="A1655" s="38"/>
      <c r="B1655" s="49"/>
      <c r="C1655" s="31" t="s">
        <v>0</v>
      </c>
      <c r="D1655" s="27"/>
      <c r="E1655" s="23"/>
      <c r="F1655" s="23"/>
      <c r="G1655" s="23"/>
      <c r="H1655" s="23"/>
      <c r="I1655" s="23"/>
      <c r="J1655" s="43"/>
      <c r="K1655" s="43"/>
      <c r="L1655" s="43"/>
      <c r="M1655" s="43"/>
      <c r="N1655" s="53"/>
      <c r="O1655" s="43"/>
      <c r="P1655" s="43"/>
      <c r="Q1655" s="43"/>
      <c r="R1655" s="43"/>
      <c r="S1655" s="51"/>
    </row>
    <row r="1656" spans="1:19" ht="18" customHeight="1" x14ac:dyDescent="0.25">
      <c r="A1656" s="38"/>
      <c r="B1656" s="49"/>
      <c r="C1656" s="31" t="s">
        <v>1</v>
      </c>
      <c r="D1656" s="27">
        <f t="shared" ref="D1656" si="403">SUM(E1656:I1656)</f>
        <v>56000</v>
      </c>
      <c r="E1656" s="23">
        <v>56000</v>
      </c>
      <c r="F1656" s="23"/>
      <c r="G1656" s="23"/>
      <c r="H1656" s="23"/>
      <c r="I1656" s="23"/>
      <c r="J1656" s="43"/>
      <c r="K1656" s="43"/>
      <c r="L1656" s="43"/>
      <c r="M1656" s="43"/>
      <c r="N1656" s="53"/>
      <c r="O1656" s="43"/>
      <c r="P1656" s="43"/>
      <c r="Q1656" s="43"/>
      <c r="R1656" s="43"/>
      <c r="S1656" s="51"/>
    </row>
    <row r="1657" spans="1:19" ht="18" customHeight="1" x14ac:dyDescent="0.25">
      <c r="A1657" s="38"/>
      <c r="B1657" s="49"/>
      <c r="C1657" s="31" t="s">
        <v>2</v>
      </c>
      <c r="D1657" s="27"/>
      <c r="E1657" s="23"/>
      <c r="F1657" s="23"/>
      <c r="G1657" s="23"/>
      <c r="H1657" s="23"/>
      <c r="I1657" s="23"/>
      <c r="J1657" s="43"/>
      <c r="K1657" s="43"/>
      <c r="L1657" s="43"/>
      <c r="M1657" s="43"/>
      <c r="N1657" s="53"/>
      <c r="O1657" s="43"/>
      <c r="P1657" s="43"/>
      <c r="Q1657" s="43"/>
      <c r="R1657" s="43"/>
      <c r="S1657" s="51"/>
    </row>
    <row r="1658" spans="1:19" ht="18" customHeight="1" x14ac:dyDescent="0.25">
      <c r="A1658" s="38"/>
      <c r="B1658" s="49"/>
      <c r="C1658" s="31" t="s">
        <v>3</v>
      </c>
      <c r="D1658" s="27"/>
      <c r="E1658" s="23"/>
      <c r="F1658" s="23"/>
      <c r="G1658" s="23"/>
      <c r="H1658" s="23"/>
      <c r="I1658" s="23"/>
      <c r="J1658" s="43"/>
      <c r="K1658" s="43"/>
      <c r="L1658" s="43"/>
      <c r="M1658" s="43"/>
      <c r="N1658" s="53"/>
      <c r="O1658" s="43"/>
      <c r="P1658" s="43"/>
      <c r="Q1658" s="43"/>
      <c r="R1658" s="43"/>
      <c r="S1658" s="51"/>
    </row>
    <row r="1659" spans="1:19" ht="18.75" customHeight="1" x14ac:dyDescent="0.25">
      <c r="A1659" s="37" t="s">
        <v>59</v>
      </c>
      <c r="B1659" s="37"/>
      <c r="C1659" s="37"/>
      <c r="D1659" s="37"/>
      <c r="E1659" s="37"/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</row>
    <row r="1660" spans="1:19" ht="21" customHeight="1" x14ac:dyDescent="0.25">
      <c r="A1660" s="38"/>
      <c r="B1660" s="48" t="s">
        <v>564</v>
      </c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</row>
    <row r="1661" spans="1:19" ht="18.75" customHeight="1" x14ac:dyDescent="0.25">
      <c r="A1661" s="38"/>
      <c r="B1661" s="49" t="s">
        <v>772</v>
      </c>
      <c r="C1661" s="50" t="s">
        <v>773</v>
      </c>
      <c r="D1661" s="50"/>
      <c r="E1661" s="50"/>
      <c r="F1661" s="50"/>
      <c r="G1661" s="50"/>
      <c r="H1661" s="50"/>
      <c r="I1661" s="50"/>
      <c r="J1661" s="43" t="s">
        <v>14</v>
      </c>
      <c r="K1661" s="43" t="s">
        <v>821</v>
      </c>
      <c r="L1661" s="43" t="s">
        <v>774</v>
      </c>
      <c r="M1661" s="43" t="s">
        <v>59</v>
      </c>
      <c r="N1661" s="53" t="s">
        <v>531</v>
      </c>
      <c r="O1661" s="43" t="s">
        <v>17</v>
      </c>
      <c r="P1661" s="43" t="s">
        <v>803</v>
      </c>
      <c r="Q1661" s="43" t="s">
        <v>44</v>
      </c>
      <c r="R1661" s="43"/>
      <c r="S1661" s="51"/>
    </row>
    <row r="1662" spans="1:19" ht="18" customHeight="1" x14ac:dyDescent="0.25">
      <c r="A1662" s="38"/>
      <c r="B1662" s="49"/>
      <c r="C1662" s="31" t="s">
        <v>6</v>
      </c>
      <c r="D1662" s="27">
        <f t="shared" ref="D1662:E1662" si="404">SUM(D1663:D1666)</f>
        <v>90000</v>
      </c>
      <c r="E1662" s="23">
        <f t="shared" si="404"/>
        <v>0</v>
      </c>
      <c r="F1662" s="23">
        <v>90000</v>
      </c>
      <c r="G1662" s="23"/>
      <c r="H1662" s="23"/>
      <c r="I1662" s="23"/>
      <c r="J1662" s="43"/>
      <c r="K1662" s="43"/>
      <c r="L1662" s="43"/>
      <c r="M1662" s="43"/>
      <c r="N1662" s="53"/>
      <c r="O1662" s="43"/>
      <c r="P1662" s="43"/>
      <c r="Q1662" s="43"/>
      <c r="R1662" s="43"/>
      <c r="S1662" s="51"/>
    </row>
    <row r="1663" spans="1:19" ht="18" customHeight="1" x14ac:dyDescent="0.25">
      <c r="A1663" s="38"/>
      <c r="B1663" s="49"/>
      <c r="C1663" s="31" t="s">
        <v>0</v>
      </c>
      <c r="D1663" s="27"/>
      <c r="E1663" s="23"/>
      <c r="F1663" s="23"/>
      <c r="G1663" s="23"/>
      <c r="H1663" s="23"/>
      <c r="I1663" s="23"/>
      <c r="J1663" s="43"/>
      <c r="K1663" s="43"/>
      <c r="L1663" s="43"/>
      <c r="M1663" s="43"/>
      <c r="N1663" s="53"/>
      <c r="O1663" s="43"/>
      <c r="P1663" s="43"/>
      <c r="Q1663" s="43"/>
      <c r="R1663" s="43"/>
      <c r="S1663" s="51"/>
    </row>
    <row r="1664" spans="1:19" ht="18" customHeight="1" x14ac:dyDescent="0.25">
      <c r="A1664" s="38"/>
      <c r="B1664" s="49"/>
      <c r="C1664" s="31" t="s">
        <v>1</v>
      </c>
      <c r="D1664" s="27">
        <f t="shared" ref="D1664" si="405">SUM(E1664:I1664)</f>
        <v>90000</v>
      </c>
      <c r="E1664" s="23">
        <f>30000-30000</f>
        <v>0</v>
      </c>
      <c r="F1664" s="23">
        <v>90000</v>
      </c>
      <c r="G1664" s="23"/>
      <c r="H1664" s="23"/>
      <c r="I1664" s="23"/>
      <c r="J1664" s="43"/>
      <c r="K1664" s="43"/>
      <c r="L1664" s="43"/>
      <c r="M1664" s="43"/>
      <c r="N1664" s="53"/>
      <c r="O1664" s="43"/>
      <c r="P1664" s="43"/>
      <c r="Q1664" s="43"/>
      <c r="R1664" s="43"/>
      <c r="S1664" s="51"/>
    </row>
    <row r="1665" spans="1:19" ht="18" customHeight="1" x14ac:dyDescent="0.25">
      <c r="A1665" s="38"/>
      <c r="B1665" s="49"/>
      <c r="C1665" s="31" t="s">
        <v>2</v>
      </c>
      <c r="D1665" s="27"/>
      <c r="E1665" s="23"/>
      <c r="F1665" s="23"/>
      <c r="G1665" s="23"/>
      <c r="H1665" s="23"/>
      <c r="I1665" s="23"/>
      <c r="J1665" s="43"/>
      <c r="K1665" s="43"/>
      <c r="L1665" s="43"/>
      <c r="M1665" s="43"/>
      <c r="N1665" s="53"/>
      <c r="O1665" s="43"/>
      <c r="P1665" s="43"/>
      <c r="Q1665" s="43"/>
      <c r="R1665" s="43"/>
      <c r="S1665" s="51"/>
    </row>
    <row r="1666" spans="1:19" ht="18" customHeight="1" x14ac:dyDescent="0.25">
      <c r="A1666" s="38"/>
      <c r="B1666" s="49"/>
      <c r="C1666" s="31" t="s">
        <v>3</v>
      </c>
      <c r="D1666" s="27"/>
      <c r="E1666" s="23"/>
      <c r="F1666" s="23"/>
      <c r="G1666" s="23"/>
      <c r="H1666" s="23"/>
      <c r="I1666" s="23"/>
      <c r="J1666" s="43"/>
      <c r="K1666" s="43"/>
      <c r="L1666" s="43"/>
      <c r="M1666" s="43"/>
      <c r="N1666" s="53"/>
      <c r="O1666" s="43"/>
      <c r="P1666" s="43"/>
      <c r="Q1666" s="43"/>
      <c r="R1666" s="43"/>
      <c r="S1666" s="51"/>
    </row>
    <row r="1667" spans="1:19" ht="18.75" customHeight="1" x14ac:dyDescent="0.25">
      <c r="A1667" s="37" t="s">
        <v>59</v>
      </c>
      <c r="B1667" s="37"/>
      <c r="C1667" s="37"/>
      <c r="D1667" s="37"/>
      <c r="E1667" s="37"/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</row>
    <row r="1668" spans="1:19" ht="21" customHeight="1" x14ac:dyDescent="0.25">
      <c r="A1668" s="79"/>
      <c r="B1668" s="48" t="s">
        <v>817</v>
      </c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</row>
    <row r="1669" spans="1:19" ht="18.75" customHeight="1" x14ac:dyDescent="0.25">
      <c r="A1669" s="79"/>
      <c r="B1669" s="49" t="s">
        <v>814</v>
      </c>
      <c r="C1669" s="50" t="s">
        <v>818</v>
      </c>
      <c r="D1669" s="50"/>
      <c r="E1669" s="50"/>
      <c r="F1669" s="50"/>
      <c r="G1669" s="50"/>
      <c r="H1669" s="50"/>
      <c r="I1669" s="50"/>
      <c r="J1669" s="43" t="s">
        <v>16</v>
      </c>
      <c r="K1669" s="43" t="s">
        <v>821</v>
      </c>
      <c r="L1669" s="43" t="s">
        <v>816</v>
      </c>
      <c r="M1669" s="43" t="s">
        <v>59</v>
      </c>
      <c r="N1669" s="53" t="s">
        <v>815</v>
      </c>
      <c r="O1669" s="43" t="s">
        <v>17</v>
      </c>
      <c r="P1669" s="43" t="s">
        <v>803</v>
      </c>
      <c r="Q1669" s="43" t="s">
        <v>9</v>
      </c>
      <c r="R1669" s="43"/>
      <c r="S1669" s="51"/>
    </row>
    <row r="1670" spans="1:19" ht="18" customHeight="1" x14ac:dyDescent="0.25">
      <c r="A1670" s="79"/>
      <c r="B1670" s="49"/>
      <c r="C1670" s="31" t="s">
        <v>6</v>
      </c>
      <c r="D1670" s="27">
        <f t="shared" ref="D1670:E1670" si="406">SUM(D1671:D1674)</f>
        <v>307257.16350000002</v>
      </c>
      <c r="E1670" s="23">
        <f t="shared" si="406"/>
        <v>307257.16350000002</v>
      </c>
      <c r="F1670" s="23"/>
      <c r="G1670" s="23"/>
      <c r="H1670" s="23"/>
      <c r="I1670" s="23"/>
      <c r="J1670" s="43"/>
      <c r="K1670" s="43"/>
      <c r="L1670" s="43"/>
      <c r="M1670" s="43"/>
      <c r="N1670" s="53"/>
      <c r="O1670" s="43"/>
      <c r="P1670" s="43"/>
      <c r="Q1670" s="43"/>
      <c r="R1670" s="43"/>
      <c r="S1670" s="51"/>
    </row>
    <row r="1671" spans="1:19" ht="18" customHeight="1" x14ac:dyDescent="0.25">
      <c r="A1671" s="79"/>
      <c r="B1671" s="49"/>
      <c r="C1671" s="31" t="s">
        <v>0</v>
      </c>
      <c r="D1671" s="27"/>
      <c r="E1671" s="23"/>
      <c r="F1671" s="23"/>
      <c r="G1671" s="23"/>
      <c r="H1671" s="23"/>
      <c r="I1671" s="23"/>
      <c r="J1671" s="43"/>
      <c r="K1671" s="43"/>
      <c r="L1671" s="43"/>
      <c r="M1671" s="43"/>
      <c r="N1671" s="53"/>
      <c r="O1671" s="43"/>
      <c r="P1671" s="43"/>
      <c r="Q1671" s="43"/>
      <c r="R1671" s="43"/>
      <c r="S1671" s="51"/>
    </row>
    <row r="1672" spans="1:19" ht="18" customHeight="1" x14ac:dyDescent="0.25">
      <c r="A1672" s="79"/>
      <c r="B1672" s="49"/>
      <c r="C1672" s="31" t="s">
        <v>1</v>
      </c>
      <c r="D1672" s="27">
        <f t="shared" ref="D1672" si="407">SUM(E1672:I1672)</f>
        <v>307257.16350000002</v>
      </c>
      <c r="E1672" s="23">
        <v>307257.16350000002</v>
      </c>
      <c r="F1672" s="23"/>
      <c r="G1672" s="23"/>
      <c r="H1672" s="23"/>
      <c r="I1672" s="23"/>
      <c r="J1672" s="43"/>
      <c r="K1672" s="43"/>
      <c r="L1672" s="43"/>
      <c r="M1672" s="43"/>
      <c r="N1672" s="53"/>
      <c r="O1672" s="43"/>
      <c r="P1672" s="43"/>
      <c r="Q1672" s="43"/>
      <c r="R1672" s="43"/>
      <c r="S1672" s="51"/>
    </row>
    <row r="1673" spans="1:19" ht="18" customHeight="1" x14ac:dyDescent="0.25">
      <c r="A1673" s="79"/>
      <c r="B1673" s="49"/>
      <c r="C1673" s="31" t="s">
        <v>2</v>
      </c>
      <c r="D1673" s="27"/>
      <c r="E1673" s="23"/>
      <c r="F1673" s="23"/>
      <c r="G1673" s="23"/>
      <c r="H1673" s="23"/>
      <c r="I1673" s="23"/>
      <c r="J1673" s="43"/>
      <c r="K1673" s="43"/>
      <c r="L1673" s="43"/>
      <c r="M1673" s="43"/>
      <c r="N1673" s="53"/>
      <c r="O1673" s="43"/>
      <c r="P1673" s="43"/>
      <c r="Q1673" s="43"/>
      <c r="R1673" s="43"/>
      <c r="S1673" s="51"/>
    </row>
    <row r="1674" spans="1:19" ht="18" customHeight="1" x14ac:dyDescent="0.25">
      <c r="A1674" s="79"/>
      <c r="B1674" s="49"/>
      <c r="C1674" s="31" t="s">
        <v>3</v>
      </c>
      <c r="D1674" s="27"/>
      <c r="E1674" s="23"/>
      <c r="F1674" s="23"/>
      <c r="G1674" s="23"/>
      <c r="H1674" s="23"/>
      <c r="I1674" s="23"/>
      <c r="J1674" s="43"/>
      <c r="K1674" s="43"/>
      <c r="L1674" s="43"/>
      <c r="M1674" s="43"/>
      <c r="N1674" s="53"/>
      <c r="O1674" s="43"/>
      <c r="P1674" s="43"/>
      <c r="Q1674" s="43"/>
      <c r="R1674" s="43"/>
      <c r="S1674" s="51"/>
    </row>
    <row r="1675" spans="1:19" ht="21" customHeight="1" x14ac:dyDescent="0.25">
      <c r="A1675" s="54" t="s">
        <v>703</v>
      </c>
      <c r="B1675" s="65" t="s">
        <v>135</v>
      </c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</row>
    <row r="1676" spans="1:19" ht="18" customHeight="1" x14ac:dyDescent="0.25">
      <c r="A1676" s="54"/>
      <c r="B1676" s="56" t="s">
        <v>6</v>
      </c>
      <c r="C1676" s="56"/>
      <c r="D1676" s="16">
        <f t="shared" ref="D1676" si="408">SUM(D1677:D1680)</f>
        <v>476939.19400000002</v>
      </c>
      <c r="E1676" s="16">
        <f>E1684+E1692+E1700+E1708+E1716+E1724+E1732+E1740+E1748</f>
        <v>300799.79399999999</v>
      </c>
      <c r="F1676" s="16">
        <f t="shared" ref="F1676:G1676" si="409">F1684+F1692+F1700+F1708+F1716+F1724+F1732+F1740+F1748</f>
        <v>85503</v>
      </c>
      <c r="G1676" s="16">
        <f t="shared" si="409"/>
        <v>90636.4</v>
      </c>
      <c r="H1676" s="16"/>
      <c r="I1676" s="16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</row>
    <row r="1677" spans="1:19" ht="18" customHeight="1" x14ac:dyDescent="0.25">
      <c r="A1677" s="54"/>
      <c r="B1677" s="56" t="s">
        <v>0</v>
      </c>
      <c r="C1677" s="56"/>
      <c r="D1677" s="16">
        <f>E1677+F1677+G1677+H1677</f>
        <v>148223</v>
      </c>
      <c r="E1677" s="16">
        <f t="shared" ref="E1677:G1679" si="410">E1685+E1693+E1701+E1709+E1717+E1725+E1733+E1741+E1749</f>
        <v>40901</v>
      </c>
      <c r="F1677" s="16">
        <f t="shared" si="410"/>
        <v>51302</v>
      </c>
      <c r="G1677" s="16">
        <f t="shared" si="410"/>
        <v>56020</v>
      </c>
      <c r="H1677" s="16"/>
      <c r="I1677" s="16"/>
      <c r="J1677" s="26"/>
      <c r="K1677" s="26"/>
      <c r="L1677" s="26"/>
      <c r="M1677" s="26"/>
      <c r="N1677" s="26"/>
      <c r="O1677" s="26"/>
      <c r="P1677" s="26"/>
      <c r="Q1677" s="26"/>
      <c r="R1677" s="26"/>
      <c r="S1677" s="26"/>
    </row>
    <row r="1678" spans="1:19" ht="18" customHeight="1" x14ac:dyDescent="0.25">
      <c r="A1678" s="54"/>
      <c r="B1678" s="56" t="s">
        <v>1</v>
      </c>
      <c r="C1678" s="56"/>
      <c r="D1678" s="16">
        <f>SUM(E1678:I1678)</f>
        <v>327627.19400000002</v>
      </c>
      <c r="E1678" s="16">
        <f t="shared" si="410"/>
        <v>258809.79400000002</v>
      </c>
      <c r="F1678" s="16">
        <f t="shared" si="410"/>
        <v>34201</v>
      </c>
      <c r="G1678" s="16">
        <f t="shared" si="410"/>
        <v>34616.400000000001</v>
      </c>
      <c r="H1678" s="16"/>
      <c r="I1678" s="16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</row>
    <row r="1679" spans="1:19" ht="18" customHeight="1" x14ac:dyDescent="0.25">
      <c r="A1679" s="54"/>
      <c r="B1679" s="56" t="s">
        <v>2</v>
      </c>
      <c r="C1679" s="56"/>
      <c r="D1679" s="16">
        <f>SUM(E1679:I1679)</f>
        <v>1089</v>
      </c>
      <c r="E1679" s="16">
        <f t="shared" si="410"/>
        <v>1089</v>
      </c>
      <c r="F1679" s="16"/>
      <c r="G1679" s="16"/>
      <c r="H1679" s="16"/>
      <c r="I1679" s="16"/>
      <c r="J1679" s="26"/>
      <c r="K1679" s="26"/>
      <c r="L1679" s="26"/>
      <c r="M1679" s="26"/>
      <c r="N1679" s="26"/>
      <c r="O1679" s="26"/>
      <c r="P1679" s="26"/>
      <c r="Q1679" s="26"/>
      <c r="R1679" s="26"/>
      <c r="S1679" s="26"/>
    </row>
    <row r="1680" spans="1:19" ht="18" customHeight="1" x14ac:dyDescent="0.25">
      <c r="A1680" s="54"/>
      <c r="B1680" s="56" t="s">
        <v>3</v>
      </c>
      <c r="C1680" s="56"/>
      <c r="D1680" s="28"/>
      <c r="E1680" s="16"/>
      <c r="F1680" s="16"/>
      <c r="G1680" s="16"/>
      <c r="H1680" s="16"/>
      <c r="I1680" s="16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</row>
    <row r="1681" spans="1:19" ht="18.75" customHeight="1" x14ac:dyDescent="0.25">
      <c r="A1681" s="37" t="s">
        <v>85</v>
      </c>
      <c r="B1681" s="37"/>
      <c r="C1681" s="37"/>
      <c r="D1681" s="37"/>
      <c r="E1681" s="37"/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</row>
    <row r="1682" spans="1:19" ht="21" customHeight="1" x14ac:dyDescent="0.25">
      <c r="A1682" s="38"/>
      <c r="B1682" s="48" t="s">
        <v>560</v>
      </c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</row>
    <row r="1683" spans="1:19" ht="18.75" customHeight="1" x14ac:dyDescent="0.25">
      <c r="A1683" s="38"/>
      <c r="B1683" s="49" t="s">
        <v>704</v>
      </c>
      <c r="C1683" s="50" t="s">
        <v>341</v>
      </c>
      <c r="D1683" s="50"/>
      <c r="E1683" s="50"/>
      <c r="F1683" s="50"/>
      <c r="G1683" s="50"/>
      <c r="H1683" s="50"/>
      <c r="I1683" s="50"/>
      <c r="J1683" s="43" t="s">
        <v>28</v>
      </c>
      <c r="K1683" s="43" t="s">
        <v>828</v>
      </c>
      <c r="L1683" s="43" t="s">
        <v>86</v>
      </c>
      <c r="M1683" s="43" t="s">
        <v>482</v>
      </c>
      <c r="N1683" s="53" t="s">
        <v>545</v>
      </c>
      <c r="O1683" s="43" t="s">
        <v>12</v>
      </c>
      <c r="P1683" s="43" t="s">
        <v>22</v>
      </c>
      <c r="Q1683" s="43" t="s">
        <v>9</v>
      </c>
      <c r="R1683" s="43" t="s">
        <v>747</v>
      </c>
      <c r="S1683" s="51" t="s">
        <v>746</v>
      </c>
    </row>
    <row r="1684" spans="1:19" ht="18" customHeight="1" x14ac:dyDescent="0.25">
      <c r="A1684" s="38"/>
      <c r="B1684" s="49"/>
      <c r="C1684" s="31" t="s">
        <v>6</v>
      </c>
      <c r="D1684" s="27">
        <f t="shared" ref="D1684" si="411">SUM(D1685:D1688)</f>
        <v>189332.39</v>
      </c>
      <c r="E1684" s="23">
        <f>SUM(E1685:E1688)</f>
        <v>189332.39</v>
      </c>
      <c r="F1684" s="23"/>
      <c r="G1684" s="23"/>
      <c r="H1684" s="23"/>
      <c r="I1684" s="23"/>
      <c r="J1684" s="43"/>
      <c r="K1684" s="43"/>
      <c r="L1684" s="43"/>
      <c r="M1684" s="43"/>
      <c r="N1684" s="53"/>
      <c r="O1684" s="43"/>
      <c r="P1684" s="43"/>
      <c r="Q1684" s="43"/>
      <c r="R1684" s="43"/>
      <c r="S1684" s="51"/>
    </row>
    <row r="1685" spans="1:19" ht="18" customHeight="1" x14ac:dyDescent="0.25">
      <c r="A1685" s="38"/>
      <c r="B1685" s="49"/>
      <c r="C1685" s="31" t="s">
        <v>0</v>
      </c>
      <c r="D1685" s="27"/>
      <c r="E1685" s="23"/>
      <c r="F1685" s="23"/>
      <c r="G1685" s="23"/>
      <c r="H1685" s="23"/>
      <c r="I1685" s="23"/>
      <c r="J1685" s="43"/>
      <c r="K1685" s="43"/>
      <c r="L1685" s="43"/>
      <c r="M1685" s="43"/>
      <c r="N1685" s="53"/>
      <c r="O1685" s="43"/>
      <c r="P1685" s="43"/>
      <c r="Q1685" s="43"/>
      <c r="R1685" s="43"/>
      <c r="S1685" s="51"/>
    </row>
    <row r="1686" spans="1:19" ht="18" customHeight="1" x14ac:dyDescent="0.25">
      <c r="A1686" s="38"/>
      <c r="B1686" s="49"/>
      <c r="C1686" s="31" t="s">
        <v>1</v>
      </c>
      <c r="D1686" s="27">
        <f t="shared" ref="D1686" si="412">SUM(E1686:I1686)</f>
        <v>189332.39</v>
      </c>
      <c r="E1686" s="23">
        <v>189332.39</v>
      </c>
      <c r="F1686" s="23"/>
      <c r="G1686" s="23"/>
      <c r="H1686" s="23"/>
      <c r="I1686" s="23"/>
      <c r="J1686" s="43"/>
      <c r="K1686" s="43"/>
      <c r="L1686" s="43"/>
      <c r="M1686" s="43"/>
      <c r="N1686" s="53"/>
      <c r="O1686" s="43"/>
      <c r="P1686" s="43"/>
      <c r="Q1686" s="43"/>
      <c r="R1686" s="43"/>
      <c r="S1686" s="51"/>
    </row>
    <row r="1687" spans="1:19" ht="18" customHeight="1" x14ac:dyDescent="0.25">
      <c r="A1687" s="38"/>
      <c r="B1687" s="49"/>
      <c r="C1687" s="31" t="s">
        <v>2</v>
      </c>
      <c r="D1687" s="27"/>
      <c r="E1687" s="23"/>
      <c r="F1687" s="23"/>
      <c r="G1687" s="23"/>
      <c r="H1687" s="23"/>
      <c r="I1687" s="23"/>
      <c r="J1687" s="43"/>
      <c r="K1687" s="43"/>
      <c r="L1687" s="43"/>
      <c r="M1687" s="43"/>
      <c r="N1687" s="53"/>
      <c r="O1687" s="43"/>
      <c r="P1687" s="43"/>
      <c r="Q1687" s="43"/>
      <c r="R1687" s="43"/>
      <c r="S1687" s="51"/>
    </row>
    <row r="1688" spans="1:19" ht="18" customHeight="1" x14ac:dyDescent="0.25">
      <c r="A1688" s="38"/>
      <c r="B1688" s="49"/>
      <c r="C1688" s="31" t="s">
        <v>3</v>
      </c>
      <c r="D1688" s="27"/>
      <c r="E1688" s="23"/>
      <c r="F1688" s="23"/>
      <c r="G1688" s="23"/>
      <c r="H1688" s="23"/>
      <c r="I1688" s="23"/>
      <c r="J1688" s="43"/>
      <c r="K1688" s="43"/>
      <c r="L1688" s="43"/>
      <c r="M1688" s="43"/>
      <c r="N1688" s="53"/>
      <c r="O1688" s="43"/>
      <c r="P1688" s="43"/>
      <c r="Q1688" s="43"/>
      <c r="R1688" s="43"/>
      <c r="S1688" s="51"/>
    </row>
    <row r="1689" spans="1:19" ht="18.75" customHeight="1" x14ac:dyDescent="0.25">
      <c r="A1689" s="37" t="s">
        <v>85</v>
      </c>
      <c r="B1689" s="37"/>
      <c r="C1689" s="37"/>
      <c r="D1689" s="37"/>
      <c r="E1689" s="37"/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</row>
    <row r="1690" spans="1:19" ht="21" customHeight="1" x14ac:dyDescent="0.25">
      <c r="A1690" s="38"/>
      <c r="B1690" s="48" t="s">
        <v>560</v>
      </c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</row>
    <row r="1691" spans="1:19" ht="18.75" customHeight="1" x14ac:dyDescent="0.25">
      <c r="A1691" s="38"/>
      <c r="B1691" s="49" t="s">
        <v>705</v>
      </c>
      <c r="C1691" s="50" t="s">
        <v>104</v>
      </c>
      <c r="D1691" s="50"/>
      <c r="E1691" s="50"/>
      <c r="F1691" s="50"/>
      <c r="G1691" s="50"/>
      <c r="H1691" s="50"/>
      <c r="I1691" s="50"/>
      <c r="J1691" s="43" t="s">
        <v>11</v>
      </c>
      <c r="K1691" s="43" t="s">
        <v>819</v>
      </c>
      <c r="L1691" s="43"/>
      <c r="M1691" s="43" t="s">
        <v>85</v>
      </c>
      <c r="N1691" s="53" t="s">
        <v>748</v>
      </c>
      <c r="O1691" s="43"/>
      <c r="P1691" s="43" t="s">
        <v>803</v>
      </c>
      <c r="Q1691" s="43" t="s">
        <v>9</v>
      </c>
      <c r="R1691" s="43" t="s">
        <v>749</v>
      </c>
      <c r="S1691" s="51"/>
    </row>
    <row r="1692" spans="1:19" ht="18" customHeight="1" x14ac:dyDescent="0.25">
      <c r="A1692" s="38"/>
      <c r="B1692" s="49"/>
      <c r="C1692" s="31" t="s">
        <v>6</v>
      </c>
      <c r="D1692" s="27">
        <f t="shared" ref="D1692:G1692" si="413">SUM(D1693:D1696)</f>
        <v>121934.39999999999</v>
      </c>
      <c r="E1692" s="23">
        <f t="shared" si="413"/>
        <v>35043</v>
      </c>
      <c r="F1692" s="23">
        <f t="shared" si="413"/>
        <v>42895</v>
      </c>
      <c r="G1692" s="23">
        <f t="shared" si="413"/>
        <v>43996.4</v>
      </c>
      <c r="H1692" s="23"/>
      <c r="I1692" s="23"/>
      <c r="J1692" s="43"/>
      <c r="K1692" s="43"/>
      <c r="L1692" s="43"/>
      <c r="M1692" s="43"/>
      <c r="N1692" s="53"/>
      <c r="O1692" s="43"/>
      <c r="P1692" s="43"/>
      <c r="Q1692" s="43"/>
      <c r="R1692" s="43"/>
      <c r="S1692" s="51"/>
    </row>
    <row r="1693" spans="1:19" ht="18" customHeight="1" x14ac:dyDescent="0.25">
      <c r="A1693" s="38"/>
      <c r="B1693" s="49"/>
      <c r="C1693" s="31" t="s">
        <v>0</v>
      </c>
      <c r="D1693" s="27">
        <f>E1693+F1693+G1693+H1693+I1693</f>
        <v>73846</v>
      </c>
      <c r="E1693" s="23">
        <v>19624</v>
      </c>
      <c r="F1693" s="23">
        <v>26082</v>
      </c>
      <c r="G1693" s="23">
        <v>28140</v>
      </c>
      <c r="H1693" s="23"/>
      <c r="I1693" s="23"/>
      <c r="J1693" s="43"/>
      <c r="K1693" s="43"/>
      <c r="L1693" s="43"/>
      <c r="M1693" s="43"/>
      <c r="N1693" s="53"/>
      <c r="O1693" s="43"/>
      <c r="P1693" s="43"/>
      <c r="Q1693" s="43"/>
      <c r="R1693" s="43"/>
      <c r="S1693" s="51"/>
    </row>
    <row r="1694" spans="1:19" ht="18" customHeight="1" x14ac:dyDescent="0.25">
      <c r="A1694" s="38"/>
      <c r="B1694" s="49"/>
      <c r="C1694" s="31" t="s">
        <v>1</v>
      </c>
      <c r="D1694" s="27">
        <f t="shared" ref="D1694" si="414">SUM(E1694:I1694)</f>
        <v>48088.4</v>
      </c>
      <c r="E1694" s="23">
        <v>15419</v>
      </c>
      <c r="F1694" s="23">
        <v>16813</v>
      </c>
      <c r="G1694" s="23">
        <v>15856.4</v>
      </c>
      <c r="H1694" s="23"/>
      <c r="I1694" s="23"/>
      <c r="J1694" s="43"/>
      <c r="K1694" s="43"/>
      <c r="L1694" s="43"/>
      <c r="M1694" s="43"/>
      <c r="N1694" s="53"/>
      <c r="O1694" s="43"/>
      <c r="P1694" s="43"/>
      <c r="Q1694" s="43"/>
      <c r="R1694" s="43"/>
      <c r="S1694" s="51"/>
    </row>
    <row r="1695" spans="1:19" ht="18" customHeight="1" x14ac:dyDescent="0.25">
      <c r="A1695" s="38"/>
      <c r="B1695" s="49"/>
      <c r="C1695" s="31" t="s">
        <v>2</v>
      </c>
      <c r="D1695" s="27"/>
      <c r="E1695" s="23"/>
      <c r="F1695" s="23"/>
      <c r="G1695" s="23"/>
      <c r="H1695" s="23"/>
      <c r="I1695" s="23"/>
      <c r="J1695" s="43"/>
      <c r="K1695" s="43"/>
      <c r="L1695" s="43"/>
      <c r="M1695" s="43"/>
      <c r="N1695" s="53"/>
      <c r="O1695" s="43"/>
      <c r="P1695" s="43"/>
      <c r="Q1695" s="43"/>
      <c r="R1695" s="43"/>
      <c r="S1695" s="51"/>
    </row>
    <row r="1696" spans="1:19" ht="18" customHeight="1" x14ac:dyDescent="0.25">
      <c r="A1696" s="38"/>
      <c r="B1696" s="49"/>
      <c r="C1696" s="31" t="s">
        <v>3</v>
      </c>
      <c r="D1696" s="27"/>
      <c r="E1696" s="23"/>
      <c r="F1696" s="23"/>
      <c r="G1696" s="23"/>
      <c r="H1696" s="23"/>
      <c r="I1696" s="23"/>
      <c r="J1696" s="43"/>
      <c r="K1696" s="43"/>
      <c r="L1696" s="43"/>
      <c r="M1696" s="43"/>
      <c r="N1696" s="53"/>
      <c r="O1696" s="43"/>
      <c r="P1696" s="43"/>
      <c r="Q1696" s="43"/>
      <c r="R1696" s="43"/>
      <c r="S1696" s="51"/>
    </row>
    <row r="1697" spans="1:19" ht="18.75" customHeight="1" x14ac:dyDescent="0.25">
      <c r="A1697" s="37" t="s">
        <v>85</v>
      </c>
      <c r="B1697" s="37"/>
      <c r="C1697" s="37"/>
      <c r="D1697" s="37"/>
      <c r="E1697" s="37"/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</row>
    <row r="1698" spans="1:19" ht="21" customHeight="1" x14ac:dyDescent="0.25">
      <c r="A1698" s="38"/>
      <c r="B1698" s="48" t="s">
        <v>560</v>
      </c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</row>
    <row r="1699" spans="1:19" ht="18.75" customHeight="1" x14ac:dyDescent="0.25">
      <c r="A1699" s="38"/>
      <c r="B1699" s="49" t="s">
        <v>706</v>
      </c>
      <c r="C1699" s="50" t="s">
        <v>105</v>
      </c>
      <c r="D1699" s="50"/>
      <c r="E1699" s="50"/>
      <c r="F1699" s="50"/>
      <c r="G1699" s="50"/>
      <c r="H1699" s="50"/>
      <c r="I1699" s="50"/>
      <c r="J1699" s="43" t="s">
        <v>66</v>
      </c>
      <c r="K1699" s="43" t="s">
        <v>819</v>
      </c>
      <c r="L1699" s="43"/>
      <c r="M1699" s="43" t="s">
        <v>85</v>
      </c>
      <c r="N1699" s="53" t="s">
        <v>546</v>
      </c>
      <c r="O1699" s="43"/>
      <c r="P1699" s="43" t="s">
        <v>803</v>
      </c>
      <c r="Q1699" s="43" t="s">
        <v>9</v>
      </c>
      <c r="R1699" s="43" t="s">
        <v>749</v>
      </c>
      <c r="S1699" s="51"/>
    </row>
    <row r="1700" spans="1:19" ht="18" customHeight="1" x14ac:dyDescent="0.25">
      <c r="A1700" s="38"/>
      <c r="B1700" s="49"/>
      <c r="C1700" s="31" t="s">
        <v>6</v>
      </c>
      <c r="D1700" s="27">
        <f t="shared" ref="D1700:G1700" si="415">SUM(D1701:D1704)</f>
        <v>125457</v>
      </c>
      <c r="E1700" s="23">
        <f t="shared" si="415"/>
        <v>36209</v>
      </c>
      <c r="F1700" s="23">
        <f t="shared" si="415"/>
        <v>42608</v>
      </c>
      <c r="G1700" s="23">
        <f t="shared" si="415"/>
        <v>46640</v>
      </c>
      <c r="H1700" s="23"/>
      <c r="I1700" s="23"/>
      <c r="J1700" s="43"/>
      <c r="K1700" s="43"/>
      <c r="L1700" s="43"/>
      <c r="M1700" s="43"/>
      <c r="N1700" s="53"/>
      <c r="O1700" s="43"/>
      <c r="P1700" s="43"/>
      <c r="Q1700" s="43"/>
      <c r="R1700" s="43"/>
      <c r="S1700" s="51"/>
    </row>
    <row r="1701" spans="1:19" ht="18" customHeight="1" x14ac:dyDescent="0.25">
      <c r="A1701" s="38"/>
      <c r="B1701" s="49"/>
      <c r="C1701" s="31" t="s">
        <v>0</v>
      </c>
      <c r="D1701" s="27">
        <f>E1701+F1701+G1701+H1701+I1701</f>
        <v>73377</v>
      </c>
      <c r="E1701" s="23">
        <v>20277</v>
      </c>
      <c r="F1701" s="23">
        <v>25220</v>
      </c>
      <c r="G1701" s="23">
        <v>27880</v>
      </c>
      <c r="H1701" s="23"/>
      <c r="I1701" s="23"/>
      <c r="J1701" s="43"/>
      <c r="K1701" s="43"/>
      <c r="L1701" s="43"/>
      <c r="M1701" s="43"/>
      <c r="N1701" s="53"/>
      <c r="O1701" s="43"/>
      <c r="P1701" s="43"/>
      <c r="Q1701" s="43"/>
      <c r="R1701" s="43"/>
      <c r="S1701" s="51"/>
    </row>
    <row r="1702" spans="1:19" ht="18" customHeight="1" x14ac:dyDescent="0.25">
      <c r="A1702" s="38"/>
      <c r="B1702" s="49"/>
      <c r="C1702" s="31" t="s">
        <v>1</v>
      </c>
      <c r="D1702" s="27">
        <f t="shared" ref="D1702" si="416">SUM(E1702:I1702)</f>
        <v>52080</v>
      </c>
      <c r="E1702" s="23">
        <v>15932</v>
      </c>
      <c r="F1702" s="23">
        <v>17388</v>
      </c>
      <c r="G1702" s="23">
        <v>18760</v>
      </c>
      <c r="H1702" s="23"/>
      <c r="I1702" s="23"/>
      <c r="J1702" s="43"/>
      <c r="K1702" s="43"/>
      <c r="L1702" s="43"/>
      <c r="M1702" s="43"/>
      <c r="N1702" s="53"/>
      <c r="O1702" s="43"/>
      <c r="P1702" s="43"/>
      <c r="Q1702" s="43"/>
      <c r="R1702" s="43"/>
      <c r="S1702" s="51"/>
    </row>
    <row r="1703" spans="1:19" ht="18" customHeight="1" x14ac:dyDescent="0.25">
      <c r="A1703" s="38"/>
      <c r="B1703" s="49"/>
      <c r="C1703" s="31" t="s">
        <v>2</v>
      </c>
      <c r="D1703" s="27"/>
      <c r="E1703" s="23"/>
      <c r="F1703" s="23"/>
      <c r="G1703" s="23"/>
      <c r="H1703" s="23"/>
      <c r="I1703" s="23"/>
      <c r="J1703" s="43"/>
      <c r="K1703" s="43"/>
      <c r="L1703" s="43"/>
      <c r="M1703" s="43"/>
      <c r="N1703" s="53"/>
      <c r="O1703" s="43"/>
      <c r="P1703" s="43"/>
      <c r="Q1703" s="43"/>
      <c r="R1703" s="43"/>
      <c r="S1703" s="51"/>
    </row>
    <row r="1704" spans="1:19" ht="18" customHeight="1" x14ac:dyDescent="0.25">
      <c r="A1704" s="38"/>
      <c r="B1704" s="49"/>
      <c r="C1704" s="31" t="s">
        <v>3</v>
      </c>
      <c r="D1704" s="27"/>
      <c r="E1704" s="23"/>
      <c r="F1704" s="23"/>
      <c r="G1704" s="23"/>
      <c r="H1704" s="23"/>
      <c r="I1704" s="23"/>
      <c r="J1704" s="43"/>
      <c r="K1704" s="43"/>
      <c r="L1704" s="43"/>
      <c r="M1704" s="43"/>
      <c r="N1704" s="53"/>
      <c r="O1704" s="43"/>
      <c r="P1704" s="43"/>
      <c r="Q1704" s="43"/>
      <c r="R1704" s="43"/>
      <c r="S1704" s="51"/>
    </row>
    <row r="1705" spans="1:19" ht="18.75" customHeight="1" x14ac:dyDescent="0.25">
      <c r="A1705" s="37" t="s">
        <v>85</v>
      </c>
      <c r="B1705" s="37"/>
      <c r="C1705" s="37"/>
      <c r="D1705" s="37"/>
      <c r="E1705" s="37"/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</row>
    <row r="1706" spans="1:19" ht="21" customHeight="1" x14ac:dyDescent="0.25">
      <c r="A1706" s="38"/>
      <c r="B1706" s="48" t="s">
        <v>560</v>
      </c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</row>
    <row r="1707" spans="1:19" ht="18.75" customHeight="1" x14ac:dyDescent="0.25">
      <c r="A1707" s="38"/>
      <c r="B1707" s="49" t="s">
        <v>707</v>
      </c>
      <c r="C1707" s="50" t="s">
        <v>175</v>
      </c>
      <c r="D1707" s="50"/>
      <c r="E1707" s="50"/>
      <c r="F1707" s="50"/>
      <c r="G1707" s="50"/>
      <c r="H1707" s="50"/>
      <c r="I1707" s="50"/>
      <c r="J1707" s="43" t="s">
        <v>15</v>
      </c>
      <c r="K1707" s="43" t="s">
        <v>828</v>
      </c>
      <c r="L1707" s="43" t="s">
        <v>87</v>
      </c>
      <c r="M1707" s="43" t="s">
        <v>547</v>
      </c>
      <c r="N1707" s="53" t="s">
        <v>750</v>
      </c>
      <c r="O1707" s="43" t="s">
        <v>12</v>
      </c>
      <c r="P1707" s="43" t="s">
        <v>18</v>
      </c>
      <c r="Q1707" s="43" t="s">
        <v>44</v>
      </c>
      <c r="R1707" s="43" t="s">
        <v>751</v>
      </c>
      <c r="S1707" s="51" t="s">
        <v>752</v>
      </c>
    </row>
    <row r="1708" spans="1:19" ht="18" customHeight="1" x14ac:dyDescent="0.25">
      <c r="A1708" s="38"/>
      <c r="B1708" s="49"/>
      <c r="C1708" s="31" t="s">
        <v>6</v>
      </c>
      <c r="D1708" s="27">
        <f t="shared" ref="D1708:E1708" si="417">SUM(D1709:D1712)</f>
        <v>2731.5</v>
      </c>
      <c r="E1708" s="23">
        <f t="shared" si="417"/>
        <v>2731.5</v>
      </c>
      <c r="F1708" s="23"/>
      <c r="G1708" s="23"/>
      <c r="H1708" s="23"/>
      <c r="I1708" s="23"/>
      <c r="J1708" s="43"/>
      <c r="K1708" s="43"/>
      <c r="L1708" s="43"/>
      <c r="M1708" s="43"/>
      <c r="N1708" s="53"/>
      <c r="O1708" s="43"/>
      <c r="P1708" s="43"/>
      <c r="Q1708" s="43"/>
      <c r="R1708" s="43"/>
      <c r="S1708" s="51"/>
    </row>
    <row r="1709" spans="1:19" ht="18" customHeight="1" x14ac:dyDescent="0.25">
      <c r="A1709" s="38"/>
      <c r="B1709" s="49"/>
      <c r="C1709" s="31" t="s">
        <v>0</v>
      </c>
      <c r="D1709" s="27"/>
      <c r="E1709" s="23"/>
      <c r="F1709" s="23"/>
      <c r="G1709" s="23"/>
      <c r="H1709" s="23"/>
      <c r="I1709" s="23"/>
      <c r="J1709" s="43"/>
      <c r="K1709" s="43"/>
      <c r="L1709" s="43"/>
      <c r="M1709" s="43"/>
      <c r="N1709" s="53"/>
      <c r="O1709" s="43"/>
      <c r="P1709" s="43"/>
      <c r="Q1709" s="43"/>
      <c r="R1709" s="43"/>
      <c r="S1709" s="51"/>
    </row>
    <row r="1710" spans="1:19" ht="18" customHeight="1" x14ac:dyDescent="0.25">
      <c r="A1710" s="38"/>
      <c r="B1710" s="49"/>
      <c r="C1710" s="31" t="s">
        <v>1</v>
      </c>
      <c r="D1710" s="27">
        <f t="shared" ref="D1710:D1711" si="418">SUM(E1710:I1710)</f>
        <v>2592.5</v>
      </c>
      <c r="E1710" s="23">
        <v>2592.5</v>
      </c>
      <c r="F1710" s="23"/>
      <c r="G1710" s="23"/>
      <c r="H1710" s="23"/>
      <c r="I1710" s="23"/>
      <c r="J1710" s="43"/>
      <c r="K1710" s="43"/>
      <c r="L1710" s="43"/>
      <c r="M1710" s="43"/>
      <c r="N1710" s="53"/>
      <c r="O1710" s="43"/>
      <c r="P1710" s="43"/>
      <c r="Q1710" s="43"/>
      <c r="R1710" s="43"/>
      <c r="S1710" s="51"/>
    </row>
    <row r="1711" spans="1:19" ht="18" customHeight="1" x14ac:dyDescent="0.25">
      <c r="A1711" s="38"/>
      <c r="B1711" s="49"/>
      <c r="C1711" s="31" t="s">
        <v>2</v>
      </c>
      <c r="D1711" s="27">
        <f t="shared" si="418"/>
        <v>139</v>
      </c>
      <c r="E1711" s="23">
        <v>139</v>
      </c>
      <c r="F1711" s="23"/>
      <c r="G1711" s="23"/>
      <c r="H1711" s="23"/>
      <c r="I1711" s="23"/>
      <c r="J1711" s="43"/>
      <c r="K1711" s="43"/>
      <c r="L1711" s="43"/>
      <c r="M1711" s="43"/>
      <c r="N1711" s="53"/>
      <c r="O1711" s="43"/>
      <c r="P1711" s="43"/>
      <c r="Q1711" s="43"/>
      <c r="R1711" s="43"/>
      <c r="S1711" s="51"/>
    </row>
    <row r="1712" spans="1:19" ht="18" customHeight="1" x14ac:dyDescent="0.25">
      <c r="A1712" s="38"/>
      <c r="B1712" s="49"/>
      <c r="C1712" s="31" t="s">
        <v>3</v>
      </c>
      <c r="D1712" s="27"/>
      <c r="E1712" s="23"/>
      <c r="F1712" s="23"/>
      <c r="G1712" s="23"/>
      <c r="H1712" s="23"/>
      <c r="I1712" s="23"/>
      <c r="J1712" s="43"/>
      <c r="K1712" s="43"/>
      <c r="L1712" s="43"/>
      <c r="M1712" s="43"/>
      <c r="N1712" s="53"/>
      <c r="O1712" s="43"/>
      <c r="P1712" s="43"/>
      <c r="Q1712" s="43"/>
      <c r="R1712" s="43"/>
      <c r="S1712" s="51"/>
    </row>
    <row r="1713" spans="1:19" ht="18.75" customHeight="1" x14ac:dyDescent="0.25">
      <c r="A1713" s="37" t="s">
        <v>85</v>
      </c>
      <c r="B1713" s="37"/>
      <c r="C1713" s="37"/>
      <c r="D1713" s="37"/>
      <c r="E1713" s="37"/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</row>
    <row r="1714" spans="1:19" ht="21" customHeight="1" x14ac:dyDescent="0.25">
      <c r="A1714" s="38"/>
      <c r="B1714" s="48" t="s">
        <v>560</v>
      </c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</row>
    <row r="1715" spans="1:19" ht="36.75" customHeight="1" x14ac:dyDescent="0.25">
      <c r="A1715" s="38"/>
      <c r="B1715" s="49" t="s">
        <v>708</v>
      </c>
      <c r="C1715" s="50" t="s">
        <v>176</v>
      </c>
      <c r="D1715" s="50"/>
      <c r="E1715" s="50"/>
      <c r="F1715" s="50"/>
      <c r="G1715" s="50"/>
      <c r="H1715" s="50"/>
      <c r="I1715" s="50"/>
      <c r="J1715" s="43" t="s">
        <v>15</v>
      </c>
      <c r="K1715" s="43" t="s">
        <v>828</v>
      </c>
      <c r="L1715" s="43" t="s">
        <v>87</v>
      </c>
      <c r="M1715" s="43" t="s">
        <v>548</v>
      </c>
      <c r="N1715" s="53" t="s">
        <v>515</v>
      </c>
      <c r="O1715" s="43" t="s">
        <v>12</v>
      </c>
      <c r="P1715" s="43" t="s">
        <v>88</v>
      </c>
      <c r="Q1715" s="43" t="s">
        <v>44</v>
      </c>
      <c r="R1715" s="43" t="s">
        <v>749</v>
      </c>
      <c r="S1715" s="51" t="s">
        <v>753</v>
      </c>
    </row>
    <row r="1716" spans="1:19" ht="18" customHeight="1" x14ac:dyDescent="0.25">
      <c r="A1716" s="38"/>
      <c r="B1716" s="49"/>
      <c r="C1716" s="31" t="s">
        <v>6</v>
      </c>
      <c r="D1716" s="27">
        <f t="shared" ref="D1716:E1716" si="419">SUM(D1717:D1720)</f>
        <v>20000</v>
      </c>
      <c r="E1716" s="23">
        <f t="shared" si="419"/>
        <v>20000</v>
      </c>
      <c r="F1716" s="23"/>
      <c r="G1716" s="23"/>
      <c r="H1716" s="23"/>
      <c r="I1716" s="23"/>
      <c r="J1716" s="43"/>
      <c r="K1716" s="43"/>
      <c r="L1716" s="43"/>
      <c r="M1716" s="43"/>
      <c r="N1716" s="53"/>
      <c r="O1716" s="43"/>
      <c r="P1716" s="43"/>
      <c r="Q1716" s="43"/>
      <c r="R1716" s="43"/>
      <c r="S1716" s="51"/>
    </row>
    <row r="1717" spans="1:19" ht="18" customHeight="1" x14ac:dyDescent="0.25">
      <c r="A1717" s="38"/>
      <c r="B1717" s="49"/>
      <c r="C1717" s="31" t="s">
        <v>0</v>
      </c>
      <c r="D1717" s="27">
        <f>E1717</f>
        <v>1000</v>
      </c>
      <c r="E1717" s="23">
        <v>1000</v>
      </c>
      <c r="F1717" s="23"/>
      <c r="G1717" s="23"/>
      <c r="H1717" s="23"/>
      <c r="I1717" s="23"/>
      <c r="J1717" s="43"/>
      <c r="K1717" s="43"/>
      <c r="L1717" s="43"/>
      <c r="M1717" s="43"/>
      <c r="N1717" s="53"/>
      <c r="O1717" s="43"/>
      <c r="P1717" s="43"/>
      <c r="Q1717" s="43"/>
      <c r="R1717" s="43"/>
      <c r="S1717" s="51"/>
    </row>
    <row r="1718" spans="1:19" ht="18" customHeight="1" x14ac:dyDescent="0.25">
      <c r="A1718" s="38"/>
      <c r="B1718" s="49"/>
      <c r="C1718" s="31" t="s">
        <v>1</v>
      </c>
      <c r="D1718" s="27">
        <f t="shared" ref="D1718:D1719" si="420">SUM(E1718:I1718)</f>
        <v>18050</v>
      </c>
      <c r="E1718" s="23">
        <v>18050</v>
      </c>
      <c r="F1718" s="23"/>
      <c r="G1718" s="23"/>
      <c r="H1718" s="23"/>
      <c r="I1718" s="23"/>
      <c r="J1718" s="43"/>
      <c r="K1718" s="43"/>
      <c r="L1718" s="43"/>
      <c r="M1718" s="43"/>
      <c r="N1718" s="53"/>
      <c r="O1718" s="43"/>
      <c r="P1718" s="43"/>
      <c r="Q1718" s="43"/>
      <c r="R1718" s="43"/>
      <c r="S1718" s="51"/>
    </row>
    <row r="1719" spans="1:19" ht="18" customHeight="1" x14ac:dyDescent="0.25">
      <c r="A1719" s="38"/>
      <c r="B1719" s="49"/>
      <c r="C1719" s="31" t="s">
        <v>2</v>
      </c>
      <c r="D1719" s="27">
        <f t="shared" si="420"/>
        <v>950</v>
      </c>
      <c r="E1719" s="23">
        <v>950</v>
      </c>
      <c r="F1719" s="23"/>
      <c r="G1719" s="23"/>
      <c r="H1719" s="23"/>
      <c r="I1719" s="23"/>
      <c r="J1719" s="43"/>
      <c r="K1719" s="43"/>
      <c r="L1719" s="43"/>
      <c r="M1719" s="43"/>
      <c r="N1719" s="53"/>
      <c r="O1719" s="43"/>
      <c r="P1719" s="43"/>
      <c r="Q1719" s="43"/>
      <c r="R1719" s="43"/>
      <c r="S1719" s="51"/>
    </row>
    <row r="1720" spans="1:19" ht="18" customHeight="1" x14ac:dyDescent="0.25">
      <c r="A1720" s="38"/>
      <c r="B1720" s="49"/>
      <c r="C1720" s="31" t="s">
        <v>3</v>
      </c>
      <c r="D1720" s="27"/>
      <c r="E1720" s="23"/>
      <c r="F1720" s="23"/>
      <c r="G1720" s="23"/>
      <c r="H1720" s="23"/>
      <c r="I1720" s="23"/>
      <c r="J1720" s="43"/>
      <c r="K1720" s="43"/>
      <c r="L1720" s="43"/>
      <c r="M1720" s="43"/>
      <c r="N1720" s="53"/>
      <c r="O1720" s="43"/>
      <c r="P1720" s="43"/>
      <c r="Q1720" s="43"/>
      <c r="R1720" s="43"/>
      <c r="S1720" s="51"/>
    </row>
    <row r="1721" spans="1:19" ht="18.75" customHeight="1" x14ac:dyDescent="0.25">
      <c r="A1721" s="37" t="s">
        <v>95</v>
      </c>
      <c r="B1721" s="37"/>
      <c r="C1721" s="37"/>
      <c r="D1721" s="37"/>
      <c r="E1721" s="37"/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</row>
    <row r="1722" spans="1:19" ht="21" customHeight="1" x14ac:dyDescent="0.25">
      <c r="A1722" s="38"/>
      <c r="B1722" s="48" t="s">
        <v>559</v>
      </c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</row>
    <row r="1723" spans="1:19" ht="18.75" customHeight="1" x14ac:dyDescent="0.25">
      <c r="A1723" s="38"/>
      <c r="B1723" s="49" t="s">
        <v>709</v>
      </c>
      <c r="C1723" s="50" t="s">
        <v>193</v>
      </c>
      <c r="D1723" s="50"/>
      <c r="E1723" s="50"/>
      <c r="F1723" s="50"/>
      <c r="G1723" s="50"/>
      <c r="H1723" s="50"/>
      <c r="I1723" s="50"/>
      <c r="J1723" s="43" t="s">
        <v>15</v>
      </c>
      <c r="K1723" s="43" t="s">
        <v>821</v>
      </c>
      <c r="L1723" s="43" t="s">
        <v>96</v>
      </c>
      <c r="M1723" s="43" t="s">
        <v>95</v>
      </c>
      <c r="N1723" s="53" t="s">
        <v>549</v>
      </c>
      <c r="O1723" s="43" t="s">
        <v>17</v>
      </c>
      <c r="P1723" s="43" t="s">
        <v>803</v>
      </c>
      <c r="Q1723" s="43" t="s">
        <v>44</v>
      </c>
      <c r="R1723" s="43"/>
      <c r="S1723" s="51"/>
    </row>
    <row r="1724" spans="1:19" ht="18" customHeight="1" x14ac:dyDescent="0.25">
      <c r="A1724" s="38"/>
      <c r="B1724" s="49"/>
      <c r="C1724" s="31" t="s">
        <v>6</v>
      </c>
      <c r="D1724" s="27">
        <f t="shared" ref="D1724:E1724" si="421">SUM(D1725:D1728)</f>
        <v>1270</v>
      </c>
      <c r="E1724" s="23">
        <f t="shared" si="421"/>
        <v>1270</v>
      </c>
      <c r="F1724" s="23"/>
      <c r="G1724" s="23"/>
      <c r="H1724" s="23"/>
      <c r="I1724" s="23"/>
      <c r="J1724" s="43"/>
      <c r="K1724" s="43"/>
      <c r="L1724" s="43"/>
      <c r="M1724" s="43"/>
      <c r="N1724" s="53"/>
      <c r="O1724" s="43"/>
      <c r="P1724" s="43"/>
      <c r="Q1724" s="43"/>
      <c r="R1724" s="43"/>
      <c r="S1724" s="51"/>
    </row>
    <row r="1725" spans="1:19" ht="18" customHeight="1" x14ac:dyDescent="0.25">
      <c r="A1725" s="38"/>
      <c r="B1725" s="49"/>
      <c r="C1725" s="31" t="s">
        <v>0</v>
      </c>
      <c r="D1725" s="27"/>
      <c r="E1725" s="23"/>
      <c r="F1725" s="23"/>
      <c r="G1725" s="23"/>
      <c r="H1725" s="23"/>
      <c r="I1725" s="23"/>
      <c r="J1725" s="43"/>
      <c r="K1725" s="43"/>
      <c r="L1725" s="43"/>
      <c r="M1725" s="43"/>
      <c r="N1725" s="53"/>
      <c r="O1725" s="43"/>
      <c r="P1725" s="43"/>
      <c r="Q1725" s="43"/>
      <c r="R1725" s="43"/>
      <c r="S1725" s="51"/>
    </row>
    <row r="1726" spans="1:19" ht="18" customHeight="1" x14ac:dyDescent="0.25">
      <c r="A1726" s="38"/>
      <c r="B1726" s="49"/>
      <c r="C1726" s="31" t="s">
        <v>1</v>
      </c>
      <c r="D1726" s="27">
        <f>SUM(E1726:I1726)</f>
        <v>1270</v>
      </c>
      <c r="E1726" s="23">
        <f>970+300</f>
        <v>1270</v>
      </c>
      <c r="F1726" s="23"/>
      <c r="G1726" s="23"/>
      <c r="H1726" s="23"/>
      <c r="I1726" s="23"/>
      <c r="J1726" s="43"/>
      <c r="K1726" s="43"/>
      <c r="L1726" s="43"/>
      <c r="M1726" s="43"/>
      <c r="N1726" s="53"/>
      <c r="O1726" s="43"/>
      <c r="P1726" s="43"/>
      <c r="Q1726" s="43"/>
      <c r="R1726" s="43"/>
      <c r="S1726" s="51"/>
    </row>
    <row r="1727" spans="1:19" ht="18" customHeight="1" x14ac:dyDescent="0.25">
      <c r="A1727" s="38"/>
      <c r="B1727" s="49"/>
      <c r="C1727" s="31" t="s">
        <v>2</v>
      </c>
      <c r="D1727" s="27"/>
      <c r="E1727" s="23"/>
      <c r="F1727" s="23"/>
      <c r="G1727" s="23"/>
      <c r="H1727" s="23"/>
      <c r="I1727" s="23"/>
      <c r="J1727" s="43"/>
      <c r="K1727" s="43"/>
      <c r="L1727" s="43"/>
      <c r="M1727" s="43"/>
      <c r="N1727" s="53"/>
      <c r="O1727" s="43"/>
      <c r="P1727" s="43"/>
      <c r="Q1727" s="43"/>
      <c r="R1727" s="43"/>
      <c r="S1727" s="51"/>
    </row>
    <row r="1728" spans="1:19" ht="18" customHeight="1" x14ac:dyDescent="0.25">
      <c r="A1728" s="38"/>
      <c r="B1728" s="49"/>
      <c r="C1728" s="31" t="s">
        <v>3</v>
      </c>
      <c r="D1728" s="27"/>
      <c r="E1728" s="23"/>
      <c r="F1728" s="23"/>
      <c r="G1728" s="23"/>
      <c r="H1728" s="23"/>
      <c r="I1728" s="23"/>
      <c r="J1728" s="43"/>
      <c r="K1728" s="43"/>
      <c r="L1728" s="43"/>
      <c r="M1728" s="43"/>
      <c r="N1728" s="53"/>
      <c r="O1728" s="43"/>
      <c r="P1728" s="43"/>
      <c r="Q1728" s="43"/>
      <c r="R1728" s="43"/>
      <c r="S1728" s="51"/>
    </row>
    <row r="1729" spans="1:19" ht="18.75" customHeight="1" x14ac:dyDescent="0.25">
      <c r="A1729" s="37" t="s">
        <v>95</v>
      </c>
      <c r="B1729" s="37"/>
      <c r="C1729" s="37"/>
      <c r="D1729" s="37"/>
      <c r="E1729" s="37"/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</row>
    <row r="1730" spans="1:19" ht="21" customHeight="1" x14ac:dyDescent="0.25">
      <c r="A1730" s="38"/>
      <c r="B1730" s="48" t="s">
        <v>559</v>
      </c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</row>
    <row r="1731" spans="1:19" ht="18.75" customHeight="1" x14ac:dyDescent="0.25">
      <c r="A1731" s="38"/>
      <c r="B1731" s="49" t="s">
        <v>710</v>
      </c>
      <c r="C1731" s="50" t="s">
        <v>138</v>
      </c>
      <c r="D1731" s="50"/>
      <c r="E1731" s="50"/>
      <c r="F1731" s="50"/>
      <c r="G1731" s="50"/>
      <c r="H1731" s="50"/>
      <c r="I1731" s="50"/>
      <c r="J1731" s="43" t="s">
        <v>15</v>
      </c>
      <c r="K1731" s="43" t="s">
        <v>832</v>
      </c>
      <c r="L1731" s="43"/>
      <c r="M1731" s="43" t="s">
        <v>97</v>
      </c>
      <c r="N1731" s="53" t="s">
        <v>550</v>
      </c>
      <c r="O1731" s="43" t="s">
        <v>17</v>
      </c>
      <c r="P1731" s="43" t="s">
        <v>18</v>
      </c>
      <c r="Q1731" s="43" t="s">
        <v>44</v>
      </c>
      <c r="R1731" s="43"/>
      <c r="S1731" s="51"/>
    </row>
    <row r="1732" spans="1:19" ht="18" customHeight="1" x14ac:dyDescent="0.25">
      <c r="A1732" s="38"/>
      <c r="B1732" s="49"/>
      <c r="C1732" s="31" t="s">
        <v>6</v>
      </c>
      <c r="D1732" s="27">
        <f t="shared" ref="D1732:E1732" si="422">SUM(D1733:D1736)</f>
        <v>6294</v>
      </c>
      <c r="E1732" s="23">
        <f t="shared" si="422"/>
        <v>6294</v>
      </c>
      <c r="F1732" s="23"/>
      <c r="G1732" s="23"/>
      <c r="H1732" s="23"/>
      <c r="I1732" s="23"/>
      <c r="J1732" s="43"/>
      <c r="K1732" s="43"/>
      <c r="L1732" s="43"/>
      <c r="M1732" s="43"/>
      <c r="N1732" s="53"/>
      <c r="O1732" s="43"/>
      <c r="P1732" s="43"/>
      <c r="Q1732" s="43"/>
      <c r="R1732" s="43"/>
      <c r="S1732" s="51"/>
    </row>
    <row r="1733" spans="1:19" ht="18" customHeight="1" x14ac:dyDescent="0.25">
      <c r="A1733" s="38"/>
      <c r="B1733" s="49"/>
      <c r="C1733" s="31" t="s">
        <v>0</v>
      </c>
      <c r="D1733" s="27"/>
      <c r="E1733" s="23"/>
      <c r="F1733" s="23"/>
      <c r="G1733" s="23"/>
      <c r="H1733" s="23"/>
      <c r="I1733" s="23"/>
      <c r="J1733" s="43"/>
      <c r="K1733" s="43"/>
      <c r="L1733" s="43"/>
      <c r="M1733" s="43"/>
      <c r="N1733" s="53"/>
      <c r="O1733" s="43"/>
      <c r="P1733" s="43"/>
      <c r="Q1733" s="43"/>
      <c r="R1733" s="43"/>
      <c r="S1733" s="51"/>
    </row>
    <row r="1734" spans="1:19" ht="18" customHeight="1" x14ac:dyDescent="0.25">
      <c r="A1734" s="38"/>
      <c r="B1734" s="49"/>
      <c r="C1734" s="31" t="s">
        <v>1</v>
      </c>
      <c r="D1734" s="27">
        <f>SUM(E1734:I1734)</f>
        <v>6294</v>
      </c>
      <c r="E1734" s="23">
        <v>6294</v>
      </c>
      <c r="F1734" s="23"/>
      <c r="G1734" s="23"/>
      <c r="H1734" s="23"/>
      <c r="I1734" s="23"/>
      <c r="J1734" s="43"/>
      <c r="K1734" s="43"/>
      <c r="L1734" s="43"/>
      <c r="M1734" s="43"/>
      <c r="N1734" s="53"/>
      <c r="O1734" s="43"/>
      <c r="P1734" s="43"/>
      <c r="Q1734" s="43"/>
      <c r="R1734" s="43"/>
      <c r="S1734" s="51"/>
    </row>
    <row r="1735" spans="1:19" ht="18" customHeight="1" x14ac:dyDescent="0.25">
      <c r="A1735" s="38"/>
      <c r="B1735" s="49"/>
      <c r="C1735" s="31" t="s">
        <v>2</v>
      </c>
      <c r="D1735" s="27"/>
      <c r="E1735" s="23"/>
      <c r="F1735" s="23"/>
      <c r="G1735" s="23"/>
      <c r="H1735" s="23"/>
      <c r="I1735" s="23"/>
      <c r="J1735" s="43"/>
      <c r="K1735" s="43"/>
      <c r="L1735" s="43"/>
      <c r="M1735" s="43"/>
      <c r="N1735" s="53"/>
      <c r="O1735" s="43"/>
      <c r="P1735" s="43"/>
      <c r="Q1735" s="43"/>
      <c r="R1735" s="43"/>
      <c r="S1735" s="51"/>
    </row>
    <row r="1736" spans="1:19" ht="18" customHeight="1" x14ac:dyDescent="0.25">
      <c r="A1736" s="38"/>
      <c r="B1736" s="49"/>
      <c r="C1736" s="31" t="s">
        <v>3</v>
      </c>
      <c r="D1736" s="27"/>
      <c r="E1736" s="23"/>
      <c r="F1736" s="23"/>
      <c r="G1736" s="23"/>
      <c r="H1736" s="23"/>
      <c r="I1736" s="23"/>
      <c r="J1736" s="43"/>
      <c r="K1736" s="43"/>
      <c r="L1736" s="43"/>
      <c r="M1736" s="43"/>
      <c r="N1736" s="53"/>
      <c r="O1736" s="43"/>
      <c r="P1736" s="43"/>
      <c r="Q1736" s="43"/>
      <c r="R1736" s="43"/>
      <c r="S1736" s="51"/>
    </row>
    <row r="1737" spans="1:19" ht="18.75" customHeight="1" x14ac:dyDescent="0.25">
      <c r="A1737" s="37" t="s">
        <v>85</v>
      </c>
      <c r="B1737" s="37"/>
      <c r="C1737" s="37"/>
      <c r="D1737" s="37"/>
      <c r="E1737" s="37"/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</row>
    <row r="1738" spans="1:19" ht="21" customHeight="1" x14ac:dyDescent="0.25">
      <c r="A1738" s="38"/>
      <c r="B1738" s="48" t="s">
        <v>560</v>
      </c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</row>
    <row r="1739" spans="1:19" ht="33.75" customHeight="1" x14ac:dyDescent="0.25">
      <c r="A1739" s="38"/>
      <c r="B1739" s="49" t="s">
        <v>800</v>
      </c>
      <c r="C1739" s="50" t="s">
        <v>809</v>
      </c>
      <c r="D1739" s="50"/>
      <c r="E1739" s="50"/>
      <c r="F1739" s="50"/>
      <c r="G1739" s="50"/>
      <c r="H1739" s="50"/>
      <c r="I1739" s="50"/>
      <c r="J1739" s="43" t="s">
        <v>20</v>
      </c>
      <c r="K1739" s="43" t="s">
        <v>828</v>
      </c>
      <c r="L1739" s="43" t="s">
        <v>805</v>
      </c>
      <c r="M1739" s="43" t="s">
        <v>482</v>
      </c>
      <c r="N1739" s="53" t="s">
        <v>806</v>
      </c>
      <c r="O1739" s="43" t="s">
        <v>12</v>
      </c>
      <c r="P1739" s="43" t="s">
        <v>22</v>
      </c>
      <c r="Q1739" s="43" t="s">
        <v>9</v>
      </c>
      <c r="R1739" s="43"/>
      <c r="S1739" s="51" t="s">
        <v>799</v>
      </c>
    </row>
    <row r="1740" spans="1:19" ht="18" customHeight="1" x14ac:dyDescent="0.25">
      <c r="A1740" s="38"/>
      <c r="B1740" s="49"/>
      <c r="C1740" s="31" t="s">
        <v>6</v>
      </c>
      <c r="D1740" s="27">
        <f t="shared" ref="D1740:E1740" si="423">SUM(D1741:D1744)</f>
        <v>5634.0450000000001</v>
      </c>
      <c r="E1740" s="23">
        <f t="shared" si="423"/>
        <v>5634.0450000000001</v>
      </c>
      <c r="F1740" s="23"/>
      <c r="G1740" s="23"/>
      <c r="H1740" s="23"/>
      <c r="I1740" s="23"/>
      <c r="J1740" s="43"/>
      <c r="K1740" s="43"/>
      <c r="L1740" s="43"/>
      <c r="M1740" s="43"/>
      <c r="N1740" s="53"/>
      <c r="O1740" s="43"/>
      <c r="P1740" s="43"/>
      <c r="Q1740" s="43"/>
      <c r="R1740" s="43"/>
      <c r="S1740" s="51"/>
    </row>
    <row r="1741" spans="1:19" ht="18" customHeight="1" x14ac:dyDescent="0.25">
      <c r="A1741" s="38"/>
      <c r="B1741" s="49"/>
      <c r="C1741" s="31" t="s">
        <v>0</v>
      </c>
      <c r="D1741" s="27"/>
      <c r="E1741" s="23"/>
      <c r="F1741" s="23"/>
      <c r="G1741" s="23"/>
      <c r="H1741" s="23"/>
      <c r="I1741" s="23"/>
      <c r="J1741" s="43"/>
      <c r="K1741" s="43"/>
      <c r="L1741" s="43"/>
      <c r="M1741" s="43"/>
      <c r="N1741" s="53"/>
      <c r="O1741" s="43"/>
      <c r="P1741" s="43"/>
      <c r="Q1741" s="43"/>
      <c r="R1741" s="43"/>
      <c r="S1741" s="51"/>
    </row>
    <row r="1742" spans="1:19" ht="18" customHeight="1" x14ac:dyDescent="0.25">
      <c r="A1742" s="38"/>
      <c r="B1742" s="49"/>
      <c r="C1742" s="31" t="s">
        <v>1</v>
      </c>
      <c r="D1742" s="27">
        <f>SUM(E1742:I1742)</f>
        <v>5634.0450000000001</v>
      </c>
      <c r="E1742" s="23">
        <v>5634.0450000000001</v>
      </c>
      <c r="F1742" s="23"/>
      <c r="G1742" s="23"/>
      <c r="H1742" s="23"/>
      <c r="I1742" s="23"/>
      <c r="J1742" s="43"/>
      <c r="K1742" s="43"/>
      <c r="L1742" s="43"/>
      <c r="M1742" s="43"/>
      <c r="N1742" s="53"/>
      <c r="O1742" s="43"/>
      <c r="P1742" s="43"/>
      <c r="Q1742" s="43"/>
      <c r="R1742" s="43"/>
      <c r="S1742" s="51"/>
    </row>
    <row r="1743" spans="1:19" ht="18" customHeight="1" x14ac:dyDescent="0.25">
      <c r="A1743" s="38"/>
      <c r="B1743" s="49"/>
      <c r="C1743" s="31" t="s">
        <v>2</v>
      </c>
      <c r="D1743" s="27"/>
      <c r="E1743" s="23"/>
      <c r="F1743" s="23"/>
      <c r="G1743" s="23"/>
      <c r="H1743" s="23"/>
      <c r="I1743" s="23"/>
      <c r="J1743" s="43"/>
      <c r="K1743" s="43"/>
      <c r="L1743" s="43"/>
      <c r="M1743" s="43"/>
      <c r="N1743" s="53"/>
      <c r="O1743" s="43"/>
      <c r="P1743" s="43"/>
      <c r="Q1743" s="43"/>
      <c r="R1743" s="43"/>
      <c r="S1743" s="51"/>
    </row>
    <row r="1744" spans="1:19" ht="18" customHeight="1" x14ac:dyDescent="0.25">
      <c r="A1744" s="38"/>
      <c r="B1744" s="49"/>
      <c r="C1744" s="31" t="s">
        <v>3</v>
      </c>
      <c r="D1744" s="27"/>
      <c r="E1744" s="23"/>
      <c r="F1744" s="23"/>
      <c r="G1744" s="23"/>
      <c r="H1744" s="23"/>
      <c r="I1744" s="23"/>
      <c r="J1744" s="43"/>
      <c r="K1744" s="43"/>
      <c r="L1744" s="43"/>
      <c r="M1744" s="43"/>
      <c r="N1744" s="53"/>
      <c r="O1744" s="43"/>
      <c r="P1744" s="43"/>
      <c r="Q1744" s="43"/>
      <c r="R1744" s="43"/>
      <c r="S1744" s="51"/>
    </row>
    <row r="1745" spans="1:19" ht="15" customHeight="1" x14ac:dyDescent="0.25">
      <c r="A1745" s="37" t="s">
        <v>85</v>
      </c>
      <c r="B1745" s="37"/>
      <c r="C1745" s="37"/>
      <c r="D1745" s="37"/>
      <c r="E1745" s="37"/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</row>
    <row r="1746" spans="1:19" ht="21" customHeight="1" x14ac:dyDescent="0.25">
      <c r="A1746" s="38"/>
      <c r="B1746" s="48" t="s">
        <v>560</v>
      </c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</row>
    <row r="1747" spans="1:19" ht="26.25" customHeight="1" x14ac:dyDescent="0.25">
      <c r="A1747" s="38"/>
      <c r="B1747" s="49" t="s">
        <v>802</v>
      </c>
      <c r="C1747" s="50" t="s">
        <v>810</v>
      </c>
      <c r="D1747" s="50"/>
      <c r="E1747" s="50"/>
      <c r="F1747" s="50"/>
      <c r="G1747" s="50"/>
      <c r="H1747" s="50"/>
      <c r="I1747" s="50"/>
      <c r="J1747" s="43" t="s">
        <v>28</v>
      </c>
      <c r="K1747" s="43" t="s">
        <v>828</v>
      </c>
      <c r="L1747" s="43" t="s">
        <v>808</v>
      </c>
      <c r="M1747" s="43" t="s">
        <v>801</v>
      </c>
      <c r="N1747" s="53" t="s">
        <v>807</v>
      </c>
      <c r="O1747" s="43" t="s">
        <v>12</v>
      </c>
      <c r="P1747" s="43" t="s">
        <v>91</v>
      </c>
      <c r="Q1747" s="43" t="s">
        <v>9</v>
      </c>
      <c r="R1747" s="43"/>
      <c r="S1747" s="51" t="s">
        <v>799</v>
      </c>
    </row>
    <row r="1748" spans="1:19" ht="18" customHeight="1" x14ac:dyDescent="0.25">
      <c r="A1748" s="38"/>
      <c r="B1748" s="49"/>
      <c r="C1748" s="31" t="s">
        <v>6</v>
      </c>
      <c r="D1748" s="27">
        <f t="shared" ref="D1748:E1748" si="424">SUM(D1749:D1752)</f>
        <v>4285.8590000000004</v>
      </c>
      <c r="E1748" s="23">
        <f t="shared" si="424"/>
        <v>4285.8590000000004</v>
      </c>
      <c r="F1748" s="23"/>
      <c r="G1748" s="23"/>
      <c r="H1748" s="23"/>
      <c r="I1748" s="23"/>
      <c r="J1748" s="43"/>
      <c r="K1748" s="43"/>
      <c r="L1748" s="43"/>
      <c r="M1748" s="43"/>
      <c r="N1748" s="53"/>
      <c r="O1748" s="43"/>
      <c r="P1748" s="43"/>
      <c r="Q1748" s="43"/>
      <c r="R1748" s="43"/>
      <c r="S1748" s="51"/>
    </row>
    <row r="1749" spans="1:19" ht="18" customHeight="1" x14ac:dyDescent="0.25">
      <c r="A1749" s="38"/>
      <c r="B1749" s="49"/>
      <c r="C1749" s="31" t="s">
        <v>0</v>
      </c>
      <c r="D1749" s="27"/>
      <c r="E1749" s="23"/>
      <c r="F1749" s="23"/>
      <c r="G1749" s="23"/>
      <c r="H1749" s="23"/>
      <c r="I1749" s="23"/>
      <c r="J1749" s="43"/>
      <c r="K1749" s="43"/>
      <c r="L1749" s="43"/>
      <c r="M1749" s="43"/>
      <c r="N1749" s="53"/>
      <c r="O1749" s="43"/>
      <c r="P1749" s="43"/>
      <c r="Q1749" s="43"/>
      <c r="R1749" s="43"/>
      <c r="S1749" s="51"/>
    </row>
    <row r="1750" spans="1:19" ht="18" customHeight="1" x14ac:dyDescent="0.25">
      <c r="A1750" s="38"/>
      <c r="B1750" s="49"/>
      <c r="C1750" s="31" t="s">
        <v>1</v>
      </c>
      <c r="D1750" s="27">
        <f>SUM(E1750:I1750)</f>
        <v>4285.8590000000004</v>
      </c>
      <c r="E1750" s="23">
        <v>4285.8590000000004</v>
      </c>
      <c r="F1750" s="23"/>
      <c r="G1750" s="23"/>
      <c r="H1750" s="23"/>
      <c r="I1750" s="23"/>
      <c r="J1750" s="43"/>
      <c r="K1750" s="43"/>
      <c r="L1750" s="43"/>
      <c r="M1750" s="43"/>
      <c r="N1750" s="53"/>
      <c r="O1750" s="43"/>
      <c r="P1750" s="43"/>
      <c r="Q1750" s="43"/>
      <c r="R1750" s="43"/>
      <c r="S1750" s="51"/>
    </row>
    <row r="1751" spans="1:19" ht="18" customHeight="1" x14ac:dyDescent="0.25">
      <c r="A1751" s="38"/>
      <c r="B1751" s="49"/>
      <c r="C1751" s="31" t="s">
        <v>2</v>
      </c>
      <c r="D1751" s="27"/>
      <c r="E1751" s="23"/>
      <c r="F1751" s="23"/>
      <c r="G1751" s="23"/>
      <c r="H1751" s="23"/>
      <c r="I1751" s="23"/>
      <c r="J1751" s="43"/>
      <c r="K1751" s="43"/>
      <c r="L1751" s="43"/>
      <c r="M1751" s="43"/>
      <c r="N1751" s="53"/>
      <c r="O1751" s="43"/>
      <c r="P1751" s="43"/>
      <c r="Q1751" s="43"/>
      <c r="R1751" s="43"/>
      <c r="S1751" s="51"/>
    </row>
    <row r="1752" spans="1:19" ht="15" customHeight="1" x14ac:dyDescent="0.25">
      <c r="A1752" s="38"/>
      <c r="B1752" s="49"/>
      <c r="C1752" s="31" t="s">
        <v>3</v>
      </c>
      <c r="D1752" s="27"/>
      <c r="E1752" s="23"/>
      <c r="F1752" s="23"/>
      <c r="G1752" s="23"/>
      <c r="H1752" s="23"/>
      <c r="I1752" s="23"/>
      <c r="J1752" s="43"/>
      <c r="K1752" s="43"/>
      <c r="L1752" s="43"/>
      <c r="M1752" s="43"/>
      <c r="N1752" s="53"/>
      <c r="O1752" s="43"/>
      <c r="P1752" s="43"/>
      <c r="Q1752" s="43"/>
      <c r="R1752" s="43"/>
      <c r="S1752" s="51"/>
    </row>
    <row r="1753" spans="1:19" ht="21" customHeight="1" x14ac:dyDescent="0.25">
      <c r="A1753" s="54" t="s">
        <v>333</v>
      </c>
      <c r="B1753" s="65" t="s">
        <v>136</v>
      </c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</row>
    <row r="1754" spans="1:19" ht="18" customHeight="1" x14ac:dyDescent="0.25">
      <c r="A1754" s="54"/>
      <c r="B1754" s="56" t="s">
        <v>6</v>
      </c>
      <c r="C1754" s="56"/>
      <c r="D1754" s="16">
        <f t="shared" ref="D1754" si="425">SUM(D1755:D1758)</f>
        <v>24005.41</v>
      </c>
      <c r="E1754" s="16">
        <f>E1762</f>
        <v>19203.8</v>
      </c>
      <c r="F1754" s="16">
        <f t="shared" ref="F1754" si="426">F1762</f>
        <v>4801.6100000000006</v>
      </c>
      <c r="G1754" s="16"/>
      <c r="H1754" s="16"/>
      <c r="I1754" s="16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</row>
    <row r="1755" spans="1:19" ht="18" customHeight="1" x14ac:dyDescent="0.25">
      <c r="A1755" s="54"/>
      <c r="B1755" s="56" t="s">
        <v>0</v>
      </c>
      <c r="C1755" s="56"/>
      <c r="D1755" s="28"/>
      <c r="E1755" s="16"/>
      <c r="F1755" s="16"/>
      <c r="G1755" s="16"/>
      <c r="H1755" s="16"/>
      <c r="I1755" s="16"/>
      <c r="J1755" s="26"/>
      <c r="K1755" s="26"/>
      <c r="L1755" s="26"/>
      <c r="M1755" s="26"/>
      <c r="N1755" s="26"/>
      <c r="O1755" s="26"/>
      <c r="P1755" s="26"/>
      <c r="Q1755" s="26"/>
      <c r="R1755" s="26"/>
      <c r="S1755" s="26"/>
    </row>
    <row r="1756" spans="1:19" ht="18" customHeight="1" x14ac:dyDescent="0.25">
      <c r="A1756" s="54"/>
      <c r="B1756" s="56" t="s">
        <v>1</v>
      </c>
      <c r="C1756" s="56"/>
      <c r="D1756" s="16">
        <f>SUM(E1756:I1756)</f>
        <v>21823.1</v>
      </c>
      <c r="E1756" s="16">
        <f t="shared" ref="E1756:F1757" si="427">E1764</f>
        <v>17458</v>
      </c>
      <c r="F1756" s="16">
        <f t="shared" si="427"/>
        <v>4365.1000000000004</v>
      </c>
      <c r="G1756" s="16"/>
      <c r="H1756" s="16"/>
      <c r="I1756" s="16"/>
      <c r="J1756" s="26"/>
      <c r="K1756" s="26"/>
      <c r="L1756" s="26"/>
      <c r="M1756" s="26"/>
      <c r="N1756" s="26"/>
      <c r="O1756" s="26"/>
      <c r="P1756" s="26"/>
      <c r="Q1756" s="26"/>
      <c r="R1756" s="26"/>
      <c r="S1756" s="26"/>
    </row>
    <row r="1757" spans="1:19" ht="18" customHeight="1" x14ac:dyDescent="0.25">
      <c r="A1757" s="54"/>
      <c r="B1757" s="56" t="s">
        <v>2</v>
      </c>
      <c r="C1757" s="56"/>
      <c r="D1757" s="16">
        <f>SUM(E1757:I1757)</f>
        <v>2182.31</v>
      </c>
      <c r="E1757" s="16">
        <f t="shared" si="427"/>
        <v>1745.8</v>
      </c>
      <c r="F1757" s="16">
        <f t="shared" si="427"/>
        <v>436.51</v>
      </c>
      <c r="G1757" s="16"/>
      <c r="H1757" s="16"/>
      <c r="I1757" s="16"/>
      <c r="J1757" s="26"/>
      <c r="K1757" s="26"/>
      <c r="L1757" s="26"/>
      <c r="M1757" s="26"/>
      <c r="N1757" s="26"/>
      <c r="O1757" s="26"/>
      <c r="P1757" s="26"/>
      <c r="Q1757" s="26"/>
      <c r="R1757" s="26"/>
      <c r="S1757" s="26"/>
    </row>
    <row r="1758" spans="1:19" ht="18" customHeight="1" x14ac:dyDescent="0.25">
      <c r="A1758" s="54"/>
      <c r="B1758" s="56" t="s">
        <v>3</v>
      </c>
      <c r="C1758" s="56"/>
      <c r="D1758" s="28"/>
      <c r="E1758" s="16"/>
      <c r="F1758" s="16"/>
      <c r="G1758" s="16"/>
      <c r="H1758" s="16"/>
      <c r="I1758" s="16"/>
      <c r="J1758" s="26"/>
      <c r="K1758" s="26"/>
      <c r="L1758" s="26"/>
      <c r="M1758" s="26"/>
      <c r="N1758" s="26"/>
      <c r="O1758" s="26"/>
      <c r="P1758" s="26"/>
      <c r="Q1758" s="26"/>
      <c r="R1758" s="26"/>
      <c r="S1758" s="26"/>
    </row>
    <row r="1759" spans="1:19" ht="18.75" customHeight="1" x14ac:dyDescent="0.25">
      <c r="A1759" s="37" t="s">
        <v>23</v>
      </c>
      <c r="B1759" s="37"/>
      <c r="C1759" s="37"/>
      <c r="D1759" s="37"/>
      <c r="E1759" s="37"/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</row>
    <row r="1760" spans="1:19" ht="21" customHeight="1" x14ac:dyDescent="0.25">
      <c r="A1760" s="38"/>
      <c r="B1760" s="48" t="s">
        <v>558</v>
      </c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</row>
    <row r="1761" spans="1:19" ht="18.75" customHeight="1" x14ac:dyDescent="0.25">
      <c r="A1761" s="38"/>
      <c r="B1761" s="49" t="s">
        <v>334</v>
      </c>
      <c r="C1761" s="50" t="s">
        <v>557</v>
      </c>
      <c r="D1761" s="50"/>
      <c r="E1761" s="50"/>
      <c r="F1761" s="50"/>
      <c r="G1761" s="50"/>
      <c r="H1761" s="50"/>
      <c r="I1761" s="50"/>
      <c r="J1761" s="43" t="s">
        <v>34</v>
      </c>
      <c r="K1761" s="43" t="s">
        <v>828</v>
      </c>
      <c r="L1761" s="43" t="s">
        <v>347</v>
      </c>
      <c r="M1761" s="43" t="s">
        <v>713</v>
      </c>
      <c r="N1761" s="53" t="s">
        <v>461</v>
      </c>
      <c r="O1761" s="43" t="s">
        <v>12</v>
      </c>
      <c r="P1761" s="43" t="s">
        <v>4</v>
      </c>
      <c r="Q1761" s="43" t="s">
        <v>9</v>
      </c>
      <c r="R1761" s="43"/>
      <c r="S1761" s="51" t="s">
        <v>754</v>
      </c>
    </row>
    <row r="1762" spans="1:19" ht="18" customHeight="1" x14ac:dyDescent="0.25">
      <c r="A1762" s="38"/>
      <c r="B1762" s="49"/>
      <c r="C1762" s="31" t="s">
        <v>6</v>
      </c>
      <c r="D1762" s="27">
        <f t="shared" ref="D1762:F1762" si="428">SUM(D1763:D1766)</f>
        <v>24005.41</v>
      </c>
      <c r="E1762" s="23">
        <f t="shared" si="428"/>
        <v>19203.8</v>
      </c>
      <c r="F1762" s="23">
        <f t="shared" si="428"/>
        <v>4801.6100000000006</v>
      </c>
      <c r="G1762" s="23"/>
      <c r="H1762" s="23"/>
      <c r="I1762" s="23"/>
      <c r="J1762" s="43"/>
      <c r="K1762" s="43"/>
      <c r="L1762" s="43"/>
      <c r="M1762" s="43"/>
      <c r="N1762" s="53"/>
      <c r="O1762" s="43"/>
      <c r="P1762" s="43"/>
      <c r="Q1762" s="43"/>
      <c r="R1762" s="43"/>
      <c r="S1762" s="51"/>
    </row>
    <row r="1763" spans="1:19" ht="18" customHeight="1" x14ac:dyDescent="0.25">
      <c r="A1763" s="38"/>
      <c r="B1763" s="49"/>
      <c r="C1763" s="31" t="s">
        <v>0</v>
      </c>
      <c r="D1763" s="27"/>
      <c r="E1763" s="23"/>
      <c r="F1763" s="23"/>
      <c r="G1763" s="23"/>
      <c r="H1763" s="23"/>
      <c r="I1763" s="23"/>
      <c r="J1763" s="43"/>
      <c r="K1763" s="43"/>
      <c r="L1763" s="43"/>
      <c r="M1763" s="43"/>
      <c r="N1763" s="53"/>
      <c r="O1763" s="43"/>
      <c r="P1763" s="43"/>
      <c r="Q1763" s="43"/>
      <c r="R1763" s="43"/>
      <c r="S1763" s="51"/>
    </row>
    <row r="1764" spans="1:19" ht="18" customHeight="1" x14ac:dyDescent="0.25">
      <c r="A1764" s="38"/>
      <c r="B1764" s="49"/>
      <c r="C1764" s="31" t="s">
        <v>1</v>
      </c>
      <c r="D1764" s="27">
        <f t="shared" ref="D1764" si="429">SUM(E1764:I1764)</f>
        <v>21823.1</v>
      </c>
      <c r="E1764" s="23">
        <v>17458</v>
      </c>
      <c r="F1764" s="23">
        <v>4365.1000000000004</v>
      </c>
      <c r="G1764" s="23"/>
      <c r="H1764" s="23"/>
      <c r="I1764" s="23"/>
      <c r="J1764" s="43"/>
      <c r="K1764" s="43"/>
      <c r="L1764" s="43"/>
      <c r="M1764" s="43"/>
      <c r="N1764" s="53"/>
      <c r="O1764" s="43"/>
      <c r="P1764" s="43"/>
      <c r="Q1764" s="43"/>
      <c r="R1764" s="43"/>
      <c r="S1764" s="51"/>
    </row>
    <row r="1765" spans="1:19" ht="18" customHeight="1" x14ac:dyDescent="0.25">
      <c r="A1765" s="38"/>
      <c r="B1765" s="49"/>
      <c r="C1765" s="31" t="s">
        <v>2</v>
      </c>
      <c r="D1765" s="27">
        <f>E1765+F1765</f>
        <v>2182.31</v>
      </c>
      <c r="E1765" s="23">
        <v>1745.8</v>
      </c>
      <c r="F1765" s="23">
        <v>436.51</v>
      </c>
      <c r="G1765" s="23"/>
      <c r="H1765" s="23"/>
      <c r="I1765" s="23"/>
      <c r="J1765" s="43"/>
      <c r="K1765" s="43"/>
      <c r="L1765" s="43"/>
      <c r="M1765" s="43"/>
      <c r="N1765" s="53"/>
      <c r="O1765" s="43"/>
      <c r="P1765" s="43"/>
      <c r="Q1765" s="43"/>
      <c r="R1765" s="43"/>
      <c r="S1765" s="51"/>
    </row>
    <row r="1766" spans="1:19" ht="18" customHeight="1" x14ac:dyDescent="0.25">
      <c r="A1766" s="38"/>
      <c r="B1766" s="49"/>
      <c r="C1766" s="31" t="s">
        <v>3</v>
      </c>
      <c r="D1766" s="27"/>
      <c r="E1766" s="23"/>
      <c r="F1766" s="23"/>
      <c r="G1766" s="23"/>
      <c r="H1766" s="23"/>
      <c r="I1766" s="23"/>
      <c r="J1766" s="43"/>
      <c r="K1766" s="43"/>
      <c r="L1766" s="43"/>
      <c r="M1766" s="43"/>
      <c r="N1766" s="53"/>
      <c r="O1766" s="43"/>
      <c r="P1766" s="43"/>
      <c r="Q1766" s="43"/>
      <c r="R1766" s="43"/>
      <c r="S1766" s="51"/>
    </row>
    <row r="1767" spans="1:19" ht="21" customHeight="1" x14ac:dyDescent="0.25">
      <c r="A1767" s="54" t="s">
        <v>711</v>
      </c>
      <c r="B1767" s="65" t="s">
        <v>137</v>
      </c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</row>
    <row r="1768" spans="1:19" ht="18" customHeight="1" x14ac:dyDescent="0.25">
      <c r="A1768" s="54"/>
      <c r="B1768" s="56" t="s">
        <v>6</v>
      </c>
      <c r="C1768" s="56"/>
      <c r="D1768" s="16">
        <f t="shared" ref="D1768" si="430">SUM(D1769:D1772)</f>
        <v>426175.86</v>
      </c>
      <c r="E1768" s="16">
        <f>E1776+E1784++E1792+E1800+E1808+E1816+E1824+E1832+E1840+E1848+E1856+E1864</f>
        <v>375175.86</v>
      </c>
      <c r="F1768" s="16">
        <f>F1776+F1784++F1792+F1800+F1808+F1816+F1824+F1832+F1840+F1848+F1856+F1864</f>
        <v>51000</v>
      </c>
      <c r="G1768" s="16"/>
      <c r="H1768" s="16"/>
      <c r="I1768" s="16"/>
      <c r="J1768" s="26"/>
      <c r="K1768" s="26"/>
      <c r="L1768" s="26"/>
      <c r="M1768" s="26"/>
      <c r="N1768" s="26"/>
      <c r="O1768" s="26"/>
      <c r="P1768" s="26"/>
      <c r="Q1768" s="26"/>
      <c r="R1768" s="26"/>
      <c r="S1768" s="26"/>
    </row>
    <row r="1769" spans="1:19" ht="18" customHeight="1" x14ac:dyDescent="0.25">
      <c r="A1769" s="54"/>
      <c r="B1769" s="56" t="s">
        <v>0</v>
      </c>
      <c r="C1769" s="56"/>
      <c r="D1769" s="28"/>
      <c r="E1769" s="16"/>
      <c r="F1769" s="16"/>
      <c r="G1769" s="16"/>
      <c r="H1769" s="16"/>
      <c r="I1769" s="16"/>
      <c r="J1769" s="26"/>
      <c r="K1769" s="26"/>
      <c r="L1769" s="26"/>
      <c r="M1769" s="26"/>
      <c r="N1769" s="26"/>
      <c r="O1769" s="26"/>
      <c r="P1769" s="26"/>
      <c r="Q1769" s="26"/>
      <c r="R1769" s="26"/>
      <c r="S1769" s="26"/>
    </row>
    <row r="1770" spans="1:19" ht="18" customHeight="1" x14ac:dyDescent="0.25">
      <c r="A1770" s="54"/>
      <c r="B1770" s="56" t="s">
        <v>1</v>
      </c>
      <c r="C1770" s="56"/>
      <c r="D1770" s="16">
        <f>SUM(E1770:I1770)</f>
        <v>426175.86</v>
      </c>
      <c r="E1770" s="16">
        <f t="shared" ref="E1770:F1770" si="431">E1778+E1786++E1794+E1802+E1810+E1818+E1826+E1834+E1842+E1850+E1858+E1866</f>
        <v>375175.86</v>
      </c>
      <c r="F1770" s="16">
        <f t="shared" si="431"/>
        <v>51000</v>
      </c>
      <c r="G1770" s="16"/>
      <c r="H1770" s="16"/>
      <c r="I1770" s="16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</row>
    <row r="1771" spans="1:19" ht="18" customHeight="1" x14ac:dyDescent="0.25">
      <c r="A1771" s="54"/>
      <c r="B1771" s="56" t="s">
        <v>2</v>
      </c>
      <c r="C1771" s="56"/>
      <c r="D1771" s="28"/>
      <c r="E1771" s="16"/>
      <c r="F1771" s="16"/>
      <c r="G1771" s="16"/>
      <c r="H1771" s="16"/>
      <c r="I1771" s="16"/>
      <c r="J1771" s="26"/>
      <c r="K1771" s="26"/>
      <c r="L1771" s="26"/>
      <c r="M1771" s="26"/>
      <c r="N1771" s="26"/>
      <c r="O1771" s="26"/>
      <c r="P1771" s="26"/>
      <c r="Q1771" s="26"/>
      <c r="R1771" s="26"/>
      <c r="S1771" s="26"/>
    </row>
    <row r="1772" spans="1:19" ht="18" customHeight="1" x14ac:dyDescent="0.25">
      <c r="A1772" s="54"/>
      <c r="B1772" s="56" t="s">
        <v>3</v>
      </c>
      <c r="C1772" s="56"/>
      <c r="D1772" s="28"/>
      <c r="E1772" s="16"/>
      <c r="F1772" s="16"/>
      <c r="G1772" s="16"/>
      <c r="H1772" s="16"/>
      <c r="I1772" s="16"/>
      <c r="J1772" s="26"/>
      <c r="K1772" s="26"/>
      <c r="L1772" s="26"/>
      <c r="M1772" s="26"/>
      <c r="N1772" s="26"/>
      <c r="O1772" s="26"/>
      <c r="P1772" s="26"/>
      <c r="Q1772" s="26"/>
      <c r="R1772" s="26"/>
      <c r="S1772" s="26"/>
    </row>
    <row r="1773" spans="1:19" ht="18.75" customHeight="1" x14ac:dyDescent="0.25">
      <c r="A1773" s="37" t="s">
        <v>845</v>
      </c>
      <c r="B1773" s="37"/>
      <c r="C1773" s="37"/>
      <c r="D1773" s="37"/>
      <c r="E1773" s="37"/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</row>
    <row r="1774" spans="1:19" ht="21" customHeight="1" x14ac:dyDescent="0.25">
      <c r="A1774" s="79"/>
      <c r="B1774" s="48" t="s">
        <v>556</v>
      </c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</row>
    <row r="1775" spans="1:19" ht="42.75" customHeight="1" x14ac:dyDescent="0.25">
      <c r="A1775" s="79"/>
      <c r="B1775" s="40" t="s">
        <v>712</v>
      </c>
      <c r="C1775" s="41" t="s">
        <v>880</v>
      </c>
      <c r="D1775" s="41"/>
      <c r="E1775" s="41"/>
      <c r="F1775" s="41"/>
      <c r="G1775" s="41"/>
      <c r="H1775" s="41"/>
      <c r="I1775" s="41"/>
      <c r="J1775" s="42" t="s">
        <v>15</v>
      </c>
      <c r="K1775" s="42" t="s">
        <v>965</v>
      </c>
      <c r="L1775" s="42" t="s">
        <v>525</v>
      </c>
      <c r="M1775" s="42" t="s">
        <v>845</v>
      </c>
      <c r="N1775" s="44" t="s">
        <v>503</v>
      </c>
      <c r="O1775" s="42" t="s">
        <v>17</v>
      </c>
      <c r="P1775" s="42" t="s">
        <v>553</v>
      </c>
      <c r="Q1775" s="42" t="s">
        <v>44</v>
      </c>
      <c r="R1775" s="42"/>
      <c r="S1775" s="51"/>
    </row>
    <row r="1776" spans="1:19" ht="18" customHeight="1" x14ac:dyDescent="0.25">
      <c r="A1776" s="79"/>
      <c r="B1776" s="40"/>
      <c r="C1776" s="30" t="s">
        <v>6</v>
      </c>
      <c r="D1776" s="29">
        <f>SUM(D1777:D1780)</f>
        <v>280</v>
      </c>
      <c r="E1776" s="25">
        <f t="shared" ref="E1776" si="432">SUM(E1777:E1780)</f>
        <v>280</v>
      </c>
      <c r="F1776" s="25"/>
      <c r="G1776" s="25"/>
      <c r="H1776" s="25"/>
      <c r="I1776" s="25"/>
      <c r="J1776" s="42"/>
      <c r="K1776" s="42"/>
      <c r="L1776" s="42"/>
      <c r="M1776" s="42"/>
      <c r="N1776" s="44"/>
      <c r="O1776" s="42"/>
      <c r="P1776" s="42"/>
      <c r="Q1776" s="42"/>
      <c r="R1776" s="42"/>
      <c r="S1776" s="51"/>
    </row>
    <row r="1777" spans="1:19" ht="18" customHeight="1" x14ac:dyDescent="0.25">
      <c r="A1777" s="79"/>
      <c r="B1777" s="40"/>
      <c r="C1777" s="30" t="s">
        <v>0</v>
      </c>
      <c r="D1777" s="29"/>
      <c r="E1777" s="25"/>
      <c r="F1777" s="25"/>
      <c r="G1777" s="25"/>
      <c r="H1777" s="25"/>
      <c r="I1777" s="25"/>
      <c r="J1777" s="42"/>
      <c r="K1777" s="42"/>
      <c r="L1777" s="42"/>
      <c r="M1777" s="42"/>
      <c r="N1777" s="44"/>
      <c r="O1777" s="42"/>
      <c r="P1777" s="42"/>
      <c r="Q1777" s="42"/>
      <c r="R1777" s="42"/>
      <c r="S1777" s="51"/>
    </row>
    <row r="1778" spans="1:19" ht="18" customHeight="1" x14ac:dyDescent="0.25">
      <c r="A1778" s="79"/>
      <c r="B1778" s="40"/>
      <c r="C1778" s="30" t="s">
        <v>1</v>
      </c>
      <c r="D1778" s="29">
        <f t="shared" ref="D1778" si="433">SUM(E1778:I1778)</f>
        <v>280</v>
      </c>
      <c r="E1778" s="25">
        <v>280</v>
      </c>
      <c r="F1778" s="25"/>
      <c r="G1778" s="25"/>
      <c r="H1778" s="25"/>
      <c r="I1778" s="25"/>
      <c r="J1778" s="42"/>
      <c r="K1778" s="42"/>
      <c r="L1778" s="42"/>
      <c r="M1778" s="42"/>
      <c r="N1778" s="44"/>
      <c r="O1778" s="42"/>
      <c r="P1778" s="42"/>
      <c r="Q1778" s="42"/>
      <c r="R1778" s="42"/>
      <c r="S1778" s="51"/>
    </row>
    <row r="1779" spans="1:19" ht="18" customHeight="1" x14ac:dyDescent="0.25">
      <c r="A1779" s="79"/>
      <c r="B1779" s="40"/>
      <c r="C1779" s="30" t="s">
        <v>2</v>
      </c>
      <c r="D1779" s="29"/>
      <c r="E1779" s="25"/>
      <c r="F1779" s="25"/>
      <c r="G1779" s="25"/>
      <c r="H1779" s="25"/>
      <c r="I1779" s="25"/>
      <c r="J1779" s="42"/>
      <c r="K1779" s="42"/>
      <c r="L1779" s="42"/>
      <c r="M1779" s="42"/>
      <c r="N1779" s="44"/>
      <c r="O1779" s="42"/>
      <c r="P1779" s="42"/>
      <c r="Q1779" s="42"/>
      <c r="R1779" s="42"/>
      <c r="S1779" s="51"/>
    </row>
    <row r="1780" spans="1:19" ht="18" customHeight="1" x14ac:dyDescent="0.25">
      <c r="A1780" s="79"/>
      <c r="B1780" s="40"/>
      <c r="C1780" s="30" t="s">
        <v>3</v>
      </c>
      <c r="D1780" s="29"/>
      <c r="E1780" s="25"/>
      <c r="F1780" s="25"/>
      <c r="G1780" s="25"/>
      <c r="H1780" s="25"/>
      <c r="I1780" s="25"/>
      <c r="J1780" s="42"/>
      <c r="K1780" s="42"/>
      <c r="L1780" s="42"/>
      <c r="M1780" s="42"/>
      <c r="N1780" s="44"/>
      <c r="O1780" s="42"/>
      <c r="P1780" s="42"/>
      <c r="Q1780" s="42"/>
      <c r="R1780" s="42"/>
      <c r="S1780" s="51"/>
    </row>
    <row r="1781" spans="1:19" ht="18.75" customHeight="1" x14ac:dyDescent="0.25">
      <c r="A1781" s="37" t="s">
        <v>845</v>
      </c>
      <c r="B1781" s="37"/>
      <c r="C1781" s="37"/>
      <c r="D1781" s="37"/>
      <c r="E1781" s="37"/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</row>
    <row r="1782" spans="1:19" ht="21" customHeight="1" x14ac:dyDescent="0.25">
      <c r="A1782" s="79"/>
      <c r="B1782" s="48" t="s">
        <v>556</v>
      </c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</row>
    <row r="1783" spans="1:19" ht="30.75" customHeight="1" x14ac:dyDescent="0.25">
      <c r="A1783" s="79"/>
      <c r="B1783" s="49" t="s">
        <v>714</v>
      </c>
      <c r="C1783" s="50" t="s">
        <v>871</v>
      </c>
      <c r="D1783" s="50"/>
      <c r="E1783" s="50"/>
      <c r="F1783" s="50"/>
      <c r="G1783" s="50"/>
      <c r="H1783" s="50"/>
      <c r="I1783" s="50"/>
      <c r="J1783" s="43" t="s">
        <v>15</v>
      </c>
      <c r="K1783" s="43" t="s">
        <v>831</v>
      </c>
      <c r="L1783" s="43" t="s">
        <v>525</v>
      </c>
      <c r="M1783" s="43" t="s">
        <v>869</v>
      </c>
      <c r="N1783" s="53" t="s">
        <v>613</v>
      </c>
      <c r="O1783" s="43" t="s">
        <v>17</v>
      </c>
      <c r="P1783" s="43" t="s">
        <v>13</v>
      </c>
      <c r="Q1783" s="43" t="s">
        <v>44</v>
      </c>
      <c r="R1783" s="43"/>
      <c r="S1783" s="51"/>
    </row>
    <row r="1784" spans="1:19" ht="18" customHeight="1" x14ac:dyDescent="0.25">
      <c r="A1784" s="79"/>
      <c r="B1784" s="49"/>
      <c r="C1784" s="31" t="s">
        <v>6</v>
      </c>
      <c r="D1784" s="27">
        <f>SUM(D1785:D1788)</f>
        <v>7000</v>
      </c>
      <c r="E1784" s="23">
        <f t="shared" ref="E1784" si="434">SUM(E1785:E1788)</f>
        <v>7000</v>
      </c>
      <c r="F1784" s="23"/>
      <c r="G1784" s="23"/>
      <c r="H1784" s="23"/>
      <c r="I1784" s="23"/>
      <c r="J1784" s="43"/>
      <c r="K1784" s="43"/>
      <c r="L1784" s="43"/>
      <c r="M1784" s="43"/>
      <c r="N1784" s="53"/>
      <c r="O1784" s="43"/>
      <c r="P1784" s="43"/>
      <c r="Q1784" s="43"/>
      <c r="R1784" s="43"/>
      <c r="S1784" s="51"/>
    </row>
    <row r="1785" spans="1:19" ht="18" customHeight="1" x14ac:dyDescent="0.25">
      <c r="A1785" s="79"/>
      <c r="B1785" s="49"/>
      <c r="C1785" s="31" t="s">
        <v>0</v>
      </c>
      <c r="D1785" s="27"/>
      <c r="E1785" s="23"/>
      <c r="F1785" s="23"/>
      <c r="G1785" s="23"/>
      <c r="H1785" s="23"/>
      <c r="I1785" s="23"/>
      <c r="J1785" s="43"/>
      <c r="K1785" s="43"/>
      <c r="L1785" s="43"/>
      <c r="M1785" s="43"/>
      <c r="N1785" s="53"/>
      <c r="O1785" s="43"/>
      <c r="P1785" s="43"/>
      <c r="Q1785" s="43"/>
      <c r="R1785" s="43"/>
      <c r="S1785" s="51"/>
    </row>
    <row r="1786" spans="1:19" ht="18" customHeight="1" x14ac:dyDescent="0.25">
      <c r="A1786" s="79"/>
      <c r="B1786" s="49"/>
      <c r="C1786" s="31" t="s">
        <v>1</v>
      </c>
      <c r="D1786" s="27">
        <f t="shared" ref="D1786" si="435">SUM(E1786:I1786)</f>
        <v>7000</v>
      </c>
      <c r="E1786" s="23">
        <v>7000</v>
      </c>
      <c r="F1786" s="23"/>
      <c r="G1786" s="23"/>
      <c r="H1786" s="23"/>
      <c r="I1786" s="23"/>
      <c r="J1786" s="43"/>
      <c r="K1786" s="43"/>
      <c r="L1786" s="43"/>
      <c r="M1786" s="43"/>
      <c r="N1786" s="53"/>
      <c r="O1786" s="43"/>
      <c r="P1786" s="43"/>
      <c r="Q1786" s="43"/>
      <c r="R1786" s="43"/>
      <c r="S1786" s="51"/>
    </row>
    <row r="1787" spans="1:19" ht="18" customHeight="1" x14ac:dyDescent="0.25">
      <c r="A1787" s="79"/>
      <c r="B1787" s="49"/>
      <c r="C1787" s="31" t="s">
        <v>2</v>
      </c>
      <c r="D1787" s="27"/>
      <c r="E1787" s="23"/>
      <c r="F1787" s="23"/>
      <c r="G1787" s="23"/>
      <c r="H1787" s="23"/>
      <c r="I1787" s="23"/>
      <c r="J1787" s="43"/>
      <c r="K1787" s="43"/>
      <c r="L1787" s="43"/>
      <c r="M1787" s="43"/>
      <c r="N1787" s="53"/>
      <c r="O1787" s="43"/>
      <c r="P1787" s="43"/>
      <c r="Q1787" s="43"/>
      <c r="R1787" s="43"/>
      <c r="S1787" s="51"/>
    </row>
    <row r="1788" spans="1:19" ht="33" customHeight="1" x14ac:dyDescent="0.25">
      <c r="A1788" s="79"/>
      <c r="B1788" s="49"/>
      <c r="C1788" s="31" t="s">
        <v>3</v>
      </c>
      <c r="D1788" s="27"/>
      <c r="E1788" s="23"/>
      <c r="F1788" s="23"/>
      <c r="G1788" s="23"/>
      <c r="H1788" s="23"/>
      <c r="I1788" s="23"/>
      <c r="J1788" s="43"/>
      <c r="K1788" s="43"/>
      <c r="L1788" s="43"/>
      <c r="M1788" s="43"/>
      <c r="N1788" s="53"/>
      <c r="O1788" s="43"/>
      <c r="P1788" s="43"/>
      <c r="Q1788" s="43"/>
      <c r="R1788" s="43"/>
      <c r="S1788" s="51"/>
    </row>
    <row r="1789" spans="1:19" ht="18.75" customHeight="1" x14ac:dyDescent="0.25">
      <c r="A1789" s="37" t="s">
        <v>845</v>
      </c>
      <c r="B1789" s="37"/>
      <c r="C1789" s="37"/>
      <c r="D1789" s="37"/>
      <c r="E1789" s="37"/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</row>
    <row r="1790" spans="1:19" ht="21" customHeight="1" x14ac:dyDescent="0.25">
      <c r="A1790" s="79"/>
      <c r="B1790" s="48" t="s">
        <v>556</v>
      </c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</row>
    <row r="1791" spans="1:19" ht="37.5" customHeight="1" x14ac:dyDescent="0.25">
      <c r="A1791" s="79"/>
      <c r="B1791" s="49" t="s">
        <v>715</v>
      </c>
      <c r="C1791" s="50" t="s">
        <v>881</v>
      </c>
      <c r="D1791" s="50"/>
      <c r="E1791" s="50"/>
      <c r="F1791" s="50"/>
      <c r="G1791" s="50"/>
      <c r="H1791" s="50"/>
      <c r="I1791" s="50"/>
      <c r="J1791" s="43" t="s">
        <v>15</v>
      </c>
      <c r="K1791" s="43" t="s">
        <v>831</v>
      </c>
      <c r="L1791" s="43" t="s">
        <v>525</v>
      </c>
      <c r="M1791" s="43" t="s">
        <v>869</v>
      </c>
      <c r="N1791" s="53" t="s">
        <v>613</v>
      </c>
      <c r="O1791" s="43" t="s">
        <v>17</v>
      </c>
      <c r="P1791" s="43" t="s">
        <v>13</v>
      </c>
      <c r="Q1791" s="43" t="s">
        <v>44</v>
      </c>
      <c r="R1791" s="43"/>
      <c r="S1791" s="51"/>
    </row>
    <row r="1792" spans="1:19" ht="18" customHeight="1" x14ac:dyDescent="0.25">
      <c r="A1792" s="79"/>
      <c r="B1792" s="49"/>
      <c r="C1792" s="31" t="s">
        <v>6</v>
      </c>
      <c r="D1792" s="27">
        <f>SUM(D1793:D1796)</f>
        <v>7000</v>
      </c>
      <c r="E1792" s="23">
        <f t="shared" ref="E1792" si="436">SUM(E1793:E1796)</f>
        <v>7000</v>
      </c>
      <c r="F1792" s="23"/>
      <c r="G1792" s="23"/>
      <c r="H1792" s="23"/>
      <c r="I1792" s="23"/>
      <c r="J1792" s="43"/>
      <c r="K1792" s="43"/>
      <c r="L1792" s="43"/>
      <c r="M1792" s="43"/>
      <c r="N1792" s="53"/>
      <c r="O1792" s="43"/>
      <c r="P1792" s="43"/>
      <c r="Q1792" s="43"/>
      <c r="R1792" s="43"/>
      <c r="S1792" s="51"/>
    </row>
    <row r="1793" spans="1:19" ht="18" customHeight="1" x14ac:dyDescent="0.25">
      <c r="A1793" s="79"/>
      <c r="B1793" s="49"/>
      <c r="C1793" s="31" t="s">
        <v>0</v>
      </c>
      <c r="D1793" s="27"/>
      <c r="E1793" s="23"/>
      <c r="F1793" s="23"/>
      <c r="G1793" s="23"/>
      <c r="H1793" s="23"/>
      <c r="I1793" s="23"/>
      <c r="J1793" s="43"/>
      <c r="K1793" s="43"/>
      <c r="L1793" s="43"/>
      <c r="M1793" s="43"/>
      <c r="N1793" s="53"/>
      <c r="O1793" s="43"/>
      <c r="P1793" s="43"/>
      <c r="Q1793" s="43"/>
      <c r="R1793" s="43"/>
      <c r="S1793" s="51"/>
    </row>
    <row r="1794" spans="1:19" ht="18" customHeight="1" x14ac:dyDescent="0.25">
      <c r="A1794" s="79"/>
      <c r="B1794" s="49"/>
      <c r="C1794" s="31" t="s">
        <v>1</v>
      </c>
      <c r="D1794" s="27">
        <f t="shared" ref="D1794" si="437">SUM(E1794:I1794)</f>
        <v>7000</v>
      </c>
      <c r="E1794" s="23">
        <v>7000</v>
      </c>
      <c r="F1794" s="23"/>
      <c r="G1794" s="23"/>
      <c r="H1794" s="23"/>
      <c r="I1794" s="23"/>
      <c r="J1794" s="43"/>
      <c r="K1794" s="43"/>
      <c r="L1794" s="43"/>
      <c r="M1794" s="43"/>
      <c r="N1794" s="53"/>
      <c r="O1794" s="43"/>
      <c r="P1794" s="43"/>
      <c r="Q1794" s="43"/>
      <c r="R1794" s="43"/>
      <c r="S1794" s="51"/>
    </row>
    <row r="1795" spans="1:19" ht="18" customHeight="1" x14ac:dyDescent="0.25">
      <c r="A1795" s="79"/>
      <c r="B1795" s="49"/>
      <c r="C1795" s="31" t="s">
        <v>2</v>
      </c>
      <c r="D1795" s="27"/>
      <c r="E1795" s="23"/>
      <c r="F1795" s="23"/>
      <c r="G1795" s="23"/>
      <c r="H1795" s="23"/>
      <c r="I1795" s="23"/>
      <c r="J1795" s="43"/>
      <c r="K1795" s="43"/>
      <c r="L1795" s="43"/>
      <c r="M1795" s="43"/>
      <c r="N1795" s="53"/>
      <c r="O1795" s="43"/>
      <c r="P1795" s="43"/>
      <c r="Q1795" s="43"/>
      <c r="R1795" s="43"/>
      <c r="S1795" s="51"/>
    </row>
    <row r="1796" spans="1:19" ht="36.75" customHeight="1" x14ac:dyDescent="0.25">
      <c r="A1796" s="79"/>
      <c r="B1796" s="49"/>
      <c r="C1796" s="31" t="s">
        <v>3</v>
      </c>
      <c r="D1796" s="27"/>
      <c r="E1796" s="23"/>
      <c r="F1796" s="23"/>
      <c r="G1796" s="23"/>
      <c r="H1796" s="23"/>
      <c r="I1796" s="23"/>
      <c r="J1796" s="43"/>
      <c r="K1796" s="43"/>
      <c r="L1796" s="43"/>
      <c r="M1796" s="43"/>
      <c r="N1796" s="53"/>
      <c r="O1796" s="43"/>
      <c r="P1796" s="43"/>
      <c r="Q1796" s="43"/>
      <c r="R1796" s="43"/>
      <c r="S1796" s="51"/>
    </row>
    <row r="1797" spans="1:19" ht="18.75" customHeight="1" x14ac:dyDescent="0.25">
      <c r="A1797" s="37" t="s">
        <v>845</v>
      </c>
      <c r="B1797" s="37"/>
      <c r="C1797" s="37"/>
      <c r="D1797" s="37"/>
      <c r="E1797" s="37"/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</row>
    <row r="1798" spans="1:19" ht="21" customHeight="1" x14ac:dyDescent="0.25">
      <c r="A1798" s="79"/>
      <c r="B1798" s="48" t="s">
        <v>556</v>
      </c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</row>
    <row r="1799" spans="1:19" ht="41.25" customHeight="1" x14ac:dyDescent="0.25">
      <c r="A1799" s="79"/>
      <c r="B1799" s="49" t="s">
        <v>716</v>
      </c>
      <c r="C1799" s="50" t="s">
        <v>872</v>
      </c>
      <c r="D1799" s="50"/>
      <c r="E1799" s="50"/>
      <c r="F1799" s="50"/>
      <c r="G1799" s="50"/>
      <c r="H1799" s="50"/>
      <c r="I1799" s="50"/>
      <c r="J1799" s="43" t="s">
        <v>15</v>
      </c>
      <c r="K1799" s="43" t="s">
        <v>831</v>
      </c>
      <c r="L1799" s="43" t="s">
        <v>525</v>
      </c>
      <c r="M1799" s="43" t="s">
        <v>869</v>
      </c>
      <c r="N1799" s="53" t="s">
        <v>717</v>
      </c>
      <c r="O1799" s="43" t="s">
        <v>17</v>
      </c>
      <c r="P1799" s="43" t="s">
        <v>13</v>
      </c>
      <c r="Q1799" s="43" t="s">
        <v>44</v>
      </c>
      <c r="R1799" s="43"/>
      <c r="S1799" s="51"/>
    </row>
    <row r="1800" spans="1:19" ht="18" customHeight="1" x14ac:dyDescent="0.25">
      <c r="A1800" s="79"/>
      <c r="B1800" s="49"/>
      <c r="C1800" s="31" t="s">
        <v>6</v>
      </c>
      <c r="D1800" s="27">
        <f>SUM(D1801:D1804)</f>
        <v>7200</v>
      </c>
      <c r="E1800" s="23">
        <f t="shared" ref="E1800" si="438">SUM(E1801:E1804)</f>
        <v>7200</v>
      </c>
      <c r="F1800" s="23"/>
      <c r="G1800" s="23"/>
      <c r="H1800" s="23"/>
      <c r="I1800" s="23"/>
      <c r="J1800" s="43"/>
      <c r="K1800" s="43"/>
      <c r="L1800" s="43"/>
      <c r="M1800" s="43"/>
      <c r="N1800" s="53"/>
      <c r="O1800" s="43"/>
      <c r="P1800" s="43"/>
      <c r="Q1800" s="43"/>
      <c r="R1800" s="43"/>
      <c r="S1800" s="51"/>
    </row>
    <row r="1801" spans="1:19" ht="18" customHeight="1" x14ac:dyDescent="0.25">
      <c r="A1801" s="79"/>
      <c r="B1801" s="49"/>
      <c r="C1801" s="31" t="s">
        <v>0</v>
      </c>
      <c r="D1801" s="27"/>
      <c r="E1801" s="23"/>
      <c r="F1801" s="23"/>
      <c r="G1801" s="23"/>
      <c r="H1801" s="23"/>
      <c r="I1801" s="23"/>
      <c r="J1801" s="43"/>
      <c r="K1801" s="43"/>
      <c r="L1801" s="43"/>
      <c r="M1801" s="43"/>
      <c r="N1801" s="53"/>
      <c r="O1801" s="43"/>
      <c r="P1801" s="43"/>
      <c r="Q1801" s="43"/>
      <c r="R1801" s="43"/>
      <c r="S1801" s="51"/>
    </row>
    <row r="1802" spans="1:19" ht="18" customHeight="1" x14ac:dyDescent="0.25">
      <c r="A1802" s="79"/>
      <c r="B1802" s="49"/>
      <c r="C1802" s="31" t="s">
        <v>1</v>
      </c>
      <c r="D1802" s="27">
        <f t="shared" ref="D1802" si="439">SUM(E1802:I1802)</f>
        <v>7200</v>
      </c>
      <c r="E1802" s="23">
        <v>7200</v>
      </c>
      <c r="F1802" s="23"/>
      <c r="G1802" s="23"/>
      <c r="H1802" s="23"/>
      <c r="I1802" s="23"/>
      <c r="J1802" s="43"/>
      <c r="K1802" s="43"/>
      <c r="L1802" s="43"/>
      <c r="M1802" s="43"/>
      <c r="N1802" s="53"/>
      <c r="O1802" s="43"/>
      <c r="P1802" s="43"/>
      <c r="Q1802" s="43"/>
      <c r="R1802" s="43"/>
      <c r="S1802" s="51"/>
    </row>
    <row r="1803" spans="1:19" ht="18" customHeight="1" x14ac:dyDescent="0.25">
      <c r="A1803" s="79"/>
      <c r="B1803" s="49"/>
      <c r="C1803" s="31" t="s">
        <v>2</v>
      </c>
      <c r="D1803" s="27"/>
      <c r="E1803" s="23"/>
      <c r="F1803" s="23"/>
      <c r="G1803" s="23"/>
      <c r="H1803" s="23"/>
      <c r="I1803" s="23"/>
      <c r="J1803" s="43"/>
      <c r="K1803" s="43"/>
      <c r="L1803" s="43"/>
      <c r="M1803" s="43"/>
      <c r="N1803" s="53"/>
      <c r="O1803" s="43"/>
      <c r="P1803" s="43"/>
      <c r="Q1803" s="43"/>
      <c r="R1803" s="43"/>
      <c r="S1803" s="51"/>
    </row>
    <row r="1804" spans="1:19" ht="18" customHeight="1" x14ac:dyDescent="0.25">
      <c r="A1804" s="79"/>
      <c r="B1804" s="49"/>
      <c r="C1804" s="31" t="s">
        <v>3</v>
      </c>
      <c r="D1804" s="27"/>
      <c r="E1804" s="23"/>
      <c r="F1804" s="23"/>
      <c r="G1804" s="23"/>
      <c r="H1804" s="23"/>
      <c r="I1804" s="23"/>
      <c r="J1804" s="43"/>
      <c r="K1804" s="43"/>
      <c r="L1804" s="43"/>
      <c r="M1804" s="43"/>
      <c r="N1804" s="53"/>
      <c r="O1804" s="43"/>
      <c r="P1804" s="43"/>
      <c r="Q1804" s="43"/>
      <c r="R1804" s="43"/>
      <c r="S1804" s="51"/>
    </row>
    <row r="1805" spans="1:19" ht="18.75" customHeight="1" x14ac:dyDescent="0.25">
      <c r="A1805" s="37" t="s">
        <v>845</v>
      </c>
      <c r="B1805" s="37"/>
      <c r="C1805" s="37"/>
      <c r="D1805" s="37"/>
      <c r="E1805" s="37"/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</row>
    <row r="1806" spans="1:19" ht="21" customHeight="1" x14ac:dyDescent="0.25">
      <c r="A1806" s="80"/>
      <c r="B1806" s="75" t="s">
        <v>556</v>
      </c>
      <c r="C1806" s="76"/>
      <c r="D1806" s="76"/>
      <c r="E1806" s="76"/>
      <c r="F1806" s="76"/>
      <c r="G1806" s="76"/>
      <c r="H1806" s="76"/>
      <c r="I1806" s="76"/>
      <c r="J1806" s="76"/>
      <c r="K1806" s="76"/>
      <c r="L1806" s="76"/>
      <c r="M1806" s="76"/>
      <c r="N1806" s="76"/>
      <c r="O1806" s="76"/>
      <c r="P1806" s="76"/>
      <c r="Q1806" s="76"/>
      <c r="R1806" s="76"/>
      <c r="S1806" s="77"/>
    </row>
    <row r="1807" spans="1:19" ht="20.25" customHeight="1" x14ac:dyDescent="0.25">
      <c r="A1807" s="81"/>
      <c r="B1807" s="49" t="s">
        <v>885</v>
      </c>
      <c r="C1807" s="50" t="s">
        <v>886</v>
      </c>
      <c r="D1807" s="50"/>
      <c r="E1807" s="50"/>
      <c r="F1807" s="50"/>
      <c r="G1807" s="50"/>
      <c r="H1807" s="50"/>
      <c r="I1807" s="50"/>
      <c r="J1807" s="43" t="s">
        <v>14</v>
      </c>
      <c r="K1807" s="43" t="s">
        <v>821</v>
      </c>
      <c r="L1807" s="43" t="s">
        <v>525</v>
      </c>
      <c r="M1807" s="43" t="s">
        <v>845</v>
      </c>
      <c r="N1807" s="53" t="s">
        <v>887</v>
      </c>
      <c r="O1807" s="43" t="s">
        <v>17</v>
      </c>
      <c r="P1807" s="43" t="s">
        <v>13</v>
      </c>
      <c r="Q1807" s="43" t="s">
        <v>44</v>
      </c>
      <c r="R1807" s="43"/>
      <c r="S1807" s="51"/>
    </row>
    <row r="1808" spans="1:19" ht="18" customHeight="1" x14ac:dyDescent="0.25">
      <c r="A1808" s="81"/>
      <c r="B1808" s="49"/>
      <c r="C1808" s="31" t="s">
        <v>6</v>
      </c>
      <c r="D1808" s="27">
        <f>SUM(D1809:D1812)</f>
        <v>111500</v>
      </c>
      <c r="E1808" s="23">
        <f t="shared" ref="E1808:F1808" si="440">SUM(E1809:E1812)</f>
        <v>60500</v>
      </c>
      <c r="F1808" s="23">
        <f t="shared" si="440"/>
        <v>51000</v>
      </c>
      <c r="G1808" s="23"/>
      <c r="H1808" s="23"/>
      <c r="I1808" s="23"/>
      <c r="J1808" s="43"/>
      <c r="K1808" s="43"/>
      <c r="L1808" s="43"/>
      <c r="M1808" s="43"/>
      <c r="N1808" s="53"/>
      <c r="O1808" s="43"/>
      <c r="P1808" s="43"/>
      <c r="Q1808" s="43"/>
      <c r="R1808" s="43"/>
      <c r="S1808" s="51"/>
    </row>
    <row r="1809" spans="1:19" ht="18" customHeight="1" x14ac:dyDescent="0.25">
      <c r="A1809" s="81"/>
      <c r="B1809" s="49"/>
      <c r="C1809" s="31" t="s">
        <v>0</v>
      </c>
      <c r="D1809" s="27"/>
      <c r="E1809" s="23"/>
      <c r="F1809" s="23"/>
      <c r="G1809" s="23"/>
      <c r="H1809" s="23"/>
      <c r="I1809" s="23"/>
      <c r="J1809" s="43"/>
      <c r="K1809" s="43"/>
      <c r="L1809" s="43"/>
      <c r="M1809" s="43"/>
      <c r="N1809" s="53"/>
      <c r="O1809" s="43"/>
      <c r="P1809" s="43"/>
      <c r="Q1809" s="43"/>
      <c r="R1809" s="43"/>
      <c r="S1809" s="51"/>
    </row>
    <row r="1810" spans="1:19" ht="18" customHeight="1" x14ac:dyDescent="0.25">
      <c r="A1810" s="81"/>
      <c r="B1810" s="49"/>
      <c r="C1810" s="31" t="s">
        <v>1</v>
      </c>
      <c r="D1810" s="27">
        <f t="shared" ref="D1810" si="441">SUM(E1810:I1810)</f>
        <v>111500</v>
      </c>
      <c r="E1810" s="23">
        <f>70000-9500</f>
        <v>60500</v>
      </c>
      <c r="F1810" s="23">
        <v>51000</v>
      </c>
      <c r="G1810" s="23"/>
      <c r="H1810" s="23"/>
      <c r="I1810" s="23"/>
      <c r="J1810" s="43"/>
      <c r="K1810" s="43"/>
      <c r="L1810" s="43"/>
      <c r="M1810" s="43"/>
      <c r="N1810" s="53"/>
      <c r="O1810" s="43"/>
      <c r="P1810" s="43"/>
      <c r="Q1810" s="43"/>
      <c r="R1810" s="43"/>
      <c r="S1810" s="51"/>
    </row>
    <row r="1811" spans="1:19" ht="18" customHeight="1" x14ac:dyDescent="0.25">
      <c r="A1811" s="81"/>
      <c r="B1811" s="49"/>
      <c r="C1811" s="31" t="s">
        <v>2</v>
      </c>
      <c r="D1811" s="27"/>
      <c r="E1811" s="23"/>
      <c r="F1811" s="23"/>
      <c r="G1811" s="23"/>
      <c r="H1811" s="23"/>
      <c r="I1811" s="23"/>
      <c r="J1811" s="43"/>
      <c r="K1811" s="43"/>
      <c r="L1811" s="43"/>
      <c r="M1811" s="43"/>
      <c r="N1811" s="53"/>
      <c r="O1811" s="43"/>
      <c r="P1811" s="43"/>
      <c r="Q1811" s="43"/>
      <c r="R1811" s="43"/>
      <c r="S1811" s="51"/>
    </row>
    <row r="1812" spans="1:19" ht="18" customHeight="1" x14ac:dyDescent="0.25">
      <c r="A1812" s="82"/>
      <c r="B1812" s="49"/>
      <c r="C1812" s="31" t="s">
        <v>3</v>
      </c>
      <c r="D1812" s="27"/>
      <c r="E1812" s="23"/>
      <c r="F1812" s="23"/>
      <c r="G1812" s="23"/>
      <c r="H1812" s="23"/>
      <c r="I1812" s="23"/>
      <c r="J1812" s="43"/>
      <c r="K1812" s="43"/>
      <c r="L1812" s="43"/>
      <c r="M1812" s="43"/>
      <c r="N1812" s="53"/>
      <c r="O1812" s="43"/>
      <c r="P1812" s="43"/>
      <c r="Q1812" s="43"/>
      <c r="R1812" s="43"/>
      <c r="S1812" s="51"/>
    </row>
    <row r="1813" spans="1:19" ht="18.75" customHeight="1" x14ac:dyDescent="0.25">
      <c r="A1813" s="37" t="s">
        <v>845</v>
      </c>
      <c r="B1813" s="37"/>
      <c r="C1813" s="37"/>
      <c r="D1813" s="37"/>
      <c r="E1813" s="37"/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</row>
    <row r="1814" spans="1:19" ht="21" customHeight="1" x14ac:dyDescent="0.25">
      <c r="A1814" s="80"/>
      <c r="B1814" s="75" t="s">
        <v>556</v>
      </c>
      <c r="C1814" s="76"/>
      <c r="D1814" s="76"/>
      <c r="E1814" s="76"/>
      <c r="F1814" s="76"/>
      <c r="G1814" s="76"/>
      <c r="H1814" s="76"/>
      <c r="I1814" s="76"/>
      <c r="J1814" s="76"/>
      <c r="K1814" s="76"/>
      <c r="L1814" s="76"/>
      <c r="M1814" s="76"/>
      <c r="N1814" s="76"/>
      <c r="O1814" s="76"/>
      <c r="P1814" s="76"/>
      <c r="Q1814" s="76"/>
      <c r="R1814" s="76"/>
      <c r="S1814" s="77"/>
    </row>
    <row r="1815" spans="1:19" ht="20.25" customHeight="1" x14ac:dyDescent="0.25">
      <c r="A1815" s="81"/>
      <c r="B1815" s="49" t="s">
        <v>1061</v>
      </c>
      <c r="C1815" s="50" t="s">
        <v>960</v>
      </c>
      <c r="D1815" s="50"/>
      <c r="E1815" s="50"/>
      <c r="F1815" s="50"/>
      <c r="G1815" s="50"/>
      <c r="H1815" s="50"/>
      <c r="I1815" s="50"/>
      <c r="J1815" s="43" t="s">
        <v>961</v>
      </c>
      <c r="K1815" s="43" t="s">
        <v>962</v>
      </c>
      <c r="L1815" s="43" t="s">
        <v>525</v>
      </c>
      <c r="M1815" s="43" t="s">
        <v>869</v>
      </c>
      <c r="N1815" s="53" t="s">
        <v>963</v>
      </c>
      <c r="O1815" s="43" t="s">
        <v>17</v>
      </c>
      <c r="P1815" s="43" t="s">
        <v>13</v>
      </c>
      <c r="Q1815" s="43" t="s">
        <v>44</v>
      </c>
      <c r="R1815" s="43"/>
      <c r="S1815" s="51"/>
    </row>
    <row r="1816" spans="1:19" ht="18" customHeight="1" x14ac:dyDescent="0.25">
      <c r="A1816" s="81"/>
      <c r="B1816" s="49"/>
      <c r="C1816" s="31" t="s">
        <v>6</v>
      </c>
      <c r="D1816" s="27">
        <f>SUM(D1817:D1820)</f>
        <v>9500</v>
      </c>
      <c r="E1816" s="23">
        <f t="shared" ref="E1816" si="442">SUM(E1817:E1820)</f>
        <v>9500</v>
      </c>
      <c r="F1816" s="23"/>
      <c r="G1816" s="23"/>
      <c r="H1816" s="23"/>
      <c r="I1816" s="23"/>
      <c r="J1816" s="43"/>
      <c r="K1816" s="43"/>
      <c r="L1816" s="43"/>
      <c r="M1816" s="43"/>
      <c r="N1816" s="53"/>
      <c r="O1816" s="43"/>
      <c r="P1816" s="43"/>
      <c r="Q1816" s="43"/>
      <c r="R1816" s="43"/>
      <c r="S1816" s="51"/>
    </row>
    <row r="1817" spans="1:19" ht="18" customHeight="1" x14ac:dyDescent="0.25">
      <c r="A1817" s="81"/>
      <c r="B1817" s="49"/>
      <c r="C1817" s="31" t="s">
        <v>0</v>
      </c>
      <c r="D1817" s="27"/>
      <c r="E1817" s="23"/>
      <c r="F1817" s="23"/>
      <c r="G1817" s="23"/>
      <c r="H1817" s="23"/>
      <c r="I1817" s="23"/>
      <c r="J1817" s="43"/>
      <c r="K1817" s="43"/>
      <c r="L1817" s="43"/>
      <c r="M1817" s="43"/>
      <c r="N1817" s="53"/>
      <c r="O1817" s="43"/>
      <c r="P1817" s="43"/>
      <c r="Q1817" s="43"/>
      <c r="R1817" s="43"/>
      <c r="S1817" s="51"/>
    </row>
    <row r="1818" spans="1:19" ht="18" customHeight="1" x14ac:dyDescent="0.25">
      <c r="A1818" s="81"/>
      <c r="B1818" s="49"/>
      <c r="C1818" s="31" t="s">
        <v>1</v>
      </c>
      <c r="D1818" s="27">
        <f t="shared" ref="D1818" si="443">SUM(E1818:I1818)</f>
        <v>9500</v>
      </c>
      <c r="E1818" s="23">
        <v>9500</v>
      </c>
      <c r="F1818" s="23"/>
      <c r="G1818" s="23"/>
      <c r="H1818" s="23"/>
      <c r="I1818" s="23"/>
      <c r="J1818" s="43"/>
      <c r="K1818" s="43"/>
      <c r="L1818" s="43"/>
      <c r="M1818" s="43"/>
      <c r="N1818" s="53"/>
      <c r="O1818" s="43"/>
      <c r="P1818" s="43"/>
      <c r="Q1818" s="43"/>
      <c r="R1818" s="43"/>
      <c r="S1818" s="51"/>
    </row>
    <row r="1819" spans="1:19" ht="18" customHeight="1" x14ac:dyDescent="0.25">
      <c r="A1819" s="81"/>
      <c r="B1819" s="49"/>
      <c r="C1819" s="31" t="s">
        <v>2</v>
      </c>
      <c r="D1819" s="27"/>
      <c r="E1819" s="23"/>
      <c r="F1819" s="23"/>
      <c r="G1819" s="23"/>
      <c r="H1819" s="23"/>
      <c r="I1819" s="23"/>
      <c r="J1819" s="43"/>
      <c r="K1819" s="43"/>
      <c r="L1819" s="43"/>
      <c r="M1819" s="43"/>
      <c r="N1819" s="53"/>
      <c r="O1819" s="43"/>
      <c r="P1819" s="43"/>
      <c r="Q1819" s="43"/>
      <c r="R1819" s="43"/>
      <c r="S1819" s="51"/>
    </row>
    <row r="1820" spans="1:19" ht="24.75" customHeight="1" x14ac:dyDescent="0.25">
      <c r="A1820" s="82"/>
      <c r="B1820" s="49"/>
      <c r="C1820" s="31" t="s">
        <v>3</v>
      </c>
      <c r="D1820" s="27"/>
      <c r="E1820" s="23"/>
      <c r="F1820" s="23"/>
      <c r="G1820" s="23"/>
      <c r="H1820" s="23"/>
      <c r="I1820" s="23"/>
      <c r="J1820" s="43"/>
      <c r="K1820" s="43"/>
      <c r="L1820" s="43"/>
      <c r="M1820" s="43"/>
      <c r="N1820" s="53"/>
      <c r="O1820" s="43"/>
      <c r="P1820" s="43"/>
      <c r="Q1820" s="43"/>
      <c r="R1820" s="43"/>
      <c r="S1820" s="51"/>
    </row>
    <row r="1821" spans="1:19" ht="18.75" customHeight="1" x14ac:dyDescent="0.25">
      <c r="A1821" s="72" t="s">
        <v>845</v>
      </c>
      <c r="B1821" s="73"/>
      <c r="C1821" s="73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74"/>
    </row>
    <row r="1822" spans="1:19" ht="21" customHeight="1" x14ac:dyDescent="0.25">
      <c r="A1822" s="38"/>
      <c r="B1822" s="89" t="s">
        <v>556</v>
      </c>
      <c r="C1822" s="90"/>
      <c r="D1822" s="90"/>
      <c r="E1822" s="90"/>
      <c r="F1822" s="90"/>
      <c r="G1822" s="90"/>
      <c r="H1822" s="90"/>
      <c r="I1822" s="90"/>
      <c r="J1822" s="90"/>
      <c r="K1822" s="90"/>
      <c r="L1822" s="90"/>
      <c r="M1822" s="90"/>
      <c r="N1822" s="90"/>
      <c r="O1822" s="90"/>
      <c r="P1822" s="90"/>
      <c r="Q1822" s="90"/>
      <c r="R1822" s="90"/>
      <c r="S1822" s="91"/>
    </row>
    <row r="1823" spans="1:19" ht="22.5" customHeight="1" x14ac:dyDescent="0.25">
      <c r="A1823" s="38"/>
      <c r="B1823" s="92" t="s">
        <v>942</v>
      </c>
      <c r="C1823" s="95" t="s">
        <v>929</v>
      </c>
      <c r="D1823" s="96"/>
      <c r="E1823" s="96"/>
      <c r="F1823" s="96"/>
      <c r="G1823" s="96"/>
      <c r="H1823" s="96"/>
      <c r="I1823" s="97"/>
      <c r="J1823" s="83" t="s">
        <v>15</v>
      </c>
      <c r="K1823" s="42" t="s">
        <v>917</v>
      </c>
      <c r="L1823" s="83"/>
      <c r="M1823" s="42" t="s">
        <v>845</v>
      </c>
      <c r="N1823" s="98" t="s">
        <v>933</v>
      </c>
      <c r="O1823" s="83" t="s">
        <v>17</v>
      </c>
      <c r="P1823" s="42" t="s">
        <v>13</v>
      </c>
      <c r="Q1823" s="83" t="s">
        <v>44</v>
      </c>
      <c r="R1823" s="83"/>
      <c r="S1823" s="86"/>
    </row>
    <row r="1824" spans="1:19" ht="18" customHeight="1" x14ac:dyDescent="0.25">
      <c r="A1824" s="38"/>
      <c r="B1824" s="93"/>
      <c r="C1824" s="30" t="s">
        <v>6</v>
      </c>
      <c r="D1824" s="29">
        <f>SUM(D1825:D1828)</f>
        <v>171589.86</v>
      </c>
      <c r="E1824" s="25">
        <f t="shared" ref="E1824" si="444">SUM(E1825:E1828)</f>
        <v>171589.86</v>
      </c>
      <c r="F1824" s="25"/>
      <c r="G1824" s="25"/>
      <c r="H1824" s="25"/>
      <c r="I1824" s="25"/>
      <c r="J1824" s="84"/>
      <c r="K1824" s="42"/>
      <c r="L1824" s="84"/>
      <c r="M1824" s="42"/>
      <c r="N1824" s="99"/>
      <c r="O1824" s="84"/>
      <c r="P1824" s="42"/>
      <c r="Q1824" s="84"/>
      <c r="R1824" s="84"/>
      <c r="S1824" s="87"/>
    </row>
    <row r="1825" spans="1:19" ht="18" customHeight="1" x14ac:dyDescent="0.25">
      <c r="A1825" s="38"/>
      <c r="B1825" s="93"/>
      <c r="C1825" s="30" t="s">
        <v>0</v>
      </c>
      <c r="D1825" s="29"/>
      <c r="E1825" s="25"/>
      <c r="F1825" s="25"/>
      <c r="G1825" s="25"/>
      <c r="H1825" s="25"/>
      <c r="I1825" s="25"/>
      <c r="J1825" s="84"/>
      <c r="K1825" s="42"/>
      <c r="L1825" s="84"/>
      <c r="M1825" s="42"/>
      <c r="N1825" s="99"/>
      <c r="O1825" s="84"/>
      <c r="P1825" s="42"/>
      <c r="Q1825" s="84"/>
      <c r="R1825" s="84"/>
      <c r="S1825" s="87"/>
    </row>
    <row r="1826" spans="1:19" ht="18" customHeight="1" x14ac:dyDescent="0.25">
      <c r="A1826" s="38"/>
      <c r="B1826" s="93"/>
      <c r="C1826" s="30" t="s">
        <v>1</v>
      </c>
      <c r="D1826" s="29">
        <f t="shared" ref="D1826" si="445">SUM(E1826:I1826)</f>
        <v>171589.86</v>
      </c>
      <c r="E1826" s="25">
        <v>171589.86</v>
      </c>
      <c r="F1826" s="25"/>
      <c r="G1826" s="25"/>
      <c r="H1826" s="25"/>
      <c r="I1826" s="25"/>
      <c r="J1826" s="84"/>
      <c r="K1826" s="42"/>
      <c r="L1826" s="84"/>
      <c r="M1826" s="42"/>
      <c r="N1826" s="99"/>
      <c r="O1826" s="84"/>
      <c r="P1826" s="42"/>
      <c r="Q1826" s="84"/>
      <c r="R1826" s="84"/>
      <c r="S1826" s="87"/>
    </row>
    <row r="1827" spans="1:19" ht="18" customHeight="1" x14ac:dyDescent="0.25">
      <c r="A1827" s="38"/>
      <c r="B1827" s="93"/>
      <c r="C1827" s="30" t="s">
        <v>2</v>
      </c>
      <c r="D1827" s="29"/>
      <c r="E1827" s="25"/>
      <c r="F1827" s="25"/>
      <c r="G1827" s="25"/>
      <c r="H1827" s="25"/>
      <c r="I1827" s="25"/>
      <c r="J1827" s="84"/>
      <c r="K1827" s="42"/>
      <c r="L1827" s="84"/>
      <c r="M1827" s="42"/>
      <c r="N1827" s="99"/>
      <c r="O1827" s="84"/>
      <c r="P1827" s="42"/>
      <c r="Q1827" s="84"/>
      <c r="R1827" s="84"/>
      <c r="S1827" s="87"/>
    </row>
    <row r="1828" spans="1:19" ht="18" customHeight="1" x14ac:dyDescent="0.25">
      <c r="A1828" s="38"/>
      <c r="B1828" s="94"/>
      <c r="C1828" s="30" t="s">
        <v>3</v>
      </c>
      <c r="D1828" s="29"/>
      <c r="E1828" s="25"/>
      <c r="F1828" s="25"/>
      <c r="G1828" s="25"/>
      <c r="H1828" s="25"/>
      <c r="I1828" s="25"/>
      <c r="J1828" s="85"/>
      <c r="K1828" s="42"/>
      <c r="L1828" s="85"/>
      <c r="M1828" s="42"/>
      <c r="N1828" s="100"/>
      <c r="O1828" s="85"/>
      <c r="P1828" s="42"/>
      <c r="Q1828" s="85"/>
      <c r="R1828" s="85"/>
      <c r="S1828" s="88"/>
    </row>
    <row r="1829" spans="1:19" ht="18.75" customHeight="1" x14ac:dyDescent="0.25">
      <c r="A1829" s="37" t="s">
        <v>845</v>
      </c>
      <c r="B1829" s="37"/>
      <c r="C1829" s="37"/>
      <c r="D1829" s="37"/>
      <c r="E1829" s="37"/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</row>
    <row r="1830" spans="1:19" ht="21" customHeight="1" x14ac:dyDescent="0.25">
      <c r="A1830" s="101"/>
      <c r="B1830" s="89" t="s">
        <v>556</v>
      </c>
      <c r="C1830" s="90"/>
      <c r="D1830" s="90"/>
      <c r="E1830" s="90"/>
      <c r="F1830" s="90"/>
      <c r="G1830" s="90"/>
      <c r="H1830" s="90"/>
      <c r="I1830" s="90"/>
      <c r="J1830" s="90"/>
      <c r="K1830" s="90"/>
      <c r="L1830" s="90"/>
      <c r="M1830" s="90"/>
      <c r="N1830" s="90"/>
      <c r="O1830" s="90"/>
      <c r="P1830" s="90"/>
      <c r="Q1830" s="90"/>
      <c r="R1830" s="90"/>
      <c r="S1830" s="91"/>
    </row>
    <row r="1831" spans="1:19" ht="22.5" customHeight="1" x14ac:dyDescent="0.25">
      <c r="A1831" s="102"/>
      <c r="B1831" s="92" t="s">
        <v>943</v>
      </c>
      <c r="C1831" s="95" t="s">
        <v>934</v>
      </c>
      <c r="D1831" s="96"/>
      <c r="E1831" s="96"/>
      <c r="F1831" s="96"/>
      <c r="G1831" s="96"/>
      <c r="H1831" s="96"/>
      <c r="I1831" s="97"/>
      <c r="J1831" s="83" t="s">
        <v>15</v>
      </c>
      <c r="K1831" s="42" t="s">
        <v>917</v>
      </c>
      <c r="L1831" s="83" t="s">
        <v>525</v>
      </c>
      <c r="M1831" s="42" t="s">
        <v>845</v>
      </c>
      <c r="N1831" s="98" t="s">
        <v>935</v>
      </c>
      <c r="O1831" s="83" t="s">
        <v>17</v>
      </c>
      <c r="P1831" s="42" t="s">
        <v>13</v>
      </c>
      <c r="Q1831" s="83" t="s">
        <v>44</v>
      </c>
      <c r="R1831" s="83"/>
      <c r="S1831" s="86"/>
    </row>
    <row r="1832" spans="1:19" ht="18" customHeight="1" x14ac:dyDescent="0.25">
      <c r="A1832" s="102"/>
      <c r="B1832" s="93"/>
      <c r="C1832" s="30" t="s">
        <v>6</v>
      </c>
      <c r="D1832" s="29">
        <f>SUM(D1833:D1836)</f>
        <v>22966</v>
      </c>
      <c r="E1832" s="25">
        <f t="shared" ref="E1832" si="446">SUM(E1833:E1836)</f>
        <v>22966</v>
      </c>
      <c r="F1832" s="25"/>
      <c r="G1832" s="25"/>
      <c r="H1832" s="25"/>
      <c r="I1832" s="25"/>
      <c r="J1832" s="84"/>
      <c r="K1832" s="42"/>
      <c r="L1832" s="84"/>
      <c r="M1832" s="42"/>
      <c r="N1832" s="99"/>
      <c r="O1832" s="84"/>
      <c r="P1832" s="42"/>
      <c r="Q1832" s="84"/>
      <c r="R1832" s="84"/>
      <c r="S1832" s="87"/>
    </row>
    <row r="1833" spans="1:19" ht="18" customHeight="1" x14ac:dyDescent="0.25">
      <c r="A1833" s="102"/>
      <c r="B1833" s="93"/>
      <c r="C1833" s="30" t="s">
        <v>0</v>
      </c>
      <c r="D1833" s="29"/>
      <c r="E1833" s="25"/>
      <c r="F1833" s="25"/>
      <c r="G1833" s="25"/>
      <c r="H1833" s="25"/>
      <c r="I1833" s="25"/>
      <c r="J1833" s="84"/>
      <c r="K1833" s="42"/>
      <c r="L1833" s="84"/>
      <c r="M1833" s="42"/>
      <c r="N1833" s="99"/>
      <c r="O1833" s="84"/>
      <c r="P1833" s="42"/>
      <c r="Q1833" s="84"/>
      <c r="R1833" s="84"/>
      <c r="S1833" s="87"/>
    </row>
    <row r="1834" spans="1:19" ht="18" customHeight="1" x14ac:dyDescent="0.25">
      <c r="A1834" s="102"/>
      <c r="B1834" s="93"/>
      <c r="C1834" s="30" t="s">
        <v>1</v>
      </c>
      <c r="D1834" s="29">
        <f t="shared" ref="D1834" si="447">SUM(E1834:I1834)</f>
        <v>22966</v>
      </c>
      <c r="E1834" s="25">
        <v>22966</v>
      </c>
      <c r="F1834" s="25"/>
      <c r="G1834" s="25"/>
      <c r="H1834" s="25"/>
      <c r="I1834" s="25"/>
      <c r="J1834" s="84"/>
      <c r="K1834" s="42"/>
      <c r="L1834" s="84"/>
      <c r="M1834" s="42"/>
      <c r="N1834" s="99"/>
      <c r="O1834" s="84"/>
      <c r="P1834" s="42"/>
      <c r="Q1834" s="84"/>
      <c r="R1834" s="84"/>
      <c r="S1834" s="87"/>
    </row>
    <row r="1835" spans="1:19" ht="18" customHeight="1" x14ac:dyDescent="0.25">
      <c r="A1835" s="102"/>
      <c r="B1835" s="93"/>
      <c r="C1835" s="30" t="s">
        <v>2</v>
      </c>
      <c r="D1835" s="29"/>
      <c r="E1835" s="25"/>
      <c r="F1835" s="25"/>
      <c r="G1835" s="25"/>
      <c r="H1835" s="25"/>
      <c r="I1835" s="25"/>
      <c r="J1835" s="84"/>
      <c r="K1835" s="42"/>
      <c r="L1835" s="84"/>
      <c r="M1835" s="42"/>
      <c r="N1835" s="99"/>
      <c r="O1835" s="84"/>
      <c r="P1835" s="42"/>
      <c r="Q1835" s="84"/>
      <c r="R1835" s="84"/>
      <c r="S1835" s="87"/>
    </row>
    <row r="1836" spans="1:19" ht="18" customHeight="1" x14ac:dyDescent="0.25">
      <c r="A1836" s="103"/>
      <c r="B1836" s="94"/>
      <c r="C1836" s="30" t="s">
        <v>3</v>
      </c>
      <c r="D1836" s="29"/>
      <c r="E1836" s="25"/>
      <c r="F1836" s="25"/>
      <c r="G1836" s="25"/>
      <c r="H1836" s="25"/>
      <c r="I1836" s="25"/>
      <c r="J1836" s="85"/>
      <c r="K1836" s="42"/>
      <c r="L1836" s="85"/>
      <c r="M1836" s="42"/>
      <c r="N1836" s="100"/>
      <c r="O1836" s="85"/>
      <c r="P1836" s="42"/>
      <c r="Q1836" s="85"/>
      <c r="R1836" s="85"/>
      <c r="S1836" s="88"/>
    </row>
    <row r="1837" spans="1:19" ht="18.75" customHeight="1" x14ac:dyDescent="0.25">
      <c r="A1837" s="37" t="s">
        <v>845</v>
      </c>
      <c r="B1837" s="37"/>
      <c r="C1837" s="37"/>
      <c r="D1837" s="37"/>
      <c r="E1837" s="37"/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</row>
    <row r="1838" spans="1:19" ht="21" customHeight="1" x14ac:dyDescent="0.25">
      <c r="A1838" s="101"/>
      <c r="B1838" s="89" t="s">
        <v>556</v>
      </c>
      <c r="C1838" s="90"/>
      <c r="D1838" s="90"/>
      <c r="E1838" s="90"/>
      <c r="F1838" s="90"/>
      <c r="G1838" s="90"/>
      <c r="H1838" s="90"/>
      <c r="I1838" s="90"/>
      <c r="J1838" s="90"/>
      <c r="K1838" s="90"/>
      <c r="L1838" s="90"/>
      <c r="M1838" s="90"/>
      <c r="N1838" s="90"/>
      <c r="O1838" s="90"/>
      <c r="P1838" s="90"/>
      <c r="Q1838" s="90"/>
      <c r="R1838" s="90"/>
      <c r="S1838" s="91"/>
    </row>
    <row r="1839" spans="1:19" ht="22.5" customHeight="1" x14ac:dyDescent="0.25">
      <c r="A1839" s="102"/>
      <c r="B1839" s="92" t="s">
        <v>944</v>
      </c>
      <c r="C1839" s="95" t="s">
        <v>936</v>
      </c>
      <c r="D1839" s="96"/>
      <c r="E1839" s="96"/>
      <c r="F1839" s="96"/>
      <c r="G1839" s="96"/>
      <c r="H1839" s="96"/>
      <c r="I1839" s="97"/>
      <c r="J1839" s="83" t="s">
        <v>15</v>
      </c>
      <c r="K1839" s="42" t="s">
        <v>917</v>
      </c>
      <c r="L1839" s="83"/>
      <c r="M1839" s="42" t="s">
        <v>845</v>
      </c>
      <c r="N1839" s="98" t="s">
        <v>937</v>
      </c>
      <c r="O1839" s="83" t="s">
        <v>17</v>
      </c>
      <c r="P1839" s="42" t="s">
        <v>13</v>
      </c>
      <c r="Q1839" s="83" t="s">
        <v>44</v>
      </c>
      <c r="R1839" s="83"/>
      <c r="S1839" s="86"/>
    </row>
    <row r="1840" spans="1:19" ht="18" customHeight="1" x14ac:dyDescent="0.25">
      <c r="A1840" s="102"/>
      <c r="B1840" s="93"/>
      <c r="C1840" s="30" t="s">
        <v>6</v>
      </c>
      <c r="D1840" s="29">
        <f>SUM(D1841:D1844)</f>
        <v>14548</v>
      </c>
      <c r="E1840" s="25">
        <f t="shared" ref="E1840" si="448">SUM(E1841:E1844)</f>
        <v>14548</v>
      </c>
      <c r="F1840" s="25"/>
      <c r="G1840" s="25"/>
      <c r="H1840" s="25"/>
      <c r="I1840" s="25"/>
      <c r="J1840" s="84"/>
      <c r="K1840" s="42"/>
      <c r="L1840" s="84"/>
      <c r="M1840" s="42"/>
      <c r="N1840" s="99"/>
      <c r="O1840" s="84"/>
      <c r="P1840" s="42"/>
      <c r="Q1840" s="84"/>
      <c r="R1840" s="84"/>
      <c r="S1840" s="87"/>
    </row>
    <row r="1841" spans="1:19" ht="18" customHeight="1" x14ac:dyDescent="0.25">
      <c r="A1841" s="102"/>
      <c r="B1841" s="93"/>
      <c r="C1841" s="30" t="s">
        <v>0</v>
      </c>
      <c r="D1841" s="29"/>
      <c r="E1841" s="25"/>
      <c r="F1841" s="25"/>
      <c r="G1841" s="25"/>
      <c r="H1841" s="25"/>
      <c r="I1841" s="25"/>
      <c r="J1841" s="84"/>
      <c r="K1841" s="42"/>
      <c r="L1841" s="84"/>
      <c r="M1841" s="42"/>
      <c r="N1841" s="99"/>
      <c r="O1841" s="84"/>
      <c r="P1841" s="42"/>
      <c r="Q1841" s="84"/>
      <c r="R1841" s="84"/>
      <c r="S1841" s="87"/>
    </row>
    <row r="1842" spans="1:19" ht="18" customHeight="1" x14ac:dyDescent="0.25">
      <c r="A1842" s="102"/>
      <c r="B1842" s="93"/>
      <c r="C1842" s="30" t="s">
        <v>1</v>
      </c>
      <c r="D1842" s="29">
        <f t="shared" ref="D1842" si="449">SUM(E1842:I1842)</f>
        <v>14548</v>
      </c>
      <c r="E1842" s="25">
        <v>14548</v>
      </c>
      <c r="F1842" s="25"/>
      <c r="G1842" s="25"/>
      <c r="H1842" s="25"/>
      <c r="I1842" s="25"/>
      <c r="J1842" s="84"/>
      <c r="K1842" s="42"/>
      <c r="L1842" s="84"/>
      <c r="M1842" s="42"/>
      <c r="N1842" s="99"/>
      <c r="O1842" s="84"/>
      <c r="P1842" s="42"/>
      <c r="Q1842" s="84"/>
      <c r="R1842" s="84"/>
      <c r="S1842" s="87"/>
    </row>
    <row r="1843" spans="1:19" ht="18" customHeight="1" x14ac:dyDescent="0.25">
      <c r="A1843" s="102"/>
      <c r="B1843" s="93"/>
      <c r="C1843" s="30" t="s">
        <v>2</v>
      </c>
      <c r="D1843" s="29"/>
      <c r="E1843" s="25"/>
      <c r="F1843" s="25"/>
      <c r="G1843" s="25"/>
      <c r="H1843" s="25"/>
      <c r="I1843" s="25"/>
      <c r="J1843" s="84"/>
      <c r="K1843" s="42"/>
      <c r="L1843" s="84"/>
      <c r="M1843" s="42"/>
      <c r="N1843" s="99"/>
      <c r="O1843" s="84"/>
      <c r="P1843" s="42"/>
      <c r="Q1843" s="84"/>
      <c r="R1843" s="84"/>
      <c r="S1843" s="87"/>
    </row>
    <row r="1844" spans="1:19" ht="18" customHeight="1" x14ac:dyDescent="0.25">
      <c r="A1844" s="103"/>
      <c r="B1844" s="94"/>
      <c r="C1844" s="30" t="s">
        <v>3</v>
      </c>
      <c r="D1844" s="29"/>
      <c r="E1844" s="25"/>
      <c r="F1844" s="25"/>
      <c r="G1844" s="25"/>
      <c r="H1844" s="25"/>
      <c r="I1844" s="25"/>
      <c r="J1844" s="85"/>
      <c r="K1844" s="42"/>
      <c r="L1844" s="85"/>
      <c r="M1844" s="42"/>
      <c r="N1844" s="100"/>
      <c r="O1844" s="85"/>
      <c r="P1844" s="42"/>
      <c r="Q1844" s="85"/>
      <c r="R1844" s="85"/>
      <c r="S1844" s="88"/>
    </row>
    <row r="1845" spans="1:19" ht="18.75" customHeight="1" x14ac:dyDescent="0.25">
      <c r="A1845" s="37" t="s">
        <v>845</v>
      </c>
      <c r="B1845" s="37"/>
      <c r="C1845" s="37"/>
      <c r="D1845" s="37"/>
      <c r="E1845" s="37"/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</row>
    <row r="1846" spans="1:19" ht="21" customHeight="1" x14ac:dyDescent="0.25">
      <c r="A1846" s="101"/>
      <c r="B1846" s="89" t="s">
        <v>556</v>
      </c>
      <c r="C1846" s="90"/>
      <c r="D1846" s="90"/>
      <c r="E1846" s="90"/>
      <c r="F1846" s="90"/>
      <c r="G1846" s="90"/>
      <c r="H1846" s="90"/>
      <c r="I1846" s="90"/>
      <c r="J1846" s="90"/>
      <c r="K1846" s="90"/>
      <c r="L1846" s="90"/>
      <c r="M1846" s="90"/>
      <c r="N1846" s="90"/>
      <c r="O1846" s="90"/>
      <c r="P1846" s="90"/>
      <c r="Q1846" s="90"/>
      <c r="R1846" s="90"/>
      <c r="S1846" s="91"/>
    </row>
    <row r="1847" spans="1:19" ht="39" customHeight="1" x14ac:dyDescent="0.25">
      <c r="A1847" s="102"/>
      <c r="B1847" s="92" t="s">
        <v>945</v>
      </c>
      <c r="C1847" s="95" t="s">
        <v>938</v>
      </c>
      <c r="D1847" s="96"/>
      <c r="E1847" s="96"/>
      <c r="F1847" s="96"/>
      <c r="G1847" s="96"/>
      <c r="H1847" s="96"/>
      <c r="I1847" s="97"/>
      <c r="J1847" s="83" t="s">
        <v>15</v>
      </c>
      <c r="K1847" s="42" t="s">
        <v>917</v>
      </c>
      <c r="L1847" s="83"/>
      <c r="M1847" s="42" t="s">
        <v>845</v>
      </c>
      <c r="N1847" s="98" t="s">
        <v>939</v>
      </c>
      <c r="O1847" s="83" t="s">
        <v>17</v>
      </c>
      <c r="P1847" s="42" t="s">
        <v>13</v>
      </c>
      <c r="Q1847" s="83" t="s">
        <v>44</v>
      </c>
      <c r="R1847" s="83"/>
      <c r="S1847" s="86"/>
    </row>
    <row r="1848" spans="1:19" ht="18" customHeight="1" x14ac:dyDescent="0.25">
      <c r="A1848" s="102"/>
      <c r="B1848" s="93"/>
      <c r="C1848" s="30" t="s">
        <v>6</v>
      </c>
      <c r="D1848" s="29">
        <f>SUM(D1849:D1852)</f>
        <v>1592</v>
      </c>
      <c r="E1848" s="25">
        <f t="shared" ref="E1848" si="450">SUM(E1849:E1852)</f>
        <v>1592</v>
      </c>
      <c r="F1848" s="25"/>
      <c r="G1848" s="25"/>
      <c r="H1848" s="25"/>
      <c r="I1848" s="25"/>
      <c r="J1848" s="84"/>
      <c r="K1848" s="42"/>
      <c r="L1848" s="84"/>
      <c r="M1848" s="42"/>
      <c r="N1848" s="99"/>
      <c r="O1848" s="84"/>
      <c r="P1848" s="42"/>
      <c r="Q1848" s="84"/>
      <c r="R1848" s="84"/>
      <c r="S1848" s="87"/>
    </row>
    <row r="1849" spans="1:19" ht="18" customHeight="1" x14ac:dyDescent="0.25">
      <c r="A1849" s="102"/>
      <c r="B1849" s="93"/>
      <c r="C1849" s="30" t="s">
        <v>0</v>
      </c>
      <c r="D1849" s="29"/>
      <c r="E1849" s="25"/>
      <c r="F1849" s="25"/>
      <c r="G1849" s="25"/>
      <c r="H1849" s="25"/>
      <c r="I1849" s="25"/>
      <c r="J1849" s="84"/>
      <c r="K1849" s="42"/>
      <c r="L1849" s="84"/>
      <c r="M1849" s="42"/>
      <c r="N1849" s="99"/>
      <c r="O1849" s="84"/>
      <c r="P1849" s="42"/>
      <c r="Q1849" s="84"/>
      <c r="R1849" s="84"/>
      <c r="S1849" s="87"/>
    </row>
    <row r="1850" spans="1:19" ht="18" customHeight="1" x14ac:dyDescent="0.25">
      <c r="A1850" s="102"/>
      <c r="B1850" s="93"/>
      <c r="C1850" s="30" t="s">
        <v>1</v>
      </c>
      <c r="D1850" s="29">
        <f t="shared" ref="D1850" si="451">SUM(E1850:I1850)</f>
        <v>1592</v>
      </c>
      <c r="E1850" s="25">
        <v>1592</v>
      </c>
      <c r="F1850" s="25"/>
      <c r="G1850" s="25"/>
      <c r="H1850" s="25"/>
      <c r="I1850" s="25"/>
      <c r="J1850" s="84"/>
      <c r="K1850" s="42"/>
      <c r="L1850" s="84"/>
      <c r="M1850" s="42"/>
      <c r="N1850" s="99"/>
      <c r="O1850" s="84"/>
      <c r="P1850" s="42"/>
      <c r="Q1850" s="84"/>
      <c r="R1850" s="84"/>
      <c r="S1850" s="87"/>
    </row>
    <row r="1851" spans="1:19" ht="18" customHeight="1" x14ac:dyDescent="0.25">
      <c r="A1851" s="102"/>
      <c r="B1851" s="93"/>
      <c r="C1851" s="30" t="s">
        <v>2</v>
      </c>
      <c r="D1851" s="29"/>
      <c r="E1851" s="25"/>
      <c r="F1851" s="25"/>
      <c r="G1851" s="25"/>
      <c r="H1851" s="25"/>
      <c r="I1851" s="25"/>
      <c r="J1851" s="84"/>
      <c r="K1851" s="42"/>
      <c r="L1851" s="84"/>
      <c r="M1851" s="42"/>
      <c r="N1851" s="99"/>
      <c r="O1851" s="84"/>
      <c r="P1851" s="42"/>
      <c r="Q1851" s="84"/>
      <c r="R1851" s="84"/>
      <c r="S1851" s="87"/>
    </row>
    <row r="1852" spans="1:19" ht="18" customHeight="1" x14ac:dyDescent="0.25">
      <c r="A1852" s="103"/>
      <c r="B1852" s="94"/>
      <c r="C1852" s="30" t="s">
        <v>3</v>
      </c>
      <c r="D1852" s="29"/>
      <c r="E1852" s="25"/>
      <c r="F1852" s="25"/>
      <c r="G1852" s="25"/>
      <c r="H1852" s="25"/>
      <c r="I1852" s="25"/>
      <c r="J1852" s="85"/>
      <c r="K1852" s="42"/>
      <c r="L1852" s="85"/>
      <c r="M1852" s="42"/>
      <c r="N1852" s="100"/>
      <c r="O1852" s="85"/>
      <c r="P1852" s="42"/>
      <c r="Q1852" s="85"/>
      <c r="R1852" s="85"/>
      <c r="S1852" s="88"/>
    </row>
    <row r="1853" spans="1:19" ht="18.75" customHeight="1" x14ac:dyDescent="0.25">
      <c r="A1853" s="37" t="s">
        <v>845</v>
      </c>
      <c r="B1853" s="37"/>
      <c r="C1853" s="37"/>
      <c r="D1853" s="37"/>
      <c r="E1853" s="37"/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</row>
    <row r="1854" spans="1:19" ht="21" customHeight="1" x14ac:dyDescent="0.25">
      <c r="A1854" s="101"/>
      <c r="B1854" s="39" t="s">
        <v>556</v>
      </c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</row>
    <row r="1855" spans="1:19" ht="30.75" customHeight="1" x14ac:dyDescent="0.25">
      <c r="A1855" s="102"/>
      <c r="B1855" s="40" t="s">
        <v>972</v>
      </c>
      <c r="C1855" s="41" t="s">
        <v>940</v>
      </c>
      <c r="D1855" s="41"/>
      <c r="E1855" s="41"/>
      <c r="F1855" s="41"/>
      <c r="G1855" s="41"/>
      <c r="H1855" s="41"/>
      <c r="I1855" s="41"/>
      <c r="J1855" s="42" t="s">
        <v>15</v>
      </c>
      <c r="K1855" s="42" t="s">
        <v>831</v>
      </c>
      <c r="L1855" s="42" t="s">
        <v>525</v>
      </c>
      <c r="M1855" s="42" t="s">
        <v>869</v>
      </c>
      <c r="N1855" s="44" t="s">
        <v>941</v>
      </c>
      <c r="O1855" s="42" t="s">
        <v>17</v>
      </c>
      <c r="P1855" s="42" t="s">
        <v>13</v>
      </c>
      <c r="Q1855" s="42" t="s">
        <v>44</v>
      </c>
      <c r="R1855" s="42"/>
      <c r="S1855" s="45"/>
    </row>
    <row r="1856" spans="1:19" ht="18" customHeight="1" x14ac:dyDescent="0.25">
      <c r="A1856" s="102"/>
      <c r="B1856" s="40"/>
      <c r="C1856" s="30" t="s">
        <v>6</v>
      </c>
      <c r="D1856" s="29">
        <f>SUM(D1857:D1860)</f>
        <v>33000</v>
      </c>
      <c r="E1856" s="25">
        <f t="shared" ref="E1856" si="452">SUM(E1857:E1860)</f>
        <v>33000</v>
      </c>
      <c r="F1856" s="25"/>
      <c r="G1856" s="25"/>
      <c r="H1856" s="25"/>
      <c r="I1856" s="25"/>
      <c r="J1856" s="42"/>
      <c r="K1856" s="42"/>
      <c r="L1856" s="42"/>
      <c r="M1856" s="42"/>
      <c r="N1856" s="44"/>
      <c r="O1856" s="42"/>
      <c r="P1856" s="42"/>
      <c r="Q1856" s="42"/>
      <c r="R1856" s="42"/>
      <c r="S1856" s="45"/>
    </row>
    <row r="1857" spans="1:19" ht="18" customHeight="1" x14ac:dyDescent="0.25">
      <c r="A1857" s="102"/>
      <c r="B1857" s="40"/>
      <c r="C1857" s="30" t="s">
        <v>0</v>
      </c>
      <c r="D1857" s="29"/>
      <c r="E1857" s="25"/>
      <c r="F1857" s="25"/>
      <c r="G1857" s="25"/>
      <c r="H1857" s="25"/>
      <c r="I1857" s="25"/>
      <c r="J1857" s="42"/>
      <c r="K1857" s="42"/>
      <c r="L1857" s="42"/>
      <c r="M1857" s="42"/>
      <c r="N1857" s="44"/>
      <c r="O1857" s="42"/>
      <c r="P1857" s="42"/>
      <c r="Q1857" s="42"/>
      <c r="R1857" s="42"/>
      <c r="S1857" s="45"/>
    </row>
    <row r="1858" spans="1:19" ht="18" customHeight="1" x14ac:dyDescent="0.25">
      <c r="A1858" s="102"/>
      <c r="B1858" s="40"/>
      <c r="C1858" s="30" t="s">
        <v>1</v>
      </c>
      <c r="D1858" s="29">
        <f t="shared" ref="D1858" si="453">SUM(E1858:I1858)</f>
        <v>33000</v>
      </c>
      <c r="E1858" s="25">
        <v>33000</v>
      </c>
      <c r="F1858" s="25"/>
      <c r="G1858" s="25"/>
      <c r="H1858" s="25"/>
      <c r="I1858" s="25"/>
      <c r="J1858" s="42"/>
      <c r="K1858" s="42"/>
      <c r="L1858" s="42"/>
      <c r="M1858" s="42"/>
      <c r="N1858" s="44"/>
      <c r="O1858" s="42"/>
      <c r="P1858" s="42"/>
      <c r="Q1858" s="42"/>
      <c r="R1858" s="42"/>
      <c r="S1858" s="45"/>
    </row>
    <row r="1859" spans="1:19" ht="18" customHeight="1" x14ac:dyDescent="0.25">
      <c r="A1859" s="102"/>
      <c r="B1859" s="40"/>
      <c r="C1859" s="30" t="s">
        <v>2</v>
      </c>
      <c r="D1859" s="29"/>
      <c r="E1859" s="25"/>
      <c r="F1859" s="25"/>
      <c r="G1859" s="25"/>
      <c r="H1859" s="25"/>
      <c r="I1859" s="25"/>
      <c r="J1859" s="42"/>
      <c r="K1859" s="42"/>
      <c r="L1859" s="42"/>
      <c r="M1859" s="42"/>
      <c r="N1859" s="44"/>
      <c r="O1859" s="42"/>
      <c r="P1859" s="42"/>
      <c r="Q1859" s="42"/>
      <c r="R1859" s="42"/>
      <c r="S1859" s="45"/>
    </row>
    <row r="1860" spans="1:19" ht="33" customHeight="1" x14ac:dyDescent="0.25">
      <c r="A1860" s="103"/>
      <c r="B1860" s="40"/>
      <c r="C1860" s="30" t="s">
        <v>3</v>
      </c>
      <c r="D1860" s="29"/>
      <c r="E1860" s="25"/>
      <c r="F1860" s="25"/>
      <c r="G1860" s="25"/>
      <c r="H1860" s="25"/>
      <c r="I1860" s="25"/>
      <c r="J1860" s="42"/>
      <c r="K1860" s="42"/>
      <c r="L1860" s="42"/>
      <c r="M1860" s="42"/>
      <c r="N1860" s="44"/>
      <c r="O1860" s="42"/>
      <c r="P1860" s="42"/>
      <c r="Q1860" s="42"/>
      <c r="R1860" s="42"/>
      <c r="S1860" s="45"/>
    </row>
    <row r="1861" spans="1:19" ht="18.75" customHeight="1" x14ac:dyDescent="0.25">
      <c r="A1861" s="37" t="s">
        <v>845</v>
      </c>
      <c r="B1861" s="37"/>
      <c r="C1861" s="37"/>
      <c r="D1861" s="37"/>
      <c r="E1861" s="37"/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</row>
    <row r="1862" spans="1:19" ht="21" customHeight="1" x14ac:dyDescent="0.25">
      <c r="A1862" s="101"/>
      <c r="B1862" s="39" t="s">
        <v>556</v>
      </c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</row>
    <row r="1863" spans="1:19" ht="30.75" customHeight="1" x14ac:dyDescent="0.25">
      <c r="A1863" s="102"/>
      <c r="B1863" s="40" t="s">
        <v>1048</v>
      </c>
      <c r="C1863" s="41" t="s">
        <v>1049</v>
      </c>
      <c r="D1863" s="41"/>
      <c r="E1863" s="41"/>
      <c r="F1863" s="41"/>
      <c r="G1863" s="41"/>
      <c r="H1863" s="41"/>
      <c r="I1863" s="41"/>
      <c r="J1863" s="83" t="s">
        <v>15</v>
      </c>
      <c r="K1863" s="42" t="s">
        <v>917</v>
      </c>
      <c r="L1863" s="83"/>
      <c r="M1863" s="42" t="s">
        <v>845</v>
      </c>
      <c r="N1863" s="98" t="s">
        <v>1050</v>
      </c>
      <c r="O1863" s="83" t="s">
        <v>17</v>
      </c>
      <c r="P1863" s="42" t="s">
        <v>13</v>
      </c>
      <c r="Q1863" s="83" t="s">
        <v>44</v>
      </c>
      <c r="R1863" s="83"/>
      <c r="S1863" s="86"/>
    </row>
    <row r="1864" spans="1:19" ht="18" customHeight="1" x14ac:dyDescent="0.25">
      <c r="A1864" s="102"/>
      <c r="B1864" s="40"/>
      <c r="C1864" s="35" t="s">
        <v>6</v>
      </c>
      <c r="D1864" s="29">
        <f>SUM(D1865:D1868)</f>
        <v>40000</v>
      </c>
      <c r="E1864" s="25">
        <f t="shared" ref="E1864" si="454">SUM(E1865:E1868)</f>
        <v>40000</v>
      </c>
      <c r="F1864" s="25"/>
      <c r="G1864" s="25"/>
      <c r="H1864" s="25"/>
      <c r="I1864" s="25"/>
      <c r="J1864" s="84"/>
      <c r="K1864" s="42"/>
      <c r="L1864" s="84"/>
      <c r="M1864" s="42"/>
      <c r="N1864" s="99"/>
      <c r="O1864" s="84"/>
      <c r="P1864" s="42"/>
      <c r="Q1864" s="84"/>
      <c r="R1864" s="84"/>
      <c r="S1864" s="87"/>
    </row>
    <row r="1865" spans="1:19" ht="18" customHeight="1" x14ac:dyDescent="0.25">
      <c r="A1865" s="102"/>
      <c r="B1865" s="40"/>
      <c r="C1865" s="35" t="s">
        <v>0</v>
      </c>
      <c r="D1865" s="29"/>
      <c r="E1865" s="25"/>
      <c r="F1865" s="25"/>
      <c r="G1865" s="25"/>
      <c r="H1865" s="25"/>
      <c r="I1865" s="25"/>
      <c r="J1865" s="84"/>
      <c r="K1865" s="42"/>
      <c r="L1865" s="84"/>
      <c r="M1865" s="42"/>
      <c r="N1865" s="99"/>
      <c r="O1865" s="84"/>
      <c r="P1865" s="42"/>
      <c r="Q1865" s="84"/>
      <c r="R1865" s="84"/>
      <c r="S1865" s="87"/>
    </row>
    <row r="1866" spans="1:19" ht="18" customHeight="1" x14ac:dyDescent="0.25">
      <c r="A1866" s="102"/>
      <c r="B1866" s="40"/>
      <c r="C1866" s="35" t="s">
        <v>1</v>
      </c>
      <c r="D1866" s="29">
        <f t="shared" ref="D1866" si="455">SUM(E1866:I1866)</f>
        <v>40000</v>
      </c>
      <c r="E1866" s="25">
        <v>40000</v>
      </c>
      <c r="F1866" s="25"/>
      <c r="G1866" s="25"/>
      <c r="H1866" s="25"/>
      <c r="I1866" s="25"/>
      <c r="J1866" s="84"/>
      <c r="K1866" s="42"/>
      <c r="L1866" s="84"/>
      <c r="M1866" s="42"/>
      <c r="N1866" s="99"/>
      <c r="O1866" s="84"/>
      <c r="P1866" s="42"/>
      <c r="Q1866" s="84"/>
      <c r="R1866" s="84"/>
      <c r="S1866" s="87"/>
    </row>
    <row r="1867" spans="1:19" ht="18" customHeight="1" x14ac:dyDescent="0.25">
      <c r="A1867" s="102"/>
      <c r="B1867" s="40"/>
      <c r="C1867" s="35" t="s">
        <v>2</v>
      </c>
      <c r="D1867" s="29"/>
      <c r="E1867" s="25"/>
      <c r="F1867" s="25"/>
      <c r="G1867" s="25"/>
      <c r="H1867" s="25"/>
      <c r="I1867" s="25"/>
      <c r="J1867" s="84"/>
      <c r="K1867" s="42"/>
      <c r="L1867" s="84"/>
      <c r="M1867" s="42"/>
      <c r="N1867" s="99"/>
      <c r="O1867" s="84"/>
      <c r="P1867" s="42"/>
      <c r="Q1867" s="84"/>
      <c r="R1867" s="84"/>
      <c r="S1867" s="87"/>
    </row>
    <row r="1868" spans="1:19" ht="33" customHeight="1" x14ac:dyDescent="0.25">
      <c r="A1868" s="103"/>
      <c r="B1868" s="40"/>
      <c r="C1868" s="35" t="s">
        <v>3</v>
      </c>
      <c r="D1868" s="29"/>
      <c r="E1868" s="25"/>
      <c r="F1868" s="25"/>
      <c r="G1868" s="25"/>
      <c r="H1868" s="25"/>
      <c r="I1868" s="25"/>
      <c r="J1868" s="85"/>
      <c r="K1868" s="42"/>
      <c r="L1868" s="85"/>
      <c r="M1868" s="42"/>
      <c r="N1868" s="100"/>
      <c r="O1868" s="85"/>
      <c r="P1868" s="42"/>
      <c r="Q1868" s="85"/>
      <c r="R1868" s="85"/>
      <c r="S1868" s="88"/>
    </row>
    <row r="1869" spans="1:19" ht="21" customHeight="1" x14ac:dyDescent="0.25">
      <c r="A1869" s="54" t="s">
        <v>335</v>
      </c>
      <c r="B1869" s="110" t="s">
        <v>49</v>
      </c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  <c r="M1869" s="111"/>
      <c r="N1869" s="111"/>
      <c r="O1869" s="111"/>
      <c r="P1869" s="111"/>
      <c r="Q1869" s="111"/>
      <c r="R1869" s="111"/>
      <c r="S1869" s="112"/>
    </row>
    <row r="1870" spans="1:19" ht="18" customHeight="1" x14ac:dyDescent="0.25">
      <c r="A1870" s="54"/>
      <c r="B1870" s="113" t="s">
        <v>6</v>
      </c>
      <c r="C1870" s="114"/>
      <c r="D1870" s="16">
        <f t="shared" ref="D1870" si="456">SUM(D1871:D1874)</f>
        <v>1337639</v>
      </c>
      <c r="E1870" s="16">
        <f>E1878+E1886</f>
        <v>5641</v>
      </c>
      <c r="F1870" s="16"/>
      <c r="G1870" s="16"/>
      <c r="H1870" s="16">
        <f t="shared" ref="H1870:I1870" si="457">H1878+H1886</f>
        <v>853428</v>
      </c>
      <c r="I1870" s="16">
        <f t="shared" si="457"/>
        <v>478570</v>
      </c>
      <c r="J1870" s="26"/>
      <c r="K1870" s="26"/>
      <c r="L1870" s="26"/>
      <c r="M1870" s="26"/>
      <c r="N1870" s="26"/>
      <c r="O1870" s="26"/>
      <c r="P1870" s="26"/>
      <c r="Q1870" s="26"/>
      <c r="R1870" s="26"/>
      <c r="S1870" s="26"/>
    </row>
    <row r="1871" spans="1:19" ht="18" customHeight="1" x14ac:dyDescent="0.25">
      <c r="A1871" s="54"/>
      <c r="B1871" s="56" t="s">
        <v>0</v>
      </c>
      <c r="C1871" s="56"/>
      <c r="D1871" s="28"/>
      <c r="E1871" s="16"/>
      <c r="F1871" s="16"/>
      <c r="G1871" s="16"/>
      <c r="H1871" s="16"/>
      <c r="I1871" s="16"/>
      <c r="J1871" s="26"/>
      <c r="K1871" s="26"/>
      <c r="L1871" s="26"/>
      <c r="M1871" s="26"/>
      <c r="N1871" s="26"/>
      <c r="O1871" s="26"/>
      <c r="P1871" s="26"/>
      <c r="Q1871" s="26"/>
      <c r="R1871" s="26"/>
      <c r="S1871" s="26"/>
    </row>
    <row r="1872" spans="1:19" ht="18" customHeight="1" x14ac:dyDescent="0.25">
      <c r="A1872" s="54"/>
      <c r="B1872" s="56" t="s">
        <v>1</v>
      </c>
      <c r="C1872" s="56"/>
      <c r="D1872" s="16">
        <f>SUM(E1872:I1872)</f>
        <v>1333911</v>
      </c>
      <c r="E1872" s="16">
        <f t="shared" ref="E1872:I1872" si="458">E1880+E1888</f>
        <v>5641</v>
      </c>
      <c r="F1872" s="16"/>
      <c r="G1872" s="16"/>
      <c r="H1872" s="16">
        <f t="shared" si="458"/>
        <v>851270</v>
      </c>
      <c r="I1872" s="16">
        <f t="shared" si="458"/>
        <v>477000</v>
      </c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</row>
    <row r="1873" spans="1:19" ht="18" customHeight="1" x14ac:dyDescent="0.25">
      <c r="A1873" s="54"/>
      <c r="B1873" s="56" t="s">
        <v>2</v>
      </c>
      <c r="C1873" s="56"/>
      <c r="D1873" s="16">
        <f>SUM(E1873:I1873)</f>
        <v>3728</v>
      </c>
      <c r="E1873" s="16"/>
      <c r="F1873" s="16"/>
      <c r="G1873" s="16"/>
      <c r="H1873" s="16">
        <f t="shared" ref="H1873:I1873" si="459">H1881+H1889</f>
        <v>2158</v>
      </c>
      <c r="I1873" s="16">
        <f t="shared" si="459"/>
        <v>1570</v>
      </c>
      <c r="J1873" s="26"/>
      <c r="K1873" s="26"/>
      <c r="L1873" s="26"/>
      <c r="M1873" s="26"/>
      <c r="N1873" s="26"/>
      <c r="O1873" s="26"/>
      <c r="P1873" s="26"/>
      <c r="Q1873" s="26"/>
      <c r="R1873" s="26"/>
      <c r="S1873" s="26"/>
    </row>
    <row r="1874" spans="1:19" ht="18" customHeight="1" x14ac:dyDescent="0.25">
      <c r="A1874" s="54"/>
      <c r="B1874" s="56" t="s">
        <v>3</v>
      </c>
      <c r="C1874" s="56"/>
      <c r="D1874" s="28"/>
      <c r="E1874" s="16"/>
      <c r="F1874" s="16"/>
      <c r="G1874" s="16"/>
      <c r="H1874" s="16"/>
      <c r="I1874" s="16"/>
      <c r="J1874" s="26"/>
      <c r="K1874" s="26"/>
      <c r="L1874" s="26"/>
      <c r="M1874" s="26"/>
      <c r="N1874" s="26"/>
      <c r="O1874" s="26"/>
      <c r="P1874" s="26"/>
      <c r="Q1874" s="26"/>
      <c r="R1874" s="26"/>
      <c r="S1874" s="26"/>
    </row>
    <row r="1875" spans="1:19" ht="18.75" customHeight="1" x14ac:dyDescent="0.25">
      <c r="A1875" s="37" t="s">
        <v>23</v>
      </c>
      <c r="B1875" s="37"/>
      <c r="C1875" s="37"/>
      <c r="D1875" s="37"/>
      <c r="E1875" s="37"/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</row>
    <row r="1876" spans="1:19" ht="21" customHeight="1" x14ac:dyDescent="0.25">
      <c r="A1876" s="38"/>
      <c r="B1876" s="48" t="s">
        <v>554</v>
      </c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</row>
    <row r="1877" spans="1:19" ht="22.5" customHeight="1" x14ac:dyDescent="0.25">
      <c r="A1877" s="38"/>
      <c r="B1877" s="49" t="s">
        <v>336</v>
      </c>
      <c r="C1877" s="50" t="s">
        <v>555</v>
      </c>
      <c r="D1877" s="50"/>
      <c r="E1877" s="50"/>
      <c r="F1877" s="50"/>
      <c r="G1877" s="50"/>
      <c r="H1877" s="50"/>
      <c r="I1877" s="50"/>
      <c r="J1877" s="43" t="s">
        <v>366</v>
      </c>
      <c r="K1877" s="43" t="s">
        <v>828</v>
      </c>
      <c r="L1877" s="43"/>
      <c r="M1877" s="43" t="s">
        <v>913</v>
      </c>
      <c r="N1877" s="53" t="s">
        <v>551</v>
      </c>
      <c r="O1877" s="43" t="s">
        <v>12</v>
      </c>
      <c r="P1877" s="43" t="s">
        <v>803</v>
      </c>
      <c r="Q1877" s="43" t="s">
        <v>44</v>
      </c>
      <c r="R1877" s="43"/>
      <c r="S1877" s="51"/>
    </row>
    <row r="1878" spans="1:19" ht="18" customHeight="1" x14ac:dyDescent="0.25">
      <c r="A1878" s="38"/>
      <c r="B1878" s="49"/>
      <c r="C1878" s="31" t="s">
        <v>6</v>
      </c>
      <c r="D1878" s="27">
        <f>SUM(D1879:D1882)</f>
        <v>961111</v>
      </c>
      <c r="E1878" s="23">
        <f t="shared" ref="E1878:I1878" si="460">SUM(E1879:E1882)</f>
        <v>5641</v>
      </c>
      <c r="F1878" s="23"/>
      <c r="G1878" s="23"/>
      <c r="H1878" s="23">
        <f t="shared" si="460"/>
        <v>635470</v>
      </c>
      <c r="I1878" s="23">
        <f t="shared" si="460"/>
        <v>320000</v>
      </c>
      <c r="J1878" s="43"/>
      <c r="K1878" s="43"/>
      <c r="L1878" s="43"/>
      <c r="M1878" s="43"/>
      <c r="N1878" s="53"/>
      <c r="O1878" s="43"/>
      <c r="P1878" s="43"/>
      <c r="Q1878" s="43"/>
      <c r="R1878" s="43"/>
      <c r="S1878" s="51"/>
    </row>
    <row r="1879" spans="1:19" ht="18" customHeight="1" x14ac:dyDescent="0.25">
      <c r="A1879" s="38"/>
      <c r="B1879" s="49"/>
      <c r="C1879" s="31" t="s">
        <v>0</v>
      </c>
      <c r="D1879" s="27"/>
      <c r="E1879" s="23"/>
      <c r="F1879" s="23"/>
      <c r="G1879" s="23"/>
      <c r="H1879" s="23"/>
      <c r="I1879" s="23"/>
      <c r="J1879" s="43"/>
      <c r="K1879" s="43"/>
      <c r="L1879" s="43"/>
      <c r="M1879" s="43"/>
      <c r="N1879" s="53"/>
      <c r="O1879" s="43"/>
      <c r="P1879" s="43"/>
      <c r="Q1879" s="43"/>
      <c r="R1879" s="43"/>
      <c r="S1879" s="51"/>
    </row>
    <row r="1880" spans="1:19" ht="18" customHeight="1" x14ac:dyDescent="0.25">
      <c r="A1880" s="38"/>
      <c r="B1880" s="49"/>
      <c r="C1880" s="31" t="s">
        <v>1</v>
      </c>
      <c r="D1880" s="27">
        <f t="shared" ref="D1880" si="461">SUM(E1880:I1880)</f>
        <v>961111</v>
      </c>
      <c r="E1880" s="23">
        <f>68500-32500-32500+2141</f>
        <v>5641</v>
      </c>
      <c r="F1880" s="23"/>
      <c r="G1880" s="23"/>
      <c r="H1880" s="23">
        <v>635470</v>
      </c>
      <c r="I1880" s="23">
        <v>320000</v>
      </c>
      <c r="J1880" s="43"/>
      <c r="K1880" s="43"/>
      <c r="L1880" s="43"/>
      <c r="M1880" s="43"/>
      <c r="N1880" s="53"/>
      <c r="O1880" s="43"/>
      <c r="P1880" s="43"/>
      <c r="Q1880" s="43"/>
      <c r="R1880" s="43"/>
      <c r="S1880" s="51"/>
    </row>
    <row r="1881" spans="1:19" ht="18" customHeight="1" x14ac:dyDescent="0.25">
      <c r="A1881" s="38"/>
      <c r="B1881" s="49"/>
      <c r="C1881" s="31" t="s">
        <v>2</v>
      </c>
      <c r="D1881" s="27"/>
      <c r="E1881" s="23"/>
      <c r="F1881" s="23"/>
      <c r="G1881" s="23"/>
      <c r="H1881" s="23"/>
      <c r="I1881" s="23"/>
      <c r="J1881" s="43"/>
      <c r="K1881" s="43"/>
      <c r="L1881" s="43"/>
      <c r="M1881" s="43"/>
      <c r="N1881" s="53"/>
      <c r="O1881" s="43"/>
      <c r="P1881" s="43"/>
      <c r="Q1881" s="43"/>
      <c r="R1881" s="43"/>
      <c r="S1881" s="51"/>
    </row>
    <row r="1882" spans="1:19" ht="18" customHeight="1" x14ac:dyDescent="0.25">
      <c r="A1882" s="38"/>
      <c r="B1882" s="49"/>
      <c r="C1882" s="31" t="s">
        <v>3</v>
      </c>
      <c r="D1882" s="27"/>
      <c r="E1882" s="23"/>
      <c r="F1882" s="23"/>
      <c r="G1882" s="23"/>
      <c r="H1882" s="23"/>
      <c r="I1882" s="23"/>
      <c r="J1882" s="43"/>
      <c r="K1882" s="43"/>
      <c r="L1882" s="43"/>
      <c r="M1882" s="43"/>
      <c r="N1882" s="53"/>
      <c r="O1882" s="43"/>
      <c r="P1882" s="43"/>
      <c r="Q1882" s="43"/>
      <c r="R1882" s="43"/>
      <c r="S1882" s="51"/>
    </row>
    <row r="1883" spans="1:19" ht="18.75" customHeight="1" x14ac:dyDescent="0.25">
      <c r="A1883" s="37" t="s">
        <v>23</v>
      </c>
      <c r="B1883" s="37"/>
      <c r="C1883" s="37"/>
      <c r="D1883" s="37"/>
      <c r="E1883" s="37"/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</row>
    <row r="1884" spans="1:19" ht="21" customHeight="1" x14ac:dyDescent="0.25">
      <c r="A1884" s="38"/>
      <c r="B1884" s="48" t="s">
        <v>554</v>
      </c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</row>
    <row r="1885" spans="1:19" ht="24.75" customHeight="1" x14ac:dyDescent="0.25">
      <c r="A1885" s="38"/>
      <c r="B1885" s="49" t="s">
        <v>337</v>
      </c>
      <c r="C1885" s="50" t="s">
        <v>50</v>
      </c>
      <c r="D1885" s="50"/>
      <c r="E1885" s="50"/>
      <c r="F1885" s="50"/>
      <c r="G1885" s="50"/>
      <c r="H1885" s="50"/>
      <c r="I1885" s="50"/>
      <c r="J1885" s="43" t="s">
        <v>366</v>
      </c>
      <c r="K1885" s="43" t="s">
        <v>828</v>
      </c>
      <c r="L1885" s="43"/>
      <c r="M1885" s="43" t="s">
        <v>913</v>
      </c>
      <c r="N1885" s="53" t="s">
        <v>552</v>
      </c>
      <c r="O1885" s="43" t="s">
        <v>12</v>
      </c>
      <c r="P1885" s="43" t="s">
        <v>803</v>
      </c>
      <c r="Q1885" s="43" t="s">
        <v>44</v>
      </c>
      <c r="R1885" s="43"/>
      <c r="S1885" s="51"/>
    </row>
    <row r="1886" spans="1:19" ht="17.25" customHeight="1" x14ac:dyDescent="0.25">
      <c r="A1886" s="38"/>
      <c r="B1886" s="49"/>
      <c r="C1886" s="31" t="s">
        <v>6</v>
      </c>
      <c r="D1886" s="27">
        <f>SUM(D1887:D1890)</f>
        <v>376528</v>
      </c>
      <c r="E1886" s="23">
        <f t="shared" ref="E1886:I1886" si="462">SUM(E1887:E1890)</f>
        <v>0</v>
      </c>
      <c r="F1886" s="23"/>
      <c r="G1886" s="23"/>
      <c r="H1886" s="23">
        <f t="shared" si="462"/>
        <v>217958</v>
      </c>
      <c r="I1886" s="23">
        <f t="shared" si="462"/>
        <v>158570</v>
      </c>
      <c r="J1886" s="43"/>
      <c r="K1886" s="43"/>
      <c r="L1886" s="43"/>
      <c r="M1886" s="43"/>
      <c r="N1886" s="53"/>
      <c r="O1886" s="43"/>
      <c r="P1886" s="43"/>
      <c r="Q1886" s="43"/>
      <c r="R1886" s="43"/>
      <c r="S1886" s="51"/>
    </row>
    <row r="1887" spans="1:19" ht="17.25" customHeight="1" x14ac:dyDescent="0.25">
      <c r="A1887" s="38"/>
      <c r="B1887" s="49"/>
      <c r="C1887" s="31" t="s">
        <v>0</v>
      </c>
      <c r="D1887" s="27"/>
      <c r="E1887" s="23"/>
      <c r="F1887" s="23"/>
      <c r="G1887" s="23"/>
      <c r="H1887" s="23"/>
      <c r="I1887" s="23"/>
      <c r="J1887" s="43"/>
      <c r="K1887" s="43"/>
      <c r="L1887" s="43"/>
      <c r="M1887" s="43"/>
      <c r="N1887" s="53"/>
      <c r="O1887" s="43"/>
      <c r="P1887" s="43"/>
      <c r="Q1887" s="43"/>
      <c r="R1887" s="43"/>
      <c r="S1887" s="51"/>
    </row>
    <row r="1888" spans="1:19" ht="17.25" customHeight="1" x14ac:dyDescent="0.25">
      <c r="A1888" s="38"/>
      <c r="B1888" s="49"/>
      <c r="C1888" s="31" t="s">
        <v>1</v>
      </c>
      <c r="D1888" s="27">
        <f t="shared" ref="D1888:D1889" si="463">SUM(E1888:I1888)</f>
        <v>372800</v>
      </c>
      <c r="E1888" s="23">
        <f>35000-11426.7-3500-20073.3</f>
        <v>0</v>
      </c>
      <c r="F1888" s="23"/>
      <c r="G1888" s="23"/>
      <c r="H1888" s="23">
        <v>215800</v>
      </c>
      <c r="I1888" s="23">
        <v>157000</v>
      </c>
      <c r="J1888" s="43"/>
      <c r="K1888" s="43"/>
      <c r="L1888" s="43"/>
      <c r="M1888" s="43"/>
      <c r="N1888" s="53"/>
      <c r="O1888" s="43"/>
      <c r="P1888" s="43"/>
      <c r="Q1888" s="43"/>
      <c r="R1888" s="43"/>
      <c r="S1888" s="51"/>
    </row>
    <row r="1889" spans="1:19" ht="17.25" customHeight="1" x14ac:dyDescent="0.25">
      <c r="A1889" s="38"/>
      <c r="B1889" s="49"/>
      <c r="C1889" s="31" t="s">
        <v>2</v>
      </c>
      <c r="D1889" s="27">
        <f t="shared" si="463"/>
        <v>3728</v>
      </c>
      <c r="E1889" s="23">
        <f>E1888/100*1</f>
        <v>0</v>
      </c>
      <c r="F1889" s="23"/>
      <c r="G1889" s="23"/>
      <c r="H1889" s="23">
        <f>H1888/100*1</f>
        <v>2158</v>
      </c>
      <c r="I1889" s="23">
        <f>I1888/100*1</f>
        <v>1570</v>
      </c>
      <c r="J1889" s="43"/>
      <c r="K1889" s="43"/>
      <c r="L1889" s="43"/>
      <c r="M1889" s="43"/>
      <c r="N1889" s="53"/>
      <c r="O1889" s="43"/>
      <c r="P1889" s="43"/>
      <c r="Q1889" s="43"/>
      <c r="R1889" s="43"/>
      <c r="S1889" s="51"/>
    </row>
    <row r="1890" spans="1:19" ht="17.25" customHeight="1" x14ac:dyDescent="0.25">
      <c r="A1890" s="38"/>
      <c r="B1890" s="49"/>
      <c r="C1890" s="31" t="s">
        <v>3</v>
      </c>
      <c r="D1890" s="27"/>
      <c r="E1890" s="23"/>
      <c r="F1890" s="23"/>
      <c r="G1890" s="23"/>
      <c r="H1890" s="23"/>
      <c r="I1890" s="23"/>
      <c r="J1890" s="43"/>
      <c r="K1890" s="43"/>
      <c r="L1890" s="43"/>
      <c r="M1890" s="43"/>
      <c r="N1890" s="53"/>
      <c r="O1890" s="43"/>
      <c r="P1890" s="43"/>
      <c r="Q1890" s="43"/>
      <c r="R1890" s="43"/>
      <c r="S1890" s="51"/>
    </row>
    <row r="1891" spans="1:19" ht="20.25" x14ac:dyDescent="0.25">
      <c r="A1891" s="107" t="s">
        <v>6</v>
      </c>
      <c r="B1891" s="108"/>
      <c r="C1891" s="108"/>
      <c r="D1891" s="108"/>
      <c r="E1891" s="108"/>
      <c r="F1891" s="108"/>
      <c r="G1891" s="108"/>
      <c r="H1891" s="108"/>
      <c r="I1891" s="108"/>
      <c r="J1891" s="108"/>
      <c r="K1891" s="108"/>
      <c r="L1891" s="108"/>
      <c r="M1891" s="108"/>
      <c r="N1891" s="108"/>
      <c r="O1891" s="108"/>
      <c r="P1891" s="108"/>
      <c r="Q1891" s="108"/>
      <c r="R1891" s="108"/>
      <c r="S1891" s="109"/>
    </row>
    <row r="1892" spans="1:19" ht="15.75" x14ac:dyDescent="0.25">
      <c r="A1892" s="104" t="s">
        <v>6</v>
      </c>
      <c r="B1892" s="105"/>
      <c r="C1892" s="106"/>
      <c r="D1892" s="13">
        <f t="shared" ref="D1892" si="464">SUM(D1893:D1896)</f>
        <v>41353535.455126941</v>
      </c>
      <c r="E1892" s="14">
        <f>E10+E96+E214+E284+E658+E1096+E1142+E1156+E1186+E1296+E1318+E1676+E1754+E1768+E1870</f>
        <v>10863726.163566941</v>
      </c>
      <c r="F1892" s="14">
        <f t="shared" ref="F1892:I1892" si="465">F10+F96+F214+F284+F658+F1096+F1142+F1156+F1186+F1296+F1318+F1676+F1754+F1768+F1870</f>
        <v>7417813.1915600011</v>
      </c>
      <c r="G1892" s="14">
        <f t="shared" si="465"/>
        <v>9187524.4000000004</v>
      </c>
      <c r="H1892" s="14">
        <f t="shared" si="465"/>
        <v>8053091.7000000002</v>
      </c>
      <c r="I1892" s="14">
        <f t="shared" si="465"/>
        <v>5831380</v>
      </c>
      <c r="J1892" s="2"/>
      <c r="K1892" s="2"/>
      <c r="L1892" s="2"/>
      <c r="M1892" s="2"/>
      <c r="N1892" s="2"/>
      <c r="O1892" s="2"/>
      <c r="P1892" s="2"/>
      <c r="Q1892" s="3"/>
      <c r="R1892" s="3"/>
      <c r="S1892" s="4"/>
    </row>
    <row r="1893" spans="1:19" ht="15.75" x14ac:dyDescent="0.25">
      <c r="A1893" s="104" t="s">
        <v>0</v>
      </c>
      <c r="B1893" s="105"/>
      <c r="C1893" s="106"/>
      <c r="D1893" s="15">
        <f>SUM(E1893:I1893)</f>
        <v>13909777.79862</v>
      </c>
      <c r="E1893" s="14">
        <f t="shared" ref="E1893:I1896" si="466">E11+E97+E215+E285+E659+E1097+E1143+E1157+E1187+E1297+E1319+E1677+E1755+E1769+E1871</f>
        <v>3034697.1986199999</v>
      </c>
      <c r="F1893" s="14">
        <f t="shared" si="466"/>
        <v>2041108.1</v>
      </c>
      <c r="G1893" s="14">
        <f t="shared" si="466"/>
        <v>3075032.5</v>
      </c>
      <c r="H1893" s="14">
        <f t="shared" si="466"/>
        <v>3353940</v>
      </c>
      <c r="I1893" s="14">
        <f t="shared" si="466"/>
        <v>2405000</v>
      </c>
      <c r="J1893" s="12"/>
      <c r="K1893" s="12"/>
      <c r="L1893" s="12"/>
      <c r="M1893" s="12"/>
      <c r="N1893" s="12"/>
      <c r="O1893" s="12"/>
      <c r="P1893" s="12"/>
      <c r="Q1893" s="3"/>
      <c r="R1893" s="3"/>
      <c r="S1893" s="4"/>
    </row>
    <row r="1894" spans="1:19" ht="15.75" x14ac:dyDescent="0.25">
      <c r="A1894" s="104" t="s">
        <v>1</v>
      </c>
      <c r="B1894" s="105"/>
      <c r="C1894" s="106"/>
      <c r="D1894" s="15">
        <f>SUM(E1894:I1894)</f>
        <v>25852885.339919999</v>
      </c>
      <c r="E1894" s="14">
        <f t="shared" si="466"/>
        <v>6975557.8683600007</v>
      </c>
      <c r="F1894" s="14">
        <f t="shared" si="466"/>
        <v>5319169.1715599997</v>
      </c>
      <c r="G1894" s="14">
        <f t="shared" si="466"/>
        <v>6025451.3000000007</v>
      </c>
      <c r="H1894" s="14">
        <f t="shared" si="466"/>
        <v>4107897</v>
      </c>
      <c r="I1894" s="14">
        <f t="shared" si="466"/>
        <v>3424810</v>
      </c>
      <c r="J1894" s="7"/>
      <c r="K1894" s="7"/>
      <c r="L1894" s="6"/>
      <c r="M1894" s="5"/>
      <c r="N1894" s="5"/>
      <c r="O1894" s="12"/>
      <c r="P1894" s="12"/>
      <c r="Q1894" s="3"/>
      <c r="R1894" s="3"/>
      <c r="S1894" s="4"/>
    </row>
    <row r="1895" spans="1:19" ht="15.75" x14ac:dyDescent="0.25">
      <c r="A1895" s="104" t="s">
        <v>2</v>
      </c>
      <c r="B1895" s="105"/>
      <c r="C1895" s="106"/>
      <c r="D1895" s="15">
        <f>SUM(E1895:I1895)</f>
        <v>309101.58666694077</v>
      </c>
      <c r="E1895" s="14">
        <f t="shared" si="466"/>
        <v>131700.3666669408</v>
      </c>
      <c r="F1895" s="14">
        <f t="shared" si="466"/>
        <v>57535.92</v>
      </c>
      <c r="G1895" s="14">
        <f t="shared" si="466"/>
        <v>87040.599999999991</v>
      </c>
      <c r="H1895" s="14">
        <f t="shared" si="466"/>
        <v>31254.7</v>
      </c>
      <c r="I1895" s="14">
        <f t="shared" si="466"/>
        <v>1570</v>
      </c>
      <c r="J1895" s="12"/>
      <c r="K1895" s="12"/>
      <c r="L1895" s="5"/>
      <c r="M1895" s="5"/>
      <c r="N1895" s="5"/>
      <c r="O1895" s="12"/>
      <c r="P1895" s="12"/>
      <c r="Q1895" s="3"/>
      <c r="R1895" s="3"/>
      <c r="S1895" s="4"/>
    </row>
    <row r="1896" spans="1:19" ht="15.75" x14ac:dyDescent="0.25">
      <c r="A1896" s="104" t="s">
        <v>3</v>
      </c>
      <c r="B1896" s="105"/>
      <c r="C1896" s="106"/>
      <c r="D1896" s="15">
        <f>SUM(E1896:I1896)</f>
        <v>1281770.7299199998</v>
      </c>
      <c r="E1896" s="14">
        <f t="shared" si="466"/>
        <v>721770.72991999995</v>
      </c>
      <c r="F1896" s="14"/>
      <c r="G1896" s="14"/>
      <c r="H1896" s="14">
        <f t="shared" si="466"/>
        <v>560000</v>
      </c>
      <c r="I1896" s="14"/>
      <c r="J1896" s="12"/>
      <c r="K1896" s="12"/>
      <c r="L1896" s="12"/>
      <c r="M1896" s="12"/>
      <c r="N1896" s="12"/>
      <c r="O1896" s="12"/>
      <c r="P1896" s="12"/>
      <c r="Q1896" s="3"/>
      <c r="R1896" s="3"/>
      <c r="S1896" s="22" t="s">
        <v>912</v>
      </c>
    </row>
    <row r="1897" spans="1:19" ht="15.75" x14ac:dyDescent="0.25">
      <c r="A1897" s="10"/>
      <c r="B1897" s="21"/>
      <c r="C1897" s="10"/>
      <c r="D1897" s="11"/>
      <c r="E1897" s="7"/>
      <c r="F1897" s="7"/>
      <c r="G1897" s="7"/>
      <c r="H1897" s="7"/>
      <c r="I1897" s="7"/>
      <c r="J1897" s="12"/>
      <c r="K1897" s="12"/>
      <c r="L1897" s="12"/>
      <c r="M1897" s="12"/>
      <c r="N1897" s="12"/>
      <c r="O1897" s="12"/>
      <c r="P1897" s="12"/>
      <c r="Q1897" s="3"/>
      <c r="R1897" s="3"/>
      <c r="S1897" s="4"/>
    </row>
  </sheetData>
  <mergeCells count="3477">
    <mergeCell ref="A1853:S1853"/>
    <mergeCell ref="L1847:L1852"/>
    <mergeCell ref="M1847:M1852"/>
    <mergeCell ref="N1847:N1852"/>
    <mergeCell ref="O1847:O1852"/>
    <mergeCell ref="P1847:P1852"/>
    <mergeCell ref="Q1847:Q1852"/>
    <mergeCell ref="B1862:S1862"/>
    <mergeCell ref="Q1839:Q1844"/>
    <mergeCell ref="B1080:S1080"/>
    <mergeCell ref="B1081:B1086"/>
    <mergeCell ref="C1081:I1081"/>
    <mergeCell ref="J1081:J1086"/>
    <mergeCell ref="A1072:A1078"/>
    <mergeCell ref="B1072:S1072"/>
    <mergeCell ref="B1073:B1078"/>
    <mergeCell ref="C1073:I1073"/>
    <mergeCell ref="J1073:J1078"/>
    <mergeCell ref="K1073:K1078"/>
    <mergeCell ref="A1830:A1836"/>
    <mergeCell ref="B1830:S1830"/>
    <mergeCell ref="B1831:B1836"/>
    <mergeCell ref="C1831:I1831"/>
    <mergeCell ref="J1831:J1836"/>
    <mergeCell ref="K1831:K1836"/>
    <mergeCell ref="L1831:L1836"/>
    <mergeCell ref="M1831:M1836"/>
    <mergeCell ref="N1831:N1836"/>
    <mergeCell ref="O1831:O1836"/>
    <mergeCell ref="O1823:O1828"/>
    <mergeCell ref="P1823:P1828"/>
    <mergeCell ref="Q1823:Q1828"/>
    <mergeCell ref="B1863:B1868"/>
    <mergeCell ref="C1863:I1863"/>
    <mergeCell ref="J1863:J1868"/>
    <mergeCell ref="K1863:K1868"/>
    <mergeCell ref="L1863:L1868"/>
    <mergeCell ref="M1863:M1868"/>
    <mergeCell ref="N1863:N1868"/>
    <mergeCell ref="O1863:O1868"/>
    <mergeCell ref="P1863:P1868"/>
    <mergeCell ref="Q1863:Q1868"/>
    <mergeCell ref="R1863:R1868"/>
    <mergeCell ref="S1863:S1868"/>
    <mergeCell ref="A1862:A1868"/>
    <mergeCell ref="R1089:R1094"/>
    <mergeCell ref="S1089:S1094"/>
    <mergeCell ref="L1089:L1094"/>
    <mergeCell ref="M1089:M1094"/>
    <mergeCell ref="N1089:N1094"/>
    <mergeCell ref="O1089:O1094"/>
    <mergeCell ref="P1089:P1094"/>
    <mergeCell ref="Q1089:Q1094"/>
    <mergeCell ref="R1847:R1852"/>
    <mergeCell ref="P1831:P1836"/>
    <mergeCell ref="Q1831:Q1836"/>
    <mergeCell ref="R1831:R1836"/>
    <mergeCell ref="S1831:S1836"/>
    <mergeCell ref="A1837:S1837"/>
    <mergeCell ref="A1838:A1844"/>
    <mergeCell ref="B1838:S1838"/>
    <mergeCell ref="B1839:B1844"/>
    <mergeCell ref="C1839:I1839"/>
    <mergeCell ref="J1839:J1844"/>
    <mergeCell ref="A1063:S1063"/>
    <mergeCell ref="A1064:A1070"/>
    <mergeCell ref="B1064:S1064"/>
    <mergeCell ref="B1065:B1070"/>
    <mergeCell ref="C1065:I1065"/>
    <mergeCell ref="J1065:J1070"/>
    <mergeCell ref="K1065:K1070"/>
    <mergeCell ref="L1065:L1070"/>
    <mergeCell ref="M1065:M1070"/>
    <mergeCell ref="N1065:N1070"/>
    <mergeCell ref="Q1081:Q1086"/>
    <mergeCell ref="R1081:R1086"/>
    <mergeCell ref="S1081:S1086"/>
    <mergeCell ref="A1087:S1087"/>
    <mergeCell ref="A1088:A1094"/>
    <mergeCell ref="B1088:S1088"/>
    <mergeCell ref="B1089:B1094"/>
    <mergeCell ref="C1089:I1089"/>
    <mergeCell ref="J1089:J1094"/>
    <mergeCell ref="K1089:K1094"/>
    <mergeCell ref="K1081:K1086"/>
    <mergeCell ref="L1081:L1086"/>
    <mergeCell ref="M1081:M1086"/>
    <mergeCell ref="N1081:N1086"/>
    <mergeCell ref="O1081:O1086"/>
    <mergeCell ref="P1081:P1086"/>
    <mergeCell ref="P1073:P1078"/>
    <mergeCell ref="Q1073:Q1078"/>
    <mergeCell ref="R1073:R1078"/>
    <mergeCell ref="S1073:S1078"/>
    <mergeCell ref="A1079:S1079"/>
    <mergeCell ref="A1080:A1086"/>
    <mergeCell ref="A1055:S1055"/>
    <mergeCell ref="A1056:A1062"/>
    <mergeCell ref="B1056:S1056"/>
    <mergeCell ref="B1872:C1872"/>
    <mergeCell ref="B1057:B1062"/>
    <mergeCell ref="C1057:I1057"/>
    <mergeCell ref="J1057:J1062"/>
    <mergeCell ref="K1057:K1062"/>
    <mergeCell ref="L1057:L1062"/>
    <mergeCell ref="M1057:M1062"/>
    <mergeCell ref="M937:M942"/>
    <mergeCell ref="N937:N942"/>
    <mergeCell ref="O937:O942"/>
    <mergeCell ref="P937:P942"/>
    <mergeCell ref="Q937:Q942"/>
    <mergeCell ref="R937:R942"/>
    <mergeCell ref="P1041:P1046"/>
    <mergeCell ref="Q1041:Q1046"/>
    <mergeCell ref="R1041:R1046"/>
    <mergeCell ref="S1041:S1046"/>
    <mergeCell ref="A1047:S1047"/>
    <mergeCell ref="A1048:A1054"/>
    <mergeCell ref="B1048:S1048"/>
    <mergeCell ref="B1049:B1054"/>
    <mergeCell ref="C1049:I1049"/>
    <mergeCell ref="J1049:J1054"/>
    <mergeCell ref="A1040:A1046"/>
    <mergeCell ref="L937:L942"/>
    <mergeCell ref="B1040:S1040"/>
    <mergeCell ref="B1041:B1046"/>
    <mergeCell ref="C1041:I1041"/>
    <mergeCell ref="J1041:J1046"/>
    <mergeCell ref="A1894:C1894"/>
    <mergeCell ref="B1884:S1884"/>
    <mergeCell ref="B1885:B1890"/>
    <mergeCell ref="C1885:I1885"/>
    <mergeCell ref="J1885:J1890"/>
    <mergeCell ref="K1885:K1890"/>
    <mergeCell ref="L1885:L1890"/>
    <mergeCell ref="M1885:M1890"/>
    <mergeCell ref="N1885:N1890"/>
    <mergeCell ref="O1885:O1890"/>
    <mergeCell ref="O1877:O1882"/>
    <mergeCell ref="P1877:P1882"/>
    <mergeCell ref="Q1877:Q1882"/>
    <mergeCell ref="R1877:R1882"/>
    <mergeCell ref="S1877:S1882"/>
    <mergeCell ref="A1883:S1883"/>
    <mergeCell ref="N1057:N1062"/>
    <mergeCell ref="O1057:O1062"/>
    <mergeCell ref="P1057:P1062"/>
    <mergeCell ref="Q1057:Q1062"/>
    <mergeCell ref="R1057:R1062"/>
    <mergeCell ref="S1057:S1062"/>
    <mergeCell ref="L1073:L1078"/>
    <mergeCell ref="M1073:M1078"/>
    <mergeCell ref="N1073:N1078"/>
    <mergeCell ref="O1073:O1078"/>
    <mergeCell ref="O1065:O1070"/>
    <mergeCell ref="P1065:P1070"/>
    <mergeCell ref="Q1065:Q1070"/>
    <mergeCell ref="R1065:R1070"/>
    <mergeCell ref="S1065:S1070"/>
    <mergeCell ref="A1071:S1071"/>
    <mergeCell ref="A1895:C1895"/>
    <mergeCell ref="A1896:C1896"/>
    <mergeCell ref="A927:S927"/>
    <mergeCell ref="A928:A934"/>
    <mergeCell ref="B928:S928"/>
    <mergeCell ref="B929:B934"/>
    <mergeCell ref="C929:I929"/>
    <mergeCell ref="J929:J934"/>
    <mergeCell ref="K929:K934"/>
    <mergeCell ref="A1891:S1891"/>
    <mergeCell ref="A1892:C1892"/>
    <mergeCell ref="A1893:C1893"/>
    <mergeCell ref="P1885:P1890"/>
    <mergeCell ref="Q1885:Q1890"/>
    <mergeCell ref="R1885:R1890"/>
    <mergeCell ref="S1885:S1890"/>
    <mergeCell ref="A1884:A1890"/>
    <mergeCell ref="A1875:S1875"/>
    <mergeCell ref="A1876:A1882"/>
    <mergeCell ref="B1876:S1876"/>
    <mergeCell ref="B1877:B1882"/>
    <mergeCell ref="C1877:I1877"/>
    <mergeCell ref="J1877:J1882"/>
    <mergeCell ref="K1877:K1882"/>
    <mergeCell ref="L1877:L1882"/>
    <mergeCell ref="M1877:M1882"/>
    <mergeCell ref="N1877:N1882"/>
    <mergeCell ref="S1855:S1860"/>
    <mergeCell ref="A1869:A1874"/>
    <mergeCell ref="B1869:S1869"/>
    <mergeCell ref="B1870:C1870"/>
    <mergeCell ref="B1871:C1871"/>
    <mergeCell ref="B1873:C1873"/>
    <mergeCell ref="B1874:C1874"/>
    <mergeCell ref="M1855:M1860"/>
    <mergeCell ref="N1855:N1860"/>
    <mergeCell ref="O1855:O1860"/>
    <mergeCell ref="P1855:P1860"/>
    <mergeCell ref="Q1855:Q1860"/>
    <mergeCell ref="R1855:R1860"/>
    <mergeCell ref="A1854:A1860"/>
    <mergeCell ref="B1854:S1854"/>
    <mergeCell ref="B1855:B1860"/>
    <mergeCell ref="C1855:I1855"/>
    <mergeCell ref="J1855:J1860"/>
    <mergeCell ref="K1855:K1860"/>
    <mergeCell ref="L1855:L1860"/>
    <mergeCell ref="A1861:S1861"/>
    <mergeCell ref="R1839:R1844"/>
    <mergeCell ref="S1839:S1844"/>
    <mergeCell ref="A1845:S1845"/>
    <mergeCell ref="A1846:A1852"/>
    <mergeCell ref="B1846:S1846"/>
    <mergeCell ref="B1847:B1852"/>
    <mergeCell ref="C1847:I1847"/>
    <mergeCell ref="J1847:J1852"/>
    <mergeCell ref="K1847:K1852"/>
    <mergeCell ref="K1839:K1844"/>
    <mergeCell ref="L1839:L1844"/>
    <mergeCell ref="M1839:M1844"/>
    <mergeCell ref="N1839:N1844"/>
    <mergeCell ref="O1839:O1844"/>
    <mergeCell ref="P1839:P1844"/>
    <mergeCell ref="S1847:S1852"/>
    <mergeCell ref="R1823:R1828"/>
    <mergeCell ref="S1823:S1828"/>
    <mergeCell ref="A1829:S1829"/>
    <mergeCell ref="A1821:S1821"/>
    <mergeCell ref="A1822:A1828"/>
    <mergeCell ref="B1822:S1822"/>
    <mergeCell ref="B1823:B1828"/>
    <mergeCell ref="C1823:I1823"/>
    <mergeCell ref="J1823:J1828"/>
    <mergeCell ref="K1823:K1828"/>
    <mergeCell ref="L1823:L1828"/>
    <mergeCell ref="M1823:M1828"/>
    <mergeCell ref="N1823:N1828"/>
    <mergeCell ref="N1815:N1820"/>
    <mergeCell ref="O1815:O1820"/>
    <mergeCell ref="P1815:P1820"/>
    <mergeCell ref="Q1815:Q1820"/>
    <mergeCell ref="R1815:R1820"/>
    <mergeCell ref="S1815:S1820"/>
    <mergeCell ref="S1807:S1812"/>
    <mergeCell ref="A1813:S1813"/>
    <mergeCell ref="A1814:A1820"/>
    <mergeCell ref="B1814:S1814"/>
    <mergeCell ref="B1815:B1820"/>
    <mergeCell ref="C1815:I1815"/>
    <mergeCell ref="J1815:J1820"/>
    <mergeCell ref="K1815:K1820"/>
    <mergeCell ref="L1815:L1820"/>
    <mergeCell ref="M1815:M1820"/>
    <mergeCell ref="M1807:M1812"/>
    <mergeCell ref="N1807:N1812"/>
    <mergeCell ref="O1807:O1812"/>
    <mergeCell ref="P1807:P1812"/>
    <mergeCell ref="Q1807:Q1812"/>
    <mergeCell ref="R1807:R1812"/>
    <mergeCell ref="R1799:R1804"/>
    <mergeCell ref="S1799:S1804"/>
    <mergeCell ref="A1805:S1805"/>
    <mergeCell ref="A1806:A1812"/>
    <mergeCell ref="B1806:S1806"/>
    <mergeCell ref="B1807:B1812"/>
    <mergeCell ref="C1807:I1807"/>
    <mergeCell ref="J1807:J1812"/>
    <mergeCell ref="K1807:K1812"/>
    <mergeCell ref="L1807:L1812"/>
    <mergeCell ref="L1799:L1804"/>
    <mergeCell ref="M1799:M1804"/>
    <mergeCell ref="N1799:N1804"/>
    <mergeCell ref="O1799:O1804"/>
    <mergeCell ref="P1799:P1804"/>
    <mergeCell ref="Q1799:Q1804"/>
    <mergeCell ref="Q1791:Q1796"/>
    <mergeCell ref="R1791:R1796"/>
    <mergeCell ref="S1791:S1796"/>
    <mergeCell ref="A1797:S1797"/>
    <mergeCell ref="A1798:A1804"/>
    <mergeCell ref="B1798:S1798"/>
    <mergeCell ref="B1799:B1804"/>
    <mergeCell ref="C1799:I1799"/>
    <mergeCell ref="J1799:J1804"/>
    <mergeCell ref="K1799:K1804"/>
    <mergeCell ref="K1791:K1796"/>
    <mergeCell ref="L1791:L1796"/>
    <mergeCell ref="M1791:M1796"/>
    <mergeCell ref="N1791:N1796"/>
    <mergeCell ref="O1791:O1796"/>
    <mergeCell ref="P1791:P1796"/>
    <mergeCell ref="P1783:P1788"/>
    <mergeCell ref="Q1783:Q1788"/>
    <mergeCell ref="R1783:R1788"/>
    <mergeCell ref="S1783:S1788"/>
    <mergeCell ref="A1789:S1789"/>
    <mergeCell ref="A1790:A1796"/>
    <mergeCell ref="B1790:S1790"/>
    <mergeCell ref="B1791:B1796"/>
    <mergeCell ref="C1791:I1791"/>
    <mergeCell ref="J1791:J1796"/>
    <mergeCell ref="A1782:A1788"/>
    <mergeCell ref="B1782:S1782"/>
    <mergeCell ref="B1783:B1788"/>
    <mergeCell ref="C1783:I1783"/>
    <mergeCell ref="J1783:J1788"/>
    <mergeCell ref="K1783:K1788"/>
    <mergeCell ref="L1783:L1788"/>
    <mergeCell ref="M1783:M1788"/>
    <mergeCell ref="N1783:N1788"/>
    <mergeCell ref="O1783:O1788"/>
    <mergeCell ref="O1775:O1780"/>
    <mergeCell ref="P1775:P1780"/>
    <mergeCell ref="Q1775:Q1780"/>
    <mergeCell ref="R1775:R1780"/>
    <mergeCell ref="S1775:S1780"/>
    <mergeCell ref="A1781:S1781"/>
    <mergeCell ref="A1773:S1773"/>
    <mergeCell ref="A1774:A1780"/>
    <mergeCell ref="B1774:S1774"/>
    <mergeCell ref="B1775:B1780"/>
    <mergeCell ref="C1775:I1775"/>
    <mergeCell ref="J1775:J1780"/>
    <mergeCell ref="K1775:K1780"/>
    <mergeCell ref="L1775:L1780"/>
    <mergeCell ref="M1775:M1780"/>
    <mergeCell ref="N1775:N1780"/>
    <mergeCell ref="S1761:S1766"/>
    <mergeCell ref="A1767:A1772"/>
    <mergeCell ref="B1767:S1767"/>
    <mergeCell ref="B1768:C1768"/>
    <mergeCell ref="B1769:C1769"/>
    <mergeCell ref="B1770:C1770"/>
    <mergeCell ref="B1771:C1771"/>
    <mergeCell ref="B1772:C1772"/>
    <mergeCell ref="M1761:M1766"/>
    <mergeCell ref="N1761:N1766"/>
    <mergeCell ref="O1761:O1766"/>
    <mergeCell ref="P1761:P1766"/>
    <mergeCell ref="Q1761:Q1766"/>
    <mergeCell ref="R1761:R1766"/>
    <mergeCell ref="B1757:C1757"/>
    <mergeCell ref="B1758:C1758"/>
    <mergeCell ref="A1759:S1759"/>
    <mergeCell ref="A1760:A1766"/>
    <mergeCell ref="B1760:S1760"/>
    <mergeCell ref="B1761:B1766"/>
    <mergeCell ref="C1761:I1761"/>
    <mergeCell ref="J1761:J1766"/>
    <mergeCell ref="K1761:K1766"/>
    <mergeCell ref="L1761:L1766"/>
    <mergeCell ref="O1747:O1752"/>
    <mergeCell ref="P1747:P1752"/>
    <mergeCell ref="Q1747:Q1752"/>
    <mergeCell ref="R1747:R1752"/>
    <mergeCell ref="S1747:S1752"/>
    <mergeCell ref="A1753:A1758"/>
    <mergeCell ref="B1753:S1753"/>
    <mergeCell ref="B1754:C1754"/>
    <mergeCell ref="B1755:C1755"/>
    <mergeCell ref="B1756:C1756"/>
    <mergeCell ref="A1745:S1745"/>
    <mergeCell ref="A1746:A1752"/>
    <mergeCell ref="B1746:S1746"/>
    <mergeCell ref="B1747:B1752"/>
    <mergeCell ref="C1747:I1747"/>
    <mergeCell ref="J1747:J1752"/>
    <mergeCell ref="K1747:K1752"/>
    <mergeCell ref="L1747:L1752"/>
    <mergeCell ref="M1747:M1752"/>
    <mergeCell ref="N1747:N1752"/>
    <mergeCell ref="N1739:N1744"/>
    <mergeCell ref="O1739:O1744"/>
    <mergeCell ref="P1739:P1744"/>
    <mergeCell ref="Q1739:Q1744"/>
    <mergeCell ref="R1739:R1744"/>
    <mergeCell ref="S1739:S1744"/>
    <mergeCell ref="S1731:S1736"/>
    <mergeCell ref="A1737:S1737"/>
    <mergeCell ref="A1738:A1744"/>
    <mergeCell ref="B1738:S1738"/>
    <mergeCell ref="B1739:B1744"/>
    <mergeCell ref="C1739:I1739"/>
    <mergeCell ref="J1739:J1744"/>
    <mergeCell ref="K1739:K1744"/>
    <mergeCell ref="L1739:L1744"/>
    <mergeCell ref="M1739:M1744"/>
    <mergeCell ref="M1731:M1736"/>
    <mergeCell ref="N1731:N1736"/>
    <mergeCell ref="O1731:O1736"/>
    <mergeCell ref="P1731:P1736"/>
    <mergeCell ref="Q1731:Q1736"/>
    <mergeCell ref="R1731:R1736"/>
    <mergeCell ref="R1723:R1728"/>
    <mergeCell ref="S1723:S1728"/>
    <mergeCell ref="A1729:S1729"/>
    <mergeCell ref="A1730:A1736"/>
    <mergeCell ref="B1730:S1730"/>
    <mergeCell ref="B1731:B1736"/>
    <mergeCell ref="C1731:I1731"/>
    <mergeCell ref="J1731:J1736"/>
    <mergeCell ref="K1731:K1736"/>
    <mergeCell ref="L1731:L1736"/>
    <mergeCell ref="L1723:L1728"/>
    <mergeCell ref="M1723:M1728"/>
    <mergeCell ref="N1723:N1728"/>
    <mergeCell ref="O1723:O1728"/>
    <mergeCell ref="P1723:P1728"/>
    <mergeCell ref="Q1723:Q1728"/>
    <mergeCell ref="Q1715:Q1720"/>
    <mergeCell ref="R1715:R1720"/>
    <mergeCell ref="S1715:S1720"/>
    <mergeCell ref="A1721:S1721"/>
    <mergeCell ref="A1722:A1728"/>
    <mergeCell ref="B1722:S1722"/>
    <mergeCell ref="B1723:B1728"/>
    <mergeCell ref="C1723:I1723"/>
    <mergeCell ref="J1723:J1728"/>
    <mergeCell ref="K1723:K1728"/>
    <mergeCell ref="K1715:K1720"/>
    <mergeCell ref="L1715:L1720"/>
    <mergeCell ref="M1715:M1720"/>
    <mergeCell ref="N1715:N1720"/>
    <mergeCell ref="O1715:O1720"/>
    <mergeCell ref="P1715:P1720"/>
    <mergeCell ref="P1707:P1712"/>
    <mergeCell ref="Q1707:Q1712"/>
    <mergeCell ref="R1707:R1712"/>
    <mergeCell ref="S1707:S1712"/>
    <mergeCell ref="A1713:S1713"/>
    <mergeCell ref="A1714:A1720"/>
    <mergeCell ref="B1714:S1714"/>
    <mergeCell ref="B1715:B1720"/>
    <mergeCell ref="C1715:I1715"/>
    <mergeCell ref="J1715:J1720"/>
    <mergeCell ref="A1706:A1712"/>
    <mergeCell ref="B1706:S1706"/>
    <mergeCell ref="B1707:B1712"/>
    <mergeCell ref="C1707:I1707"/>
    <mergeCell ref="J1707:J1712"/>
    <mergeCell ref="K1707:K1712"/>
    <mergeCell ref="L1707:L1712"/>
    <mergeCell ref="M1707:M1712"/>
    <mergeCell ref="N1707:N1712"/>
    <mergeCell ref="O1707:O1712"/>
    <mergeCell ref="O1699:O1704"/>
    <mergeCell ref="P1699:P1704"/>
    <mergeCell ref="Q1699:Q1704"/>
    <mergeCell ref="R1699:R1704"/>
    <mergeCell ref="S1699:S1704"/>
    <mergeCell ref="A1705:S1705"/>
    <mergeCell ref="A1697:S1697"/>
    <mergeCell ref="A1698:A1704"/>
    <mergeCell ref="B1698:S1698"/>
    <mergeCell ref="B1699:B1704"/>
    <mergeCell ref="C1699:I1699"/>
    <mergeCell ref="J1699:J1704"/>
    <mergeCell ref="K1699:K1704"/>
    <mergeCell ref="L1699:L1704"/>
    <mergeCell ref="M1699:M1704"/>
    <mergeCell ref="N1699:N1704"/>
    <mergeCell ref="N1691:N1696"/>
    <mergeCell ref="O1691:O1696"/>
    <mergeCell ref="P1691:P1696"/>
    <mergeCell ref="Q1691:Q1696"/>
    <mergeCell ref="R1691:R1696"/>
    <mergeCell ref="S1691:S1696"/>
    <mergeCell ref="S1683:S1688"/>
    <mergeCell ref="A1689:S1689"/>
    <mergeCell ref="A1690:A1696"/>
    <mergeCell ref="B1690:S1690"/>
    <mergeCell ref="B1691:B1696"/>
    <mergeCell ref="C1691:I1691"/>
    <mergeCell ref="J1691:J1696"/>
    <mergeCell ref="K1691:K1696"/>
    <mergeCell ref="L1691:L1696"/>
    <mergeCell ref="M1691:M1696"/>
    <mergeCell ref="M1683:M1688"/>
    <mergeCell ref="N1683:N1688"/>
    <mergeCell ref="O1683:O1688"/>
    <mergeCell ref="P1683:P1688"/>
    <mergeCell ref="Q1683:Q1688"/>
    <mergeCell ref="R1683:R1688"/>
    <mergeCell ref="B1679:C1679"/>
    <mergeCell ref="B1680:C1680"/>
    <mergeCell ref="A1681:S1681"/>
    <mergeCell ref="A1682:A1688"/>
    <mergeCell ref="B1682:S1682"/>
    <mergeCell ref="B1683:B1688"/>
    <mergeCell ref="C1683:I1683"/>
    <mergeCell ref="J1683:J1688"/>
    <mergeCell ref="K1683:K1688"/>
    <mergeCell ref="L1683:L1688"/>
    <mergeCell ref="O1669:O1674"/>
    <mergeCell ref="P1669:P1674"/>
    <mergeCell ref="Q1669:Q1674"/>
    <mergeCell ref="R1669:R1674"/>
    <mergeCell ref="S1669:S1674"/>
    <mergeCell ref="A1675:A1680"/>
    <mergeCell ref="B1675:S1675"/>
    <mergeCell ref="B1676:C1676"/>
    <mergeCell ref="B1677:C1677"/>
    <mergeCell ref="B1678:C1678"/>
    <mergeCell ref="A1667:S1667"/>
    <mergeCell ref="A1668:A1674"/>
    <mergeCell ref="B1668:S1668"/>
    <mergeCell ref="B1669:B1674"/>
    <mergeCell ref="C1669:I1669"/>
    <mergeCell ref="J1669:J1674"/>
    <mergeCell ref="K1669:K1674"/>
    <mergeCell ref="L1669:L1674"/>
    <mergeCell ref="M1669:M1674"/>
    <mergeCell ref="N1669:N1674"/>
    <mergeCell ref="N1661:N1666"/>
    <mergeCell ref="O1661:O1666"/>
    <mergeCell ref="P1661:P1666"/>
    <mergeCell ref="Q1661:Q1666"/>
    <mergeCell ref="R1661:R1666"/>
    <mergeCell ref="S1661:S1666"/>
    <mergeCell ref="S1653:S1658"/>
    <mergeCell ref="A1659:S1659"/>
    <mergeCell ref="A1660:A1666"/>
    <mergeCell ref="B1660:S1660"/>
    <mergeCell ref="B1661:B1666"/>
    <mergeCell ref="C1661:I1661"/>
    <mergeCell ref="J1661:J1666"/>
    <mergeCell ref="K1661:K1666"/>
    <mergeCell ref="L1661:L1666"/>
    <mergeCell ref="M1661:M1666"/>
    <mergeCell ref="M1653:M1658"/>
    <mergeCell ref="N1653:N1658"/>
    <mergeCell ref="O1653:O1658"/>
    <mergeCell ref="P1653:P1658"/>
    <mergeCell ref="Q1653:Q1658"/>
    <mergeCell ref="R1653:R1658"/>
    <mergeCell ref="R1645:R1650"/>
    <mergeCell ref="S1645:S1650"/>
    <mergeCell ref="A1651:S1651"/>
    <mergeCell ref="A1652:A1658"/>
    <mergeCell ref="B1652:S1652"/>
    <mergeCell ref="B1653:B1658"/>
    <mergeCell ref="C1653:I1653"/>
    <mergeCell ref="J1653:J1658"/>
    <mergeCell ref="K1653:K1658"/>
    <mergeCell ref="L1653:L1658"/>
    <mergeCell ref="L1645:L1650"/>
    <mergeCell ref="M1645:M1650"/>
    <mergeCell ref="N1645:N1650"/>
    <mergeCell ref="O1645:O1650"/>
    <mergeCell ref="P1645:P1650"/>
    <mergeCell ref="Q1645:Q1650"/>
    <mergeCell ref="Q1637:Q1642"/>
    <mergeCell ref="R1637:R1642"/>
    <mergeCell ref="S1637:S1642"/>
    <mergeCell ref="A1643:S1643"/>
    <mergeCell ref="A1644:A1650"/>
    <mergeCell ref="B1644:S1644"/>
    <mergeCell ref="B1645:B1650"/>
    <mergeCell ref="C1645:I1645"/>
    <mergeCell ref="J1645:J1650"/>
    <mergeCell ref="K1645:K1650"/>
    <mergeCell ref="K1637:K1642"/>
    <mergeCell ref="L1637:L1642"/>
    <mergeCell ref="M1637:M1642"/>
    <mergeCell ref="N1637:N1642"/>
    <mergeCell ref="O1637:O1642"/>
    <mergeCell ref="P1637:P1642"/>
    <mergeCell ref="P1629:P1634"/>
    <mergeCell ref="Q1629:Q1634"/>
    <mergeCell ref="R1629:R1634"/>
    <mergeCell ref="S1629:S1634"/>
    <mergeCell ref="A1635:S1635"/>
    <mergeCell ref="A1636:A1642"/>
    <mergeCell ref="B1636:S1636"/>
    <mergeCell ref="B1637:B1642"/>
    <mergeCell ref="C1637:I1637"/>
    <mergeCell ref="J1637:J1642"/>
    <mergeCell ref="A1628:A1634"/>
    <mergeCell ref="B1628:S1628"/>
    <mergeCell ref="B1629:B1634"/>
    <mergeCell ref="C1629:I1629"/>
    <mergeCell ref="J1629:J1634"/>
    <mergeCell ref="K1629:K1634"/>
    <mergeCell ref="L1629:L1634"/>
    <mergeCell ref="M1629:M1634"/>
    <mergeCell ref="N1629:N1634"/>
    <mergeCell ref="O1629:O1634"/>
    <mergeCell ref="O1621:O1626"/>
    <mergeCell ref="P1621:P1626"/>
    <mergeCell ref="Q1621:Q1626"/>
    <mergeCell ref="R1621:R1626"/>
    <mergeCell ref="S1621:S1626"/>
    <mergeCell ref="A1627:S1627"/>
    <mergeCell ref="A1619:S1619"/>
    <mergeCell ref="A1620:A1626"/>
    <mergeCell ref="B1620:S1620"/>
    <mergeCell ref="B1621:B1626"/>
    <mergeCell ref="C1621:I1621"/>
    <mergeCell ref="J1621:J1626"/>
    <mergeCell ref="K1621:K1626"/>
    <mergeCell ref="L1621:L1626"/>
    <mergeCell ref="M1621:M1626"/>
    <mergeCell ref="N1621:N1626"/>
    <mergeCell ref="N1613:N1618"/>
    <mergeCell ref="O1613:O1618"/>
    <mergeCell ref="P1613:P1618"/>
    <mergeCell ref="Q1613:Q1618"/>
    <mergeCell ref="R1613:R1618"/>
    <mergeCell ref="S1613:S1618"/>
    <mergeCell ref="S1605:S1610"/>
    <mergeCell ref="A1611:S1611"/>
    <mergeCell ref="A1612:A1618"/>
    <mergeCell ref="B1612:S1612"/>
    <mergeCell ref="B1613:B1618"/>
    <mergeCell ref="C1613:I1613"/>
    <mergeCell ref="J1613:J1618"/>
    <mergeCell ref="K1613:K1618"/>
    <mergeCell ref="L1613:L1618"/>
    <mergeCell ref="M1613:M1618"/>
    <mergeCell ref="M1605:M1610"/>
    <mergeCell ref="N1605:N1610"/>
    <mergeCell ref="O1605:O1610"/>
    <mergeCell ref="P1605:P1610"/>
    <mergeCell ref="Q1605:Q1610"/>
    <mergeCell ref="R1605:R1610"/>
    <mergeCell ref="R1597:R1602"/>
    <mergeCell ref="S1597:S1602"/>
    <mergeCell ref="A1603:S1603"/>
    <mergeCell ref="A1604:A1610"/>
    <mergeCell ref="B1604:S1604"/>
    <mergeCell ref="B1605:B1610"/>
    <mergeCell ref="C1605:I1605"/>
    <mergeCell ref="J1605:J1610"/>
    <mergeCell ref="K1605:K1610"/>
    <mergeCell ref="L1605:L1610"/>
    <mergeCell ref="L1597:L1602"/>
    <mergeCell ref="M1597:M1602"/>
    <mergeCell ref="N1597:N1602"/>
    <mergeCell ref="O1597:O1602"/>
    <mergeCell ref="P1597:P1602"/>
    <mergeCell ref="Q1597:Q1602"/>
    <mergeCell ref="Q1589:Q1594"/>
    <mergeCell ref="R1589:R1594"/>
    <mergeCell ref="S1589:S1594"/>
    <mergeCell ref="A1595:S1595"/>
    <mergeCell ref="A1596:A1602"/>
    <mergeCell ref="B1596:S1596"/>
    <mergeCell ref="B1597:B1602"/>
    <mergeCell ref="C1597:I1597"/>
    <mergeCell ref="J1597:J1602"/>
    <mergeCell ref="K1597:K1602"/>
    <mergeCell ref="K1589:K1594"/>
    <mergeCell ref="L1589:L1594"/>
    <mergeCell ref="M1589:M1594"/>
    <mergeCell ref="N1589:N1594"/>
    <mergeCell ref="O1589:O1594"/>
    <mergeCell ref="P1589:P1594"/>
    <mergeCell ref="P1581:P1586"/>
    <mergeCell ref="Q1581:Q1586"/>
    <mergeCell ref="R1581:R1586"/>
    <mergeCell ref="S1581:S1586"/>
    <mergeCell ref="A1587:S1587"/>
    <mergeCell ref="A1588:A1594"/>
    <mergeCell ref="B1588:S1588"/>
    <mergeCell ref="B1589:B1594"/>
    <mergeCell ref="C1589:I1589"/>
    <mergeCell ref="J1589:J1594"/>
    <mergeCell ref="A1580:A1586"/>
    <mergeCell ref="B1580:S1580"/>
    <mergeCell ref="B1581:B1586"/>
    <mergeCell ref="C1581:I1581"/>
    <mergeCell ref="J1581:J1586"/>
    <mergeCell ref="K1581:K1586"/>
    <mergeCell ref="L1581:L1586"/>
    <mergeCell ref="M1581:M1586"/>
    <mergeCell ref="N1581:N1586"/>
    <mergeCell ref="O1581:O1586"/>
    <mergeCell ref="O1573:O1578"/>
    <mergeCell ref="P1573:P1578"/>
    <mergeCell ref="Q1573:Q1578"/>
    <mergeCell ref="R1573:R1578"/>
    <mergeCell ref="S1573:S1578"/>
    <mergeCell ref="A1579:S1579"/>
    <mergeCell ref="A1571:S1571"/>
    <mergeCell ref="A1572:A1578"/>
    <mergeCell ref="B1572:S1572"/>
    <mergeCell ref="B1573:B1578"/>
    <mergeCell ref="C1573:I1573"/>
    <mergeCell ref="J1573:J1578"/>
    <mergeCell ref="K1573:K1578"/>
    <mergeCell ref="L1573:L1578"/>
    <mergeCell ref="M1573:M1578"/>
    <mergeCell ref="N1573:N1578"/>
    <mergeCell ref="N1565:N1570"/>
    <mergeCell ref="O1565:O1570"/>
    <mergeCell ref="P1565:P1570"/>
    <mergeCell ref="Q1565:Q1570"/>
    <mergeCell ref="R1565:R1570"/>
    <mergeCell ref="S1565:S1570"/>
    <mergeCell ref="S1557:S1562"/>
    <mergeCell ref="A1563:S1563"/>
    <mergeCell ref="A1564:A1570"/>
    <mergeCell ref="B1564:S1564"/>
    <mergeCell ref="B1565:B1570"/>
    <mergeCell ref="C1565:I1565"/>
    <mergeCell ref="J1565:J1570"/>
    <mergeCell ref="K1565:K1570"/>
    <mergeCell ref="L1565:L1570"/>
    <mergeCell ref="M1565:M1570"/>
    <mergeCell ref="M1557:M1562"/>
    <mergeCell ref="N1557:N1562"/>
    <mergeCell ref="O1557:O1562"/>
    <mergeCell ref="P1557:P1562"/>
    <mergeCell ref="Q1557:Q1562"/>
    <mergeCell ref="R1557:R1562"/>
    <mergeCell ref="R1549:R1554"/>
    <mergeCell ref="S1549:S1554"/>
    <mergeCell ref="A1555:S1555"/>
    <mergeCell ref="A1556:A1562"/>
    <mergeCell ref="B1556:S1556"/>
    <mergeCell ref="B1557:B1562"/>
    <mergeCell ref="C1557:I1557"/>
    <mergeCell ref="J1557:J1562"/>
    <mergeCell ref="K1557:K1562"/>
    <mergeCell ref="L1557:L1562"/>
    <mergeCell ref="L1549:L1554"/>
    <mergeCell ref="M1549:M1554"/>
    <mergeCell ref="N1549:N1554"/>
    <mergeCell ref="O1549:O1554"/>
    <mergeCell ref="P1549:P1554"/>
    <mergeCell ref="Q1549:Q1554"/>
    <mergeCell ref="Q1541:Q1546"/>
    <mergeCell ref="R1541:R1546"/>
    <mergeCell ref="S1541:S1546"/>
    <mergeCell ref="A1547:S1547"/>
    <mergeCell ref="A1548:A1554"/>
    <mergeCell ref="B1548:S1548"/>
    <mergeCell ref="B1549:B1554"/>
    <mergeCell ref="C1549:I1549"/>
    <mergeCell ref="J1549:J1554"/>
    <mergeCell ref="K1549:K1554"/>
    <mergeCell ref="K1541:K1546"/>
    <mergeCell ref="L1541:L1546"/>
    <mergeCell ref="M1541:M1546"/>
    <mergeCell ref="N1541:N1546"/>
    <mergeCell ref="O1541:O1546"/>
    <mergeCell ref="P1541:P1546"/>
    <mergeCell ref="P1533:P1538"/>
    <mergeCell ref="Q1533:Q1538"/>
    <mergeCell ref="R1533:R1538"/>
    <mergeCell ref="S1533:S1538"/>
    <mergeCell ref="A1539:S1539"/>
    <mergeCell ref="A1540:A1546"/>
    <mergeCell ref="B1540:S1540"/>
    <mergeCell ref="B1541:B1546"/>
    <mergeCell ref="C1541:I1541"/>
    <mergeCell ref="J1541:J1546"/>
    <mergeCell ref="A1532:A1538"/>
    <mergeCell ref="B1532:S1532"/>
    <mergeCell ref="B1533:B1538"/>
    <mergeCell ref="C1533:I1533"/>
    <mergeCell ref="J1533:J1538"/>
    <mergeCell ref="K1533:K1538"/>
    <mergeCell ref="L1533:L1538"/>
    <mergeCell ref="M1533:M1538"/>
    <mergeCell ref="N1533:N1538"/>
    <mergeCell ref="O1533:O1538"/>
    <mergeCell ref="O1525:O1530"/>
    <mergeCell ref="P1525:P1530"/>
    <mergeCell ref="Q1525:Q1530"/>
    <mergeCell ref="R1525:R1530"/>
    <mergeCell ref="S1525:S1530"/>
    <mergeCell ref="A1531:S1531"/>
    <mergeCell ref="A1523:S1523"/>
    <mergeCell ref="A1524:A1530"/>
    <mergeCell ref="B1524:S1524"/>
    <mergeCell ref="B1525:B1530"/>
    <mergeCell ref="C1525:I1525"/>
    <mergeCell ref="J1525:J1530"/>
    <mergeCell ref="K1525:K1530"/>
    <mergeCell ref="L1525:L1530"/>
    <mergeCell ref="M1525:M1530"/>
    <mergeCell ref="N1525:N1530"/>
    <mergeCell ref="N1517:N1522"/>
    <mergeCell ref="O1517:O1522"/>
    <mergeCell ref="P1517:P1522"/>
    <mergeCell ref="Q1517:Q1522"/>
    <mergeCell ref="R1517:R1522"/>
    <mergeCell ref="S1517:S1522"/>
    <mergeCell ref="S1509:S1514"/>
    <mergeCell ref="A1515:S1515"/>
    <mergeCell ref="A1516:A1522"/>
    <mergeCell ref="B1516:S1516"/>
    <mergeCell ref="B1517:B1522"/>
    <mergeCell ref="C1517:I1517"/>
    <mergeCell ref="J1517:J1522"/>
    <mergeCell ref="K1517:K1522"/>
    <mergeCell ref="L1517:L1522"/>
    <mergeCell ref="M1517:M1522"/>
    <mergeCell ref="M1509:M1514"/>
    <mergeCell ref="N1509:N1514"/>
    <mergeCell ref="O1509:O1514"/>
    <mergeCell ref="P1509:P1514"/>
    <mergeCell ref="Q1509:Q1514"/>
    <mergeCell ref="R1509:R1514"/>
    <mergeCell ref="R1501:R1506"/>
    <mergeCell ref="S1501:S1506"/>
    <mergeCell ref="A1507:S1507"/>
    <mergeCell ref="A1508:A1514"/>
    <mergeCell ref="B1508:S1508"/>
    <mergeCell ref="B1509:B1514"/>
    <mergeCell ref="C1509:I1509"/>
    <mergeCell ref="J1509:J1514"/>
    <mergeCell ref="K1509:K1514"/>
    <mergeCell ref="L1509:L1514"/>
    <mergeCell ref="L1501:L1506"/>
    <mergeCell ref="M1501:M1506"/>
    <mergeCell ref="N1501:N1506"/>
    <mergeCell ref="O1501:O1506"/>
    <mergeCell ref="P1501:P1506"/>
    <mergeCell ref="Q1501:Q1506"/>
    <mergeCell ref="Q1493:Q1498"/>
    <mergeCell ref="R1493:R1498"/>
    <mergeCell ref="S1493:S1498"/>
    <mergeCell ref="A1499:S1499"/>
    <mergeCell ref="A1500:A1506"/>
    <mergeCell ref="B1500:S1500"/>
    <mergeCell ref="B1501:B1506"/>
    <mergeCell ref="C1501:I1501"/>
    <mergeCell ref="J1501:J1506"/>
    <mergeCell ref="K1501:K1506"/>
    <mergeCell ref="K1493:K1498"/>
    <mergeCell ref="L1493:L1498"/>
    <mergeCell ref="M1493:M1498"/>
    <mergeCell ref="N1493:N1498"/>
    <mergeCell ref="O1493:O1498"/>
    <mergeCell ref="P1493:P1498"/>
    <mergeCell ref="P1485:P1490"/>
    <mergeCell ref="Q1485:Q1490"/>
    <mergeCell ref="R1485:R1490"/>
    <mergeCell ref="S1485:S1490"/>
    <mergeCell ref="A1491:S1491"/>
    <mergeCell ref="A1492:A1498"/>
    <mergeCell ref="B1492:S1492"/>
    <mergeCell ref="B1493:B1498"/>
    <mergeCell ref="C1493:I1493"/>
    <mergeCell ref="J1493:J1498"/>
    <mergeCell ref="A1484:A1490"/>
    <mergeCell ref="B1484:S1484"/>
    <mergeCell ref="B1485:B1490"/>
    <mergeCell ref="C1485:I1485"/>
    <mergeCell ref="J1485:J1490"/>
    <mergeCell ref="K1485:K1490"/>
    <mergeCell ref="L1485:L1490"/>
    <mergeCell ref="M1485:M1490"/>
    <mergeCell ref="N1485:N1490"/>
    <mergeCell ref="O1485:O1490"/>
    <mergeCell ref="O1477:O1482"/>
    <mergeCell ref="P1477:P1482"/>
    <mergeCell ref="Q1477:Q1482"/>
    <mergeCell ref="R1477:R1482"/>
    <mergeCell ref="S1477:S1482"/>
    <mergeCell ref="A1483:S1483"/>
    <mergeCell ref="A1475:S1475"/>
    <mergeCell ref="A1476:A1482"/>
    <mergeCell ref="B1476:S1476"/>
    <mergeCell ref="B1477:B1482"/>
    <mergeCell ref="C1477:I1477"/>
    <mergeCell ref="J1477:J1482"/>
    <mergeCell ref="K1477:K1482"/>
    <mergeCell ref="L1477:L1482"/>
    <mergeCell ref="M1477:M1482"/>
    <mergeCell ref="N1477:N1482"/>
    <mergeCell ref="N1469:N1474"/>
    <mergeCell ref="O1469:O1474"/>
    <mergeCell ref="P1469:P1474"/>
    <mergeCell ref="Q1469:Q1474"/>
    <mergeCell ref="R1469:R1474"/>
    <mergeCell ref="S1469:S1474"/>
    <mergeCell ref="S1461:S1466"/>
    <mergeCell ref="A1467:S1467"/>
    <mergeCell ref="A1468:A1474"/>
    <mergeCell ref="B1468:S1468"/>
    <mergeCell ref="B1469:B1474"/>
    <mergeCell ref="C1469:I1469"/>
    <mergeCell ref="J1469:J1474"/>
    <mergeCell ref="K1469:K1474"/>
    <mergeCell ref="L1469:L1474"/>
    <mergeCell ref="M1469:M1474"/>
    <mergeCell ref="M1461:M1466"/>
    <mergeCell ref="N1461:N1466"/>
    <mergeCell ref="O1461:O1466"/>
    <mergeCell ref="P1461:P1466"/>
    <mergeCell ref="Q1461:Q1466"/>
    <mergeCell ref="R1461:R1466"/>
    <mergeCell ref="R1453:R1458"/>
    <mergeCell ref="S1453:S1458"/>
    <mergeCell ref="A1459:S1459"/>
    <mergeCell ref="A1460:A1466"/>
    <mergeCell ref="B1460:S1460"/>
    <mergeCell ref="B1461:B1466"/>
    <mergeCell ref="C1461:I1461"/>
    <mergeCell ref="J1461:J1466"/>
    <mergeCell ref="K1461:K1466"/>
    <mergeCell ref="L1461:L1466"/>
    <mergeCell ref="L1453:L1458"/>
    <mergeCell ref="M1453:M1458"/>
    <mergeCell ref="N1453:N1458"/>
    <mergeCell ref="O1453:O1458"/>
    <mergeCell ref="P1453:P1458"/>
    <mergeCell ref="Q1453:Q1458"/>
    <mergeCell ref="Q1445:Q1450"/>
    <mergeCell ref="R1445:R1450"/>
    <mergeCell ref="S1445:S1450"/>
    <mergeCell ref="A1451:S1451"/>
    <mergeCell ref="A1452:A1458"/>
    <mergeCell ref="B1452:S1452"/>
    <mergeCell ref="B1453:B1458"/>
    <mergeCell ref="C1453:I1453"/>
    <mergeCell ref="J1453:J1458"/>
    <mergeCell ref="K1453:K1458"/>
    <mergeCell ref="K1445:K1450"/>
    <mergeCell ref="L1445:L1450"/>
    <mergeCell ref="M1445:M1450"/>
    <mergeCell ref="N1445:N1450"/>
    <mergeCell ref="O1445:O1450"/>
    <mergeCell ref="P1445:P1450"/>
    <mergeCell ref="P1437:P1442"/>
    <mergeCell ref="Q1437:Q1442"/>
    <mergeCell ref="R1437:R1442"/>
    <mergeCell ref="S1437:S1442"/>
    <mergeCell ref="A1443:S1443"/>
    <mergeCell ref="A1444:A1450"/>
    <mergeCell ref="B1444:S1444"/>
    <mergeCell ref="B1445:B1450"/>
    <mergeCell ref="C1445:I1445"/>
    <mergeCell ref="J1445:J1450"/>
    <mergeCell ref="A1436:A1442"/>
    <mergeCell ref="B1436:S1436"/>
    <mergeCell ref="B1437:B1442"/>
    <mergeCell ref="C1437:I1437"/>
    <mergeCell ref="J1437:J1442"/>
    <mergeCell ref="K1437:K1442"/>
    <mergeCell ref="L1437:L1442"/>
    <mergeCell ref="M1437:M1442"/>
    <mergeCell ref="N1437:N1442"/>
    <mergeCell ref="O1437:O1442"/>
    <mergeCell ref="O1429:O1434"/>
    <mergeCell ref="P1429:P1434"/>
    <mergeCell ref="Q1429:Q1434"/>
    <mergeCell ref="R1429:R1434"/>
    <mergeCell ref="S1429:S1434"/>
    <mergeCell ref="A1435:S1435"/>
    <mergeCell ref="A1427:S1427"/>
    <mergeCell ref="A1428:A1434"/>
    <mergeCell ref="B1428:S1428"/>
    <mergeCell ref="B1429:B1434"/>
    <mergeCell ref="C1429:I1429"/>
    <mergeCell ref="J1429:J1434"/>
    <mergeCell ref="K1429:K1434"/>
    <mergeCell ref="L1429:L1434"/>
    <mergeCell ref="M1429:M1434"/>
    <mergeCell ref="N1429:N1434"/>
    <mergeCell ref="N1421:N1426"/>
    <mergeCell ref="O1421:O1426"/>
    <mergeCell ref="P1421:P1426"/>
    <mergeCell ref="Q1421:Q1426"/>
    <mergeCell ref="R1421:R1426"/>
    <mergeCell ref="S1421:S1426"/>
    <mergeCell ref="S1413:S1418"/>
    <mergeCell ref="A1419:S1419"/>
    <mergeCell ref="A1420:A1426"/>
    <mergeCell ref="B1420:S1420"/>
    <mergeCell ref="B1421:B1426"/>
    <mergeCell ref="C1421:I1421"/>
    <mergeCell ref="J1421:J1426"/>
    <mergeCell ref="K1421:K1426"/>
    <mergeCell ref="L1421:L1426"/>
    <mergeCell ref="M1421:M1426"/>
    <mergeCell ref="M1413:M1418"/>
    <mergeCell ref="N1413:N1418"/>
    <mergeCell ref="O1413:O1418"/>
    <mergeCell ref="P1413:P1418"/>
    <mergeCell ref="Q1413:Q1418"/>
    <mergeCell ref="R1413:R1418"/>
    <mergeCell ref="R1405:R1410"/>
    <mergeCell ref="S1405:S1410"/>
    <mergeCell ref="A1411:S1411"/>
    <mergeCell ref="A1412:A1418"/>
    <mergeCell ref="B1412:S1412"/>
    <mergeCell ref="B1413:B1418"/>
    <mergeCell ref="C1413:I1413"/>
    <mergeCell ref="J1413:J1418"/>
    <mergeCell ref="K1413:K1418"/>
    <mergeCell ref="L1413:L1418"/>
    <mergeCell ref="L1405:L1410"/>
    <mergeCell ref="M1405:M1410"/>
    <mergeCell ref="N1405:N1410"/>
    <mergeCell ref="O1405:O1410"/>
    <mergeCell ref="P1405:P1410"/>
    <mergeCell ref="Q1405:Q1410"/>
    <mergeCell ref="Q1397:Q1402"/>
    <mergeCell ref="R1397:R1402"/>
    <mergeCell ref="S1397:S1402"/>
    <mergeCell ref="A1403:S1403"/>
    <mergeCell ref="A1404:A1410"/>
    <mergeCell ref="B1404:S1404"/>
    <mergeCell ref="B1405:B1410"/>
    <mergeCell ref="C1405:I1405"/>
    <mergeCell ref="J1405:J1410"/>
    <mergeCell ref="K1405:K1410"/>
    <mergeCell ref="K1397:K1402"/>
    <mergeCell ref="L1397:L1402"/>
    <mergeCell ref="M1397:M1402"/>
    <mergeCell ref="N1397:N1402"/>
    <mergeCell ref="O1397:O1402"/>
    <mergeCell ref="P1397:P1402"/>
    <mergeCell ref="P1389:P1394"/>
    <mergeCell ref="Q1389:Q1394"/>
    <mergeCell ref="R1389:R1394"/>
    <mergeCell ref="S1389:S1394"/>
    <mergeCell ref="A1395:S1395"/>
    <mergeCell ref="A1396:A1402"/>
    <mergeCell ref="B1396:S1396"/>
    <mergeCell ref="B1397:B1402"/>
    <mergeCell ref="C1397:I1397"/>
    <mergeCell ref="J1397:J1402"/>
    <mergeCell ref="A1388:A1394"/>
    <mergeCell ref="B1388:S1388"/>
    <mergeCell ref="B1389:B1394"/>
    <mergeCell ref="C1389:I1389"/>
    <mergeCell ref="J1389:J1394"/>
    <mergeCell ref="K1389:K1394"/>
    <mergeCell ref="L1389:L1394"/>
    <mergeCell ref="M1389:M1394"/>
    <mergeCell ref="N1389:N1394"/>
    <mergeCell ref="O1389:O1394"/>
    <mergeCell ref="O1381:O1386"/>
    <mergeCell ref="P1381:P1386"/>
    <mergeCell ref="Q1381:Q1386"/>
    <mergeCell ref="R1381:R1386"/>
    <mergeCell ref="S1381:S1386"/>
    <mergeCell ref="A1387:S1387"/>
    <mergeCell ref="A1379:S1379"/>
    <mergeCell ref="A1380:A1386"/>
    <mergeCell ref="B1380:S1380"/>
    <mergeCell ref="B1381:B1386"/>
    <mergeCell ref="C1381:I1381"/>
    <mergeCell ref="J1381:J1386"/>
    <mergeCell ref="K1381:K1386"/>
    <mergeCell ref="L1381:L1386"/>
    <mergeCell ref="M1381:M1386"/>
    <mergeCell ref="N1381:N1386"/>
    <mergeCell ref="N1373:N1378"/>
    <mergeCell ref="O1373:O1378"/>
    <mergeCell ref="P1373:P1378"/>
    <mergeCell ref="Q1373:Q1378"/>
    <mergeCell ref="R1373:R1378"/>
    <mergeCell ref="S1373:S1378"/>
    <mergeCell ref="S1365:S1370"/>
    <mergeCell ref="A1371:S1371"/>
    <mergeCell ref="A1372:A1378"/>
    <mergeCell ref="B1372:S1372"/>
    <mergeCell ref="B1373:B1378"/>
    <mergeCell ref="C1373:I1373"/>
    <mergeCell ref="J1373:J1378"/>
    <mergeCell ref="K1373:K1378"/>
    <mergeCell ref="L1373:L1378"/>
    <mergeCell ref="M1373:M1378"/>
    <mergeCell ref="M1365:M1370"/>
    <mergeCell ref="N1365:N1370"/>
    <mergeCell ref="O1365:O1370"/>
    <mergeCell ref="P1365:P1370"/>
    <mergeCell ref="Q1365:Q1370"/>
    <mergeCell ref="R1365:R1370"/>
    <mergeCell ref="R1357:R1362"/>
    <mergeCell ref="S1357:S1362"/>
    <mergeCell ref="A1363:S1363"/>
    <mergeCell ref="A1364:A1370"/>
    <mergeCell ref="B1364:S1364"/>
    <mergeCell ref="B1365:B1370"/>
    <mergeCell ref="C1365:I1365"/>
    <mergeCell ref="J1365:J1370"/>
    <mergeCell ref="K1365:K1370"/>
    <mergeCell ref="L1365:L1370"/>
    <mergeCell ref="L1357:L1362"/>
    <mergeCell ref="M1357:M1362"/>
    <mergeCell ref="N1357:N1362"/>
    <mergeCell ref="O1357:O1362"/>
    <mergeCell ref="P1357:P1362"/>
    <mergeCell ref="Q1357:Q1362"/>
    <mergeCell ref="Q1349:Q1354"/>
    <mergeCell ref="R1349:R1354"/>
    <mergeCell ref="S1349:S1354"/>
    <mergeCell ref="A1355:S1355"/>
    <mergeCell ref="A1356:A1362"/>
    <mergeCell ref="B1356:S1356"/>
    <mergeCell ref="B1357:B1362"/>
    <mergeCell ref="C1357:I1357"/>
    <mergeCell ref="J1357:J1362"/>
    <mergeCell ref="K1357:K1362"/>
    <mergeCell ref="K1349:K1354"/>
    <mergeCell ref="L1349:L1354"/>
    <mergeCell ref="M1349:M1354"/>
    <mergeCell ref="N1349:N1354"/>
    <mergeCell ref="O1349:O1354"/>
    <mergeCell ref="P1349:P1354"/>
    <mergeCell ref="P1341:P1346"/>
    <mergeCell ref="Q1341:Q1346"/>
    <mergeCell ref="R1341:R1346"/>
    <mergeCell ref="S1341:S1346"/>
    <mergeCell ref="A1347:S1347"/>
    <mergeCell ref="A1348:A1354"/>
    <mergeCell ref="B1348:S1348"/>
    <mergeCell ref="B1349:B1354"/>
    <mergeCell ref="C1349:I1349"/>
    <mergeCell ref="J1349:J1354"/>
    <mergeCell ref="A1340:A1346"/>
    <mergeCell ref="B1340:S1340"/>
    <mergeCell ref="B1341:B1346"/>
    <mergeCell ref="C1341:I1341"/>
    <mergeCell ref="J1341:J1346"/>
    <mergeCell ref="K1341:K1346"/>
    <mergeCell ref="L1341:L1346"/>
    <mergeCell ref="M1341:M1346"/>
    <mergeCell ref="N1341:N1346"/>
    <mergeCell ref="O1341:O1346"/>
    <mergeCell ref="O1333:O1338"/>
    <mergeCell ref="P1333:P1338"/>
    <mergeCell ref="Q1333:Q1338"/>
    <mergeCell ref="R1333:R1338"/>
    <mergeCell ref="S1333:S1338"/>
    <mergeCell ref="A1339:S1339"/>
    <mergeCell ref="A1331:S1331"/>
    <mergeCell ref="A1332:A1338"/>
    <mergeCell ref="B1332:S1332"/>
    <mergeCell ref="B1333:B1338"/>
    <mergeCell ref="C1333:I1333"/>
    <mergeCell ref="J1333:J1338"/>
    <mergeCell ref="K1333:K1338"/>
    <mergeCell ref="L1333:L1338"/>
    <mergeCell ref="M1333:M1338"/>
    <mergeCell ref="N1333:N1338"/>
    <mergeCell ref="N1325:N1330"/>
    <mergeCell ref="O1325:O1330"/>
    <mergeCell ref="P1325:P1330"/>
    <mergeCell ref="Q1325:Q1330"/>
    <mergeCell ref="R1325:R1330"/>
    <mergeCell ref="S1325:S1330"/>
    <mergeCell ref="B1322:C1322"/>
    <mergeCell ref="A1323:S1323"/>
    <mergeCell ref="A1324:A1330"/>
    <mergeCell ref="B1324:S1324"/>
    <mergeCell ref="B1325:B1330"/>
    <mergeCell ref="C1325:I1325"/>
    <mergeCell ref="J1325:J1330"/>
    <mergeCell ref="K1325:K1330"/>
    <mergeCell ref="L1325:L1330"/>
    <mergeCell ref="M1325:M1330"/>
    <mergeCell ref="P1311:P1316"/>
    <mergeCell ref="Q1311:Q1316"/>
    <mergeCell ref="R1311:R1316"/>
    <mergeCell ref="S1311:S1316"/>
    <mergeCell ref="A1317:A1322"/>
    <mergeCell ref="B1317:S1317"/>
    <mergeCell ref="B1318:C1318"/>
    <mergeCell ref="B1319:C1319"/>
    <mergeCell ref="B1320:C1320"/>
    <mergeCell ref="B1321:C1321"/>
    <mergeCell ref="A1310:A1316"/>
    <mergeCell ref="B1310:S1310"/>
    <mergeCell ref="B1311:B1316"/>
    <mergeCell ref="C1311:I1311"/>
    <mergeCell ref="J1311:J1316"/>
    <mergeCell ref="K1311:K1316"/>
    <mergeCell ref="L1311:L1316"/>
    <mergeCell ref="M1311:M1316"/>
    <mergeCell ref="N1311:N1316"/>
    <mergeCell ref="O1311:O1316"/>
    <mergeCell ref="O1303:O1308"/>
    <mergeCell ref="P1303:P1308"/>
    <mergeCell ref="Q1303:Q1308"/>
    <mergeCell ref="R1303:R1308"/>
    <mergeCell ref="S1303:S1308"/>
    <mergeCell ref="A1309:S1309"/>
    <mergeCell ref="A1301:S1301"/>
    <mergeCell ref="A1302:A1308"/>
    <mergeCell ref="B1302:S1302"/>
    <mergeCell ref="B1303:B1308"/>
    <mergeCell ref="C1303:I1303"/>
    <mergeCell ref="J1303:J1308"/>
    <mergeCell ref="K1303:K1308"/>
    <mergeCell ref="L1303:L1308"/>
    <mergeCell ref="M1303:M1308"/>
    <mergeCell ref="N1303:N1308"/>
    <mergeCell ref="A1295:A1300"/>
    <mergeCell ref="B1295:S1295"/>
    <mergeCell ref="B1296:C1296"/>
    <mergeCell ref="B1297:C1297"/>
    <mergeCell ref="B1298:C1298"/>
    <mergeCell ref="B1299:C1299"/>
    <mergeCell ref="B1300:C1300"/>
    <mergeCell ref="N1281:N1286"/>
    <mergeCell ref="O1281:O1286"/>
    <mergeCell ref="P1281:P1286"/>
    <mergeCell ref="Q1281:Q1286"/>
    <mergeCell ref="R1281:R1286"/>
    <mergeCell ref="S1281:S1286"/>
    <mergeCell ref="A1279:S1279"/>
    <mergeCell ref="A1280:A1286"/>
    <mergeCell ref="B1280:S1280"/>
    <mergeCell ref="B1281:B1286"/>
    <mergeCell ref="C1281:I1281"/>
    <mergeCell ref="J1281:J1286"/>
    <mergeCell ref="K1281:K1286"/>
    <mergeCell ref="L1281:L1286"/>
    <mergeCell ref="M1281:M1286"/>
    <mergeCell ref="R1273:R1278"/>
    <mergeCell ref="S1273:S1278"/>
    <mergeCell ref="L1273:L1278"/>
    <mergeCell ref="M1273:M1278"/>
    <mergeCell ref="N1273:N1278"/>
    <mergeCell ref="O1273:O1278"/>
    <mergeCell ref="P1273:P1278"/>
    <mergeCell ref="Q1273:Q1278"/>
    <mergeCell ref="Q1265:Q1270"/>
    <mergeCell ref="R1265:R1270"/>
    <mergeCell ref="S1265:S1270"/>
    <mergeCell ref="A1271:S1271"/>
    <mergeCell ref="A1272:A1278"/>
    <mergeCell ref="B1272:S1272"/>
    <mergeCell ref="B1273:B1278"/>
    <mergeCell ref="C1273:I1273"/>
    <mergeCell ref="J1273:J1278"/>
    <mergeCell ref="K1273:K1278"/>
    <mergeCell ref="K1265:K1270"/>
    <mergeCell ref="L1265:L1270"/>
    <mergeCell ref="M1265:M1270"/>
    <mergeCell ref="N1265:N1270"/>
    <mergeCell ref="O1265:O1270"/>
    <mergeCell ref="P1265:P1270"/>
    <mergeCell ref="P1257:P1262"/>
    <mergeCell ref="Q1257:Q1262"/>
    <mergeCell ref="R1257:R1262"/>
    <mergeCell ref="S1257:S1262"/>
    <mergeCell ref="A1263:S1263"/>
    <mergeCell ref="A1264:A1270"/>
    <mergeCell ref="B1264:S1264"/>
    <mergeCell ref="B1265:B1270"/>
    <mergeCell ref="C1265:I1265"/>
    <mergeCell ref="J1265:J1270"/>
    <mergeCell ref="A1256:A1262"/>
    <mergeCell ref="B1256:S1256"/>
    <mergeCell ref="B1257:B1262"/>
    <mergeCell ref="C1257:I1257"/>
    <mergeCell ref="J1257:J1262"/>
    <mergeCell ref="K1257:K1262"/>
    <mergeCell ref="L1257:L1262"/>
    <mergeCell ref="M1257:M1262"/>
    <mergeCell ref="N1257:N1262"/>
    <mergeCell ref="O1257:O1262"/>
    <mergeCell ref="O1249:O1254"/>
    <mergeCell ref="P1249:P1254"/>
    <mergeCell ref="Q1249:Q1254"/>
    <mergeCell ref="R1249:R1254"/>
    <mergeCell ref="S1249:S1254"/>
    <mergeCell ref="A1255:S1255"/>
    <mergeCell ref="A1247:S1247"/>
    <mergeCell ref="A1248:A1254"/>
    <mergeCell ref="B1248:S1248"/>
    <mergeCell ref="B1249:B1254"/>
    <mergeCell ref="C1249:I1249"/>
    <mergeCell ref="J1249:J1254"/>
    <mergeCell ref="K1249:K1254"/>
    <mergeCell ref="L1249:L1254"/>
    <mergeCell ref="M1249:M1254"/>
    <mergeCell ref="N1249:N1254"/>
    <mergeCell ref="S1241:S1246"/>
    <mergeCell ref="M1241:M1246"/>
    <mergeCell ref="N1241:N1246"/>
    <mergeCell ref="O1241:O1246"/>
    <mergeCell ref="P1241:P1246"/>
    <mergeCell ref="Q1241:Q1246"/>
    <mergeCell ref="R1241:R1246"/>
    <mergeCell ref="R1233:R1238"/>
    <mergeCell ref="S1233:S1238"/>
    <mergeCell ref="A1239:S1239"/>
    <mergeCell ref="A1240:A1246"/>
    <mergeCell ref="B1240:S1240"/>
    <mergeCell ref="B1241:B1246"/>
    <mergeCell ref="C1241:I1241"/>
    <mergeCell ref="J1241:J1246"/>
    <mergeCell ref="K1241:K1246"/>
    <mergeCell ref="L1241:L1246"/>
    <mergeCell ref="L1233:L1238"/>
    <mergeCell ref="M1233:M1238"/>
    <mergeCell ref="N1233:N1238"/>
    <mergeCell ref="O1233:O1238"/>
    <mergeCell ref="P1233:P1238"/>
    <mergeCell ref="Q1233:Q1238"/>
    <mergeCell ref="Q1225:Q1230"/>
    <mergeCell ref="R1225:R1230"/>
    <mergeCell ref="S1225:S1230"/>
    <mergeCell ref="A1231:S1231"/>
    <mergeCell ref="A1232:A1238"/>
    <mergeCell ref="B1232:S1232"/>
    <mergeCell ref="B1233:B1238"/>
    <mergeCell ref="C1233:I1233"/>
    <mergeCell ref="J1233:J1238"/>
    <mergeCell ref="K1233:K1238"/>
    <mergeCell ref="K1225:K1230"/>
    <mergeCell ref="L1225:L1230"/>
    <mergeCell ref="M1225:M1230"/>
    <mergeCell ref="N1225:N1230"/>
    <mergeCell ref="O1225:O1230"/>
    <mergeCell ref="P1225:P1230"/>
    <mergeCell ref="P1217:P1222"/>
    <mergeCell ref="Q1217:Q1222"/>
    <mergeCell ref="R1217:R1222"/>
    <mergeCell ref="S1217:S1222"/>
    <mergeCell ref="A1223:S1223"/>
    <mergeCell ref="A1224:A1230"/>
    <mergeCell ref="B1224:S1224"/>
    <mergeCell ref="B1225:B1230"/>
    <mergeCell ref="C1225:I1225"/>
    <mergeCell ref="J1225:J1230"/>
    <mergeCell ref="A1216:A1222"/>
    <mergeCell ref="B1216:S1216"/>
    <mergeCell ref="B1217:B1222"/>
    <mergeCell ref="C1217:I1217"/>
    <mergeCell ref="J1217:J1222"/>
    <mergeCell ref="K1217:K1222"/>
    <mergeCell ref="L1217:L1222"/>
    <mergeCell ref="M1217:M1222"/>
    <mergeCell ref="N1217:N1222"/>
    <mergeCell ref="O1217:O1222"/>
    <mergeCell ref="O1209:O1214"/>
    <mergeCell ref="P1209:P1214"/>
    <mergeCell ref="Q1209:Q1214"/>
    <mergeCell ref="R1209:R1214"/>
    <mergeCell ref="S1209:S1214"/>
    <mergeCell ref="A1215:S1215"/>
    <mergeCell ref="A1207:S1207"/>
    <mergeCell ref="A1208:A1214"/>
    <mergeCell ref="B1208:S1208"/>
    <mergeCell ref="B1209:B1214"/>
    <mergeCell ref="C1209:I1209"/>
    <mergeCell ref="J1209:J1214"/>
    <mergeCell ref="K1209:K1214"/>
    <mergeCell ref="L1209:L1214"/>
    <mergeCell ref="M1209:M1214"/>
    <mergeCell ref="N1209:N1214"/>
    <mergeCell ref="N1201:N1206"/>
    <mergeCell ref="O1201:O1206"/>
    <mergeCell ref="P1201:P1206"/>
    <mergeCell ref="Q1201:Q1206"/>
    <mergeCell ref="R1201:R1206"/>
    <mergeCell ref="S1201:S1206"/>
    <mergeCell ref="S1193:S1198"/>
    <mergeCell ref="A1199:S1199"/>
    <mergeCell ref="A1200:A1206"/>
    <mergeCell ref="B1200:S1200"/>
    <mergeCell ref="B1201:B1206"/>
    <mergeCell ref="C1201:I1201"/>
    <mergeCell ref="J1201:J1206"/>
    <mergeCell ref="K1201:K1206"/>
    <mergeCell ref="L1201:L1206"/>
    <mergeCell ref="M1201:M1206"/>
    <mergeCell ref="M1193:M1198"/>
    <mergeCell ref="N1193:N1198"/>
    <mergeCell ref="O1193:O1198"/>
    <mergeCell ref="P1193:P1198"/>
    <mergeCell ref="Q1193:Q1198"/>
    <mergeCell ref="R1193:R1198"/>
    <mergeCell ref="B1189:C1189"/>
    <mergeCell ref="B1190:C1190"/>
    <mergeCell ref="A1191:S1191"/>
    <mergeCell ref="A1192:A1198"/>
    <mergeCell ref="B1192:S1192"/>
    <mergeCell ref="B1193:B1198"/>
    <mergeCell ref="C1193:I1193"/>
    <mergeCell ref="J1193:J1198"/>
    <mergeCell ref="K1193:K1198"/>
    <mergeCell ref="L1193:L1198"/>
    <mergeCell ref="O1179:O1184"/>
    <mergeCell ref="P1179:P1184"/>
    <mergeCell ref="Q1179:Q1184"/>
    <mergeCell ref="R1179:R1184"/>
    <mergeCell ref="S1179:S1184"/>
    <mergeCell ref="A1185:A1190"/>
    <mergeCell ref="B1185:S1185"/>
    <mergeCell ref="B1186:C1186"/>
    <mergeCell ref="B1187:C1187"/>
    <mergeCell ref="B1188:C1188"/>
    <mergeCell ref="A1177:S1177"/>
    <mergeCell ref="A1178:A1184"/>
    <mergeCell ref="B1178:S1178"/>
    <mergeCell ref="B1179:B1184"/>
    <mergeCell ref="C1179:I1179"/>
    <mergeCell ref="J1179:J1184"/>
    <mergeCell ref="K1179:K1184"/>
    <mergeCell ref="L1179:L1184"/>
    <mergeCell ref="M1179:M1184"/>
    <mergeCell ref="N1179:N1184"/>
    <mergeCell ref="N1171:N1176"/>
    <mergeCell ref="O1171:O1176"/>
    <mergeCell ref="P1171:P1176"/>
    <mergeCell ref="Q1171:Q1176"/>
    <mergeCell ref="R1171:R1176"/>
    <mergeCell ref="S1171:S1176"/>
    <mergeCell ref="S1163:S1168"/>
    <mergeCell ref="A1169:S1169"/>
    <mergeCell ref="A1170:A1176"/>
    <mergeCell ref="B1170:S1170"/>
    <mergeCell ref="B1171:B1176"/>
    <mergeCell ref="C1171:I1171"/>
    <mergeCell ref="J1171:J1176"/>
    <mergeCell ref="K1171:K1176"/>
    <mergeCell ref="L1171:L1176"/>
    <mergeCell ref="M1171:M1176"/>
    <mergeCell ref="M1163:M1168"/>
    <mergeCell ref="N1163:N1168"/>
    <mergeCell ref="O1163:O1168"/>
    <mergeCell ref="P1163:P1168"/>
    <mergeCell ref="Q1163:Q1168"/>
    <mergeCell ref="R1163:R1168"/>
    <mergeCell ref="B1159:C1159"/>
    <mergeCell ref="B1160:C1160"/>
    <mergeCell ref="A1161:S1161"/>
    <mergeCell ref="A1162:A1168"/>
    <mergeCell ref="B1162:S1162"/>
    <mergeCell ref="B1163:B1168"/>
    <mergeCell ref="C1163:I1163"/>
    <mergeCell ref="J1163:J1168"/>
    <mergeCell ref="K1163:K1168"/>
    <mergeCell ref="L1163:L1168"/>
    <mergeCell ref="O1149:O1154"/>
    <mergeCell ref="P1149:P1154"/>
    <mergeCell ref="Q1149:Q1154"/>
    <mergeCell ref="R1149:R1154"/>
    <mergeCell ref="S1149:S1154"/>
    <mergeCell ref="A1155:A1160"/>
    <mergeCell ref="B1155:S1155"/>
    <mergeCell ref="B1156:C1156"/>
    <mergeCell ref="B1157:C1157"/>
    <mergeCell ref="B1158:C1158"/>
    <mergeCell ref="A1147:S1147"/>
    <mergeCell ref="A1148:A1154"/>
    <mergeCell ref="B1148:S1148"/>
    <mergeCell ref="B1149:B1154"/>
    <mergeCell ref="C1149:I1149"/>
    <mergeCell ref="J1149:J1154"/>
    <mergeCell ref="K1149:K1154"/>
    <mergeCell ref="L1149:L1154"/>
    <mergeCell ref="M1149:M1154"/>
    <mergeCell ref="N1149:N1154"/>
    <mergeCell ref="S1135:S1140"/>
    <mergeCell ref="A1141:A1146"/>
    <mergeCell ref="B1141:S1141"/>
    <mergeCell ref="B1142:C1142"/>
    <mergeCell ref="B1143:C1143"/>
    <mergeCell ref="B1144:C1144"/>
    <mergeCell ref="B1145:C1145"/>
    <mergeCell ref="B1146:C1146"/>
    <mergeCell ref="M1135:M1140"/>
    <mergeCell ref="N1135:N1140"/>
    <mergeCell ref="O1135:O1140"/>
    <mergeCell ref="P1135:P1140"/>
    <mergeCell ref="Q1135:Q1140"/>
    <mergeCell ref="R1135:R1140"/>
    <mergeCell ref="R1127:R1132"/>
    <mergeCell ref="S1127:S1132"/>
    <mergeCell ref="A1133:S1133"/>
    <mergeCell ref="A1134:A1140"/>
    <mergeCell ref="B1134:S1134"/>
    <mergeCell ref="B1135:B1140"/>
    <mergeCell ref="C1135:I1135"/>
    <mergeCell ref="J1135:J1140"/>
    <mergeCell ref="K1135:K1140"/>
    <mergeCell ref="L1135:L1140"/>
    <mergeCell ref="L1127:L1132"/>
    <mergeCell ref="M1127:M1132"/>
    <mergeCell ref="N1127:N1132"/>
    <mergeCell ref="O1127:O1132"/>
    <mergeCell ref="P1127:P1132"/>
    <mergeCell ref="Q1127:Q1132"/>
    <mergeCell ref="Q1119:Q1124"/>
    <mergeCell ref="R1119:R1124"/>
    <mergeCell ref="S1119:S1124"/>
    <mergeCell ref="A1125:S1125"/>
    <mergeCell ref="A1126:A1132"/>
    <mergeCell ref="B1126:S1126"/>
    <mergeCell ref="B1127:B1132"/>
    <mergeCell ref="C1127:I1127"/>
    <mergeCell ref="J1127:J1132"/>
    <mergeCell ref="K1127:K1132"/>
    <mergeCell ref="K1119:K1124"/>
    <mergeCell ref="L1119:L1124"/>
    <mergeCell ref="M1119:M1124"/>
    <mergeCell ref="N1119:N1124"/>
    <mergeCell ref="O1119:O1124"/>
    <mergeCell ref="P1119:P1124"/>
    <mergeCell ref="P1111:P1116"/>
    <mergeCell ref="Q1111:Q1116"/>
    <mergeCell ref="R1111:R1116"/>
    <mergeCell ref="S1111:S1116"/>
    <mergeCell ref="A1117:S1117"/>
    <mergeCell ref="A1118:A1124"/>
    <mergeCell ref="B1118:S1118"/>
    <mergeCell ref="B1119:B1124"/>
    <mergeCell ref="C1119:I1119"/>
    <mergeCell ref="J1119:J1124"/>
    <mergeCell ref="A1110:A1116"/>
    <mergeCell ref="B1110:S1110"/>
    <mergeCell ref="B1111:B1116"/>
    <mergeCell ref="C1111:I1111"/>
    <mergeCell ref="J1111:J1116"/>
    <mergeCell ref="K1111:K1116"/>
    <mergeCell ref="L1111:L1116"/>
    <mergeCell ref="M1111:M1116"/>
    <mergeCell ref="N1111:N1116"/>
    <mergeCell ref="O1111:O1116"/>
    <mergeCell ref="O1103:O1108"/>
    <mergeCell ref="P1103:P1108"/>
    <mergeCell ref="Q1103:Q1108"/>
    <mergeCell ref="R1103:R1108"/>
    <mergeCell ref="S1103:S1108"/>
    <mergeCell ref="A1109:S1109"/>
    <mergeCell ref="A1101:S1101"/>
    <mergeCell ref="A1102:A1108"/>
    <mergeCell ref="B1102:S1102"/>
    <mergeCell ref="B1103:B1108"/>
    <mergeCell ref="C1103:I1103"/>
    <mergeCell ref="J1103:J1108"/>
    <mergeCell ref="K1103:K1108"/>
    <mergeCell ref="L1103:L1108"/>
    <mergeCell ref="M1103:M1108"/>
    <mergeCell ref="N1103:N1108"/>
    <mergeCell ref="Q1049:Q1054"/>
    <mergeCell ref="R1049:R1054"/>
    <mergeCell ref="S1049:S1054"/>
    <mergeCell ref="A1095:A1100"/>
    <mergeCell ref="B1095:S1095"/>
    <mergeCell ref="B1096:C1096"/>
    <mergeCell ref="B1097:C1097"/>
    <mergeCell ref="B1098:C1098"/>
    <mergeCell ref="B1099:C1099"/>
    <mergeCell ref="B1100:C1100"/>
    <mergeCell ref="K1049:K1054"/>
    <mergeCell ref="L1049:L1054"/>
    <mergeCell ref="M1049:M1054"/>
    <mergeCell ref="N1049:N1054"/>
    <mergeCell ref="O1049:O1054"/>
    <mergeCell ref="P1049:P1054"/>
    <mergeCell ref="O1041:O1046"/>
    <mergeCell ref="O1033:O1038"/>
    <mergeCell ref="P1033:P1038"/>
    <mergeCell ref="Q1033:Q1038"/>
    <mergeCell ref="R1033:R1038"/>
    <mergeCell ref="S1033:S1038"/>
    <mergeCell ref="A1039:S1039"/>
    <mergeCell ref="A1031:S1031"/>
    <mergeCell ref="A1032:A1038"/>
    <mergeCell ref="B1032:S1032"/>
    <mergeCell ref="B1033:B1038"/>
    <mergeCell ref="C1033:I1033"/>
    <mergeCell ref="J1033:J1038"/>
    <mergeCell ref="K1033:K1038"/>
    <mergeCell ref="L1033:L1038"/>
    <mergeCell ref="M1033:M1038"/>
    <mergeCell ref="N1033:N1038"/>
    <mergeCell ref="K1041:K1046"/>
    <mergeCell ref="L1041:L1046"/>
    <mergeCell ref="M1041:M1046"/>
    <mergeCell ref="N1041:N1046"/>
    <mergeCell ref="N1025:N1030"/>
    <mergeCell ref="O1025:O1030"/>
    <mergeCell ref="P1025:P1030"/>
    <mergeCell ref="Q1025:Q1030"/>
    <mergeCell ref="R1025:R1030"/>
    <mergeCell ref="S1025:S1030"/>
    <mergeCell ref="S1017:S1022"/>
    <mergeCell ref="A1023:S1023"/>
    <mergeCell ref="A1024:A1030"/>
    <mergeCell ref="B1024:S1024"/>
    <mergeCell ref="B1025:B1030"/>
    <mergeCell ref="C1025:I1025"/>
    <mergeCell ref="J1025:J1030"/>
    <mergeCell ref="K1025:K1030"/>
    <mergeCell ref="L1025:L1030"/>
    <mergeCell ref="M1025:M1030"/>
    <mergeCell ref="M1017:M1022"/>
    <mergeCell ref="N1017:N1022"/>
    <mergeCell ref="O1017:O1022"/>
    <mergeCell ref="P1017:P1022"/>
    <mergeCell ref="Q1017:Q1022"/>
    <mergeCell ref="R1017:R1022"/>
    <mergeCell ref="R1009:R1014"/>
    <mergeCell ref="S1009:S1014"/>
    <mergeCell ref="A1015:S1015"/>
    <mergeCell ref="A1016:A1022"/>
    <mergeCell ref="B1016:S1016"/>
    <mergeCell ref="B1017:B1022"/>
    <mergeCell ref="C1017:I1017"/>
    <mergeCell ref="J1017:J1022"/>
    <mergeCell ref="K1017:K1022"/>
    <mergeCell ref="L1017:L1022"/>
    <mergeCell ref="L1009:L1014"/>
    <mergeCell ref="M1009:M1014"/>
    <mergeCell ref="N1009:N1014"/>
    <mergeCell ref="O1009:O1014"/>
    <mergeCell ref="P1009:P1014"/>
    <mergeCell ref="Q1009:Q1014"/>
    <mergeCell ref="Q1001:Q1006"/>
    <mergeCell ref="R1001:R1006"/>
    <mergeCell ref="S1001:S1006"/>
    <mergeCell ref="A1007:S1007"/>
    <mergeCell ref="A1008:A1014"/>
    <mergeCell ref="B1008:S1008"/>
    <mergeCell ref="B1009:B1014"/>
    <mergeCell ref="C1009:I1009"/>
    <mergeCell ref="J1009:J1014"/>
    <mergeCell ref="K1009:K1014"/>
    <mergeCell ref="K1001:K1006"/>
    <mergeCell ref="L1001:L1006"/>
    <mergeCell ref="M1001:M1006"/>
    <mergeCell ref="N1001:N1006"/>
    <mergeCell ref="O1001:O1006"/>
    <mergeCell ref="P1001:P1006"/>
    <mergeCell ref="P993:P998"/>
    <mergeCell ref="Q993:Q998"/>
    <mergeCell ref="R993:R998"/>
    <mergeCell ref="S993:S998"/>
    <mergeCell ref="A999:S999"/>
    <mergeCell ref="A1000:A1006"/>
    <mergeCell ref="B1000:S1000"/>
    <mergeCell ref="B1001:B1006"/>
    <mergeCell ref="C1001:I1001"/>
    <mergeCell ref="J1001:J1006"/>
    <mergeCell ref="A992:A998"/>
    <mergeCell ref="B992:S992"/>
    <mergeCell ref="B993:B998"/>
    <mergeCell ref="C993:I993"/>
    <mergeCell ref="J993:J998"/>
    <mergeCell ref="K993:K998"/>
    <mergeCell ref="L993:L998"/>
    <mergeCell ref="M993:M998"/>
    <mergeCell ref="N993:N998"/>
    <mergeCell ref="O993:O998"/>
    <mergeCell ref="O985:O990"/>
    <mergeCell ref="P985:P990"/>
    <mergeCell ref="Q985:Q990"/>
    <mergeCell ref="R985:R990"/>
    <mergeCell ref="S985:S990"/>
    <mergeCell ref="A991:S991"/>
    <mergeCell ref="A983:S983"/>
    <mergeCell ref="A984:A990"/>
    <mergeCell ref="B984:S984"/>
    <mergeCell ref="B985:B990"/>
    <mergeCell ref="C985:I985"/>
    <mergeCell ref="J985:J990"/>
    <mergeCell ref="K985:K990"/>
    <mergeCell ref="L985:L990"/>
    <mergeCell ref="M985:M990"/>
    <mergeCell ref="N985:N990"/>
    <mergeCell ref="N977:N982"/>
    <mergeCell ref="O977:O982"/>
    <mergeCell ref="P977:P982"/>
    <mergeCell ref="Q977:Q982"/>
    <mergeCell ref="R977:R982"/>
    <mergeCell ref="S977:S982"/>
    <mergeCell ref="S969:S974"/>
    <mergeCell ref="A975:S975"/>
    <mergeCell ref="A976:A982"/>
    <mergeCell ref="B976:S976"/>
    <mergeCell ref="B977:B982"/>
    <mergeCell ref="C977:I977"/>
    <mergeCell ref="J977:J982"/>
    <mergeCell ref="K977:K982"/>
    <mergeCell ref="L977:L982"/>
    <mergeCell ref="M977:M982"/>
    <mergeCell ref="M969:M974"/>
    <mergeCell ref="N969:N974"/>
    <mergeCell ref="O969:O974"/>
    <mergeCell ref="P969:P974"/>
    <mergeCell ref="Q969:Q974"/>
    <mergeCell ref="R969:R974"/>
    <mergeCell ref="R961:R966"/>
    <mergeCell ref="S961:S966"/>
    <mergeCell ref="A967:S967"/>
    <mergeCell ref="A968:A974"/>
    <mergeCell ref="B968:S968"/>
    <mergeCell ref="B969:B974"/>
    <mergeCell ref="C969:I969"/>
    <mergeCell ref="J969:J974"/>
    <mergeCell ref="K969:K974"/>
    <mergeCell ref="L969:L974"/>
    <mergeCell ref="L961:L966"/>
    <mergeCell ref="M961:M966"/>
    <mergeCell ref="N961:N966"/>
    <mergeCell ref="O961:O966"/>
    <mergeCell ref="P961:P966"/>
    <mergeCell ref="Q961:Q966"/>
    <mergeCell ref="Q953:Q958"/>
    <mergeCell ref="R953:R958"/>
    <mergeCell ref="S953:S958"/>
    <mergeCell ref="A959:S959"/>
    <mergeCell ref="A960:A966"/>
    <mergeCell ref="B960:S960"/>
    <mergeCell ref="B961:B966"/>
    <mergeCell ref="C961:I961"/>
    <mergeCell ref="J961:J966"/>
    <mergeCell ref="K961:K966"/>
    <mergeCell ref="K953:K958"/>
    <mergeCell ref="L953:L958"/>
    <mergeCell ref="M953:M958"/>
    <mergeCell ref="N953:N958"/>
    <mergeCell ref="O953:O958"/>
    <mergeCell ref="P953:P958"/>
    <mergeCell ref="A951:S951"/>
    <mergeCell ref="A952:A958"/>
    <mergeCell ref="B952:S952"/>
    <mergeCell ref="B953:B958"/>
    <mergeCell ref="C953:I953"/>
    <mergeCell ref="J953:J958"/>
    <mergeCell ref="O945:O950"/>
    <mergeCell ref="P945:P950"/>
    <mergeCell ref="Q945:Q950"/>
    <mergeCell ref="R945:R950"/>
    <mergeCell ref="S945:S950"/>
    <mergeCell ref="A943:S943"/>
    <mergeCell ref="A944:A950"/>
    <mergeCell ref="B944:S944"/>
    <mergeCell ref="B945:B950"/>
    <mergeCell ref="C945:I945"/>
    <mergeCell ref="J945:J950"/>
    <mergeCell ref="K945:K950"/>
    <mergeCell ref="L945:L950"/>
    <mergeCell ref="M945:M950"/>
    <mergeCell ref="N945:N950"/>
    <mergeCell ref="N921:N926"/>
    <mergeCell ref="O921:O926"/>
    <mergeCell ref="P921:P926"/>
    <mergeCell ref="Q921:Q926"/>
    <mergeCell ref="R921:R926"/>
    <mergeCell ref="S921:S926"/>
    <mergeCell ref="S937:S942"/>
    <mergeCell ref="A935:S935"/>
    <mergeCell ref="A936:A942"/>
    <mergeCell ref="B936:S936"/>
    <mergeCell ref="B937:B942"/>
    <mergeCell ref="C937:I937"/>
    <mergeCell ref="J937:J942"/>
    <mergeCell ref="K937:K942"/>
    <mergeCell ref="L929:L934"/>
    <mergeCell ref="M929:M934"/>
    <mergeCell ref="N929:N934"/>
    <mergeCell ref="S913:S918"/>
    <mergeCell ref="A919:S919"/>
    <mergeCell ref="A920:A926"/>
    <mergeCell ref="B920:S920"/>
    <mergeCell ref="B921:B926"/>
    <mergeCell ref="C921:I921"/>
    <mergeCell ref="J921:J926"/>
    <mergeCell ref="K921:K926"/>
    <mergeCell ref="L921:L926"/>
    <mergeCell ref="M921:M926"/>
    <mergeCell ref="M913:M918"/>
    <mergeCell ref="N913:N918"/>
    <mergeCell ref="O913:O918"/>
    <mergeCell ref="P913:P918"/>
    <mergeCell ref="Q913:Q918"/>
    <mergeCell ref="R913:R918"/>
    <mergeCell ref="R929:R934"/>
    <mergeCell ref="S929:S934"/>
    <mergeCell ref="O929:O934"/>
    <mergeCell ref="P929:P934"/>
    <mergeCell ref="Q929:Q934"/>
    <mergeCell ref="R905:R910"/>
    <mergeCell ref="S905:S910"/>
    <mergeCell ref="A911:S911"/>
    <mergeCell ref="A912:A918"/>
    <mergeCell ref="B912:S912"/>
    <mergeCell ref="B913:B918"/>
    <mergeCell ref="C913:I913"/>
    <mergeCell ref="J913:J918"/>
    <mergeCell ref="K913:K918"/>
    <mergeCell ref="L913:L918"/>
    <mergeCell ref="L905:L910"/>
    <mergeCell ref="M905:M910"/>
    <mergeCell ref="N905:N910"/>
    <mergeCell ref="O905:O910"/>
    <mergeCell ref="P905:P910"/>
    <mergeCell ref="Q905:Q910"/>
    <mergeCell ref="Q897:Q902"/>
    <mergeCell ref="R897:R902"/>
    <mergeCell ref="S897:S902"/>
    <mergeCell ref="A903:S903"/>
    <mergeCell ref="A904:A910"/>
    <mergeCell ref="B904:S904"/>
    <mergeCell ref="B905:B910"/>
    <mergeCell ref="C905:I905"/>
    <mergeCell ref="J905:J910"/>
    <mergeCell ref="K905:K910"/>
    <mergeCell ref="K897:K902"/>
    <mergeCell ref="L897:L902"/>
    <mergeCell ref="M897:M902"/>
    <mergeCell ref="N897:N902"/>
    <mergeCell ref="O897:O902"/>
    <mergeCell ref="P897:P902"/>
    <mergeCell ref="P889:P894"/>
    <mergeCell ref="Q889:Q894"/>
    <mergeCell ref="R889:R894"/>
    <mergeCell ref="S889:S894"/>
    <mergeCell ref="A895:S895"/>
    <mergeCell ref="A896:A902"/>
    <mergeCell ref="B896:S896"/>
    <mergeCell ref="B897:B902"/>
    <mergeCell ref="C897:I897"/>
    <mergeCell ref="J897:J902"/>
    <mergeCell ref="A888:A894"/>
    <mergeCell ref="B888:S888"/>
    <mergeCell ref="B889:B894"/>
    <mergeCell ref="C889:I889"/>
    <mergeCell ref="J889:J894"/>
    <mergeCell ref="K889:K894"/>
    <mergeCell ref="L889:L894"/>
    <mergeCell ref="M889:M894"/>
    <mergeCell ref="N889:N894"/>
    <mergeCell ref="O889:O894"/>
    <mergeCell ref="O881:O886"/>
    <mergeCell ref="P881:P886"/>
    <mergeCell ref="Q881:Q886"/>
    <mergeCell ref="R881:R886"/>
    <mergeCell ref="S881:S886"/>
    <mergeCell ref="A887:S887"/>
    <mergeCell ref="A879:S879"/>
    <mergeCell ref="A880:A886"/>
    <mergeCell ref="B880:S880"/>
    <mergeCell ref="B881:B886"/>
    <mergeCell ref="C881:I881"/>
    <mergeCell ref="J881:J886"/>
    <mergeCell ref="K881:K886"/>
    <mergeCell ref="L881:L886"/>
    <mergeCell ref="M881:M886"/>
    <mergeCell ref="N881:N886"/>
    <mergeCell ref="N873:N878"/>
    <mergeCell ref="O873:O878"/>
    <mergeCell ref="P873:P878"/>
    <mergeCell ref="Q873:Q878"/>
    <mergeCell ref="R873:R878"/>
    <mergeCell ref="S873:S878"/>
    <mergeCell ref="S865:S870"/>
    <mergeCell ref="A871:S871"/>
    <mergeCell ref="A872:A878"/>
    <mergeCell ref="B872:S872"/>
    <mergeCell ref="B873:B878"/>
    <mergeCell ref="C873:I873"/>
    <mergeCell ref="J873:J878"/>
    <mergeCell ref="K873:K878"/>
    <mergeCell ref="L873:L878"/>
    <mergeCell ref="M873:M878"/>
    <mergeCell ref="M865:M870"/>
    <mergeCell ref="N865:N870"/>
    <mergeCell ref="O865:O870"/>
    <mergeCell ref="P865:P870"/>
    <mergeCell ref="Q865:Q870"/>
    <mergeCell ref="R865:R870"/>
    <mergeCell ref="R857:R862"/>
    <mergeCell ref="S857:S862"/>
    <mergeCell ref="A863:S863"/>
    <mergeCell ref="A864:A870"/>
    <mergeCell ref="B864:S864"/>
    <mergeCell ref="B865:B870"/>
    <mergeCell ref="C865:I865"/>
    <mergeCell ref="J865:J870"/>
    <mergeCell ref="K865:K870"/>
    <mergeCell ref="L865:L870"/>
    <mergeCell ref="L857:L862"/>
    <mergeCell ref="M857:M862"/>
    <mergeCell ref="N857:N862"/>
    <mergeCell ref="O857:O862"/>
    <mergeCell ref="P857:P862"/>
    <mergeCell ref="Q857:Q862"/>
    <mergeCell ref="Q849:Q854"/>
    <mergeCell ref="R849:R854"/>
    <mergeCell ref="S849:S854"/>
    <mergeCell ref="A855:S855"/>
    <mergeCell ref="A856:A862"/>
    <mergeCell ref="B856:S856"/>
    <mergeCell ref="B857:B862"/>
    <mergeCell ref="C857:I857"/>
    <mergeCell ref="J857:J862"/>
    <mergeCell ref="K857:K862"/>
    <mergeCell ref="K849:K854"/>
    <mergeCell ref="L849:L854"/>
    <mergeCell ref="M849:M854"/>
    <mergeCell ref="N849:N854"/>
    <mergeCell ref="O849:O854"/>
    <mergeCell ref="P849:P854"/>
    <mergeCell ref="P841:P846"/>
    <mergeCell ref="Q841:Q846"/>
    <mergeCell ref="R841:R846"/>
    <mergeCell ref="S841:S846"/>
    <mergeCell ref="A847:S847"/>
    <mergeCell ref="A848:A854"/>
    <mergeCell ref="B848:S848"/>
    <mergeCell ref="B849:B854"/>
    <mergeCell ref="C849:I849"/>
    <mergeCell ref="J849:J854"/>
    <mergeCell ref="A840:A846"/>
    <mergeCell ref="B840:S840"/>
    <mergeCell ref="B841:B846"/>
    <mergeCell ref="C841:I841"/>
    <mergeCell ref="J841:J846"/>
    <mergeCell ref="K841:K846"/>
    <mergeCell ref="L841:L846"/>
    <mergeCell ref="M841:M846"/>
    <mergeCell ref="N841:N846"/>
    <mergeCell ref="O841:O846"/>
    <mergeCell ref="O833:O838"/>
    <mergeCell ref="P833:P838"/>
    <mergeCell ref="Q833:Q838"/>
    <mergeCell ref="R833:R838"/>
    <mergeCell ref="S833:S838"/>
    <mergeCell ref="A839:S839"/>
    <mergeCell ref="A831:S831"/>
    <mergeCell ref="A832:A838"/>
    <mergeCell ref="B832:S832"/>
    <mergeCell ref="B833:B838"/>
    <mergeCell ref="C833:I833"/>
    <mergeCell ref="J833:J838"/>
    <mergeCell ref="K833:K838"/>
    <mergeCell ref="L833:L838"/>
    <mergeCell ref="M833:M838"/>
    <mergeCell ref="N833:N838"/>
    <mergeCell ref="N825:N830"/>
    <mergeCell ref="O825:O830"/>
    <mergeCell ref="P825:P830"/>
    <mergeCell ref="Q825:Q830"/>
    <mergeCell ref="R825:R830"/>
    <mergeCell ref="S825:S830"/>
    <mergeCell ref="S817:S822"/>
    <mergeCell ref="A823:S823"/>
    <mergeCell ref="A824:A830"/>
    <mergeCell ref="B824:S824"/>
    <mergeCell ref="B825:B830"/>
    <mergeCell ref="C825:I825"/>
    <mergeCell ref="J825:J830"/>
    <mergeCell ref="K825:K830"/>
    <mergeCell ref="L825:L830"/>
    <mergeCell ref="M825:M830"/>
    <mergeCell ref="M817:M822"/>
    <mergeCell ref="N817:N822"/>
    <mergeCell ref="O817:O822"/>
    <mergeCell ref="P817:P822"/>
    <mergeCell ref="Q817:Q822"/>
    <mergeCell ref="R817:R822"/>
    <mergeCell ref="A815:S815"/>
    <mergeCell ref="A816:A822"/>
    <mergeCell ref="B816:S816"/>
    <mergeCell ref="B817:B822"/>
    <mergeCell ref="C817:I817"/>
    <mergeCell ref="J817:J822"/>
    <mergeCell ref="K817:K822"/>
    <mergeCell ref="L817:L822"/>
    <mergeCell ref="Q809:Q814"/>
    <mergeCell ref="R809:R814"/>
    <mergeCell ref="S809:S814"/>
    <mergeCell ref="K809:K814"/>
    <mergeCell ref="L809:L814"/>
    <mergeCell ref="M809:M814"/>
    <mergeCell ref="N809:N814"/>
    <mergeCell ref="O809:O814"/>
    <mergeCell ref="P809:P814"/>
    <mergeCell ref="P801:P806"/>
    <mergeCell ref="Q801:Q806"/>
    <mergeCell ref="R801:R806"/>
    <mergeCell ref="S801:S806"/>
    <mergeCell ref="A807:S807"/>
    <mergeCell ref="A808:A814"/>
    <mergeCell ref="B808:S808"/>
    <mergeCell ref="B809:B814"/>
    <mergeCell ref="C809:I809"/>
    <mergeCell ref="J809:J814"/>
    <mergeCell ref="A800:A806"/>
    <mergeCell ref="B800:S800"/>
    <mergeCell ref="B801:B806"/>
    <mergeCell ref="C801:I801"/>
    <mergeCell ref="J801:J806"/>
    <mergeCell ref="K801:K806"/>
    <mergeCell ref="L801:L806"/>
    <mergeCell ref="M801:M806"/>
    <mergeCell ref="N801:N806"/>
    <mergeCell ref="O801:O806"/>
    <mergeCell ref="O793:O798"/>
    <mergeCell ref="P793:P798"/>
    <mergeCell ref="Q793:Q798"/>
    <mergeCell ref="R793:R798"/>
    <mergeCell ref="S793:S798"/>
    <mergeCell ref="A799:S799"/>
    <mergeCell ref="A791:S791"/>
    <mergeCell ref="A792:A798"/>
    <mergeCell ref="B792:S792"/>
    <mergeCell ref="B793:B798"/>
    <mergeCell ref="C793:I793"/>
    <mergeCell ref="J793:J798"/>
    <mergeCell ref="K793:K798"/>
    <mergeCell ref="L793:L798"/>
    <mergeCell ref="M793:M798"/>
    <mergeCell ref="N793:N798"/>
    <mergeCell ref="N785:N790"/>
    <mergeCell ref="O785:O790"/>
    <mergeCell ref="P785:P790"/>
    <mergeCell ref="Q785:Q790"/>
    <mergeCell ref="R785:R790"/>
    <mergeCell ref="S785:S790"/>
    <mergeCell ref="S777:S782"/>
    <mergeCell ref="A783:S783"/>
    <mergeCell ref="A784:A790"/>
    <mergeCell ref="B784:S784"/>
    <mergeCell ref="B785:B790"/>
    <mergeCell ref="C785:I785"/>
    <mergeCell ref="J785:J790"/>
    <mergeCell ref="K785:K790"/>
    <mergeCell ref="L785:L790"/>
    <mergeCell ref="M785:M790"/>
    <mergeCell ref="M777:M782"/>
    <mergeCell ref="N777:N782"/>
    <mergeCell ref="O777:O782"/>
    <mergeCell ref="P777:P782"/>
    <mergeCell ref="Q777:Q782"/>
    <mergeCell ref="R777:R782"/>
    <mergeCell ref="R769:R774"/>
    <mergeCell ref="S769:S774"/>
    <mergeCell ref="A775:S775"/>
    <mergeCell ref="A776:A782"/>
    <mergeCell ref="B776:S776"/>
    <mergeCell ref="B777:B782"/>
    <mergeCell ref="C777:I777"/>
    <mergeCell ref="J777:J782"/>
    <mergeCell ref="K777:K782"/>
    <mergeCell ref="L777:L782"/>
    <mergeCell ref="L769:L774"/>
    <mergeCell ref="M769:M774"/>
    <mergeCell ref="N769:N774"/>
    <mergeCell ref="O769:O774"/>
    <mergeCell ref="P769:P774"/>
    <mergeCell ref="Q769:Q774"/>
    <mergeCell ref="Q761:Q766"/>
    <mergeCell ref="R761:R766"/>
    <mergeCell ref="S761:S766"/>
    <mergeCell ref="A767:S767"/>
    <mergeCell ref="A768:A774"/>
    <mergeCell ref="B768:S768"/>
    <mergeCell ref="B769:B774"/>
    <mergeCell ref="C769:I769"/>
    <mergeCell ref="J769:J774"/>
    <mergeCell ref="K769:K774"/>
    <mergeCell ref="K761:K766"/>
    <mergeCell ref="L761:L766"/>
    <mergeCell ref="M761:M766"/>
    <mergeCell ref="N761:N766"/>
    <mergeCell ref="O761:O766"/>
    <mergeCell ref="P761:P766"/>
    <mergeCell ref="P753:P758"/>
    <mergeCell ref="Q753:Q758"/>
    <mergeCell ref="R753:R758"/>
    <mergeCell ref="S753:S758"/>
    <mergeCell ref="A759:S759"/>
    <mergeCell ref="A760:A766"/>
    <mergeCell ref="B760:S760"/>
    <mergeCell ref="B761:B766"/>
    <mergeCell ref="C761:I761"/>
    <mergeCell ref="J761:J766"/>
    <mergeCell ref="A752:A758"/>
    <mergeCell ref="B752:S752"/>
    <mergeCell ref="B753:B758"/>
    <mergeCell ref="C753:I753"/>
    <mergeCell ref="J753:J758"/>
    <mergeCell ref="K753:K758"/>
    <mergeCell ref="L753:L758"/>
    <mergeCell ref="M753:M758"/>
    <mergeCell ref="N753:N758"/>
    <mergeCell ref="O753:O758"/>
    <mergeCell ref="O745:O750"/>
    <mergeCell ref="P745:P750"/>
    <mergeCell ref="Q745:Q750"/>
    <mergeCell ref="R745:R750"/>
    <mergeCell ref="S745:S750"/>
    <mergeCell ref="A751:S751"/>
    <mergeCell ref="A743:S743"/>
    <mergeCell ref="A744:A750"/>
    <mergeCell ref="B744:S744"/>
    <mergeCell ref="B745:B750"/>
    <mergeCell ref="C745:I745"/>
    <mergeCell ref="J745:J750"/>
    <mergeCell ref="K745:K750"/>
    <mergeCell ref="L745:L750"/>
    <mergeCell ref="M745:M750"/>
    <mergeCell ref="N745:N750"/>
    <mergeCell ref="N737:N742"/>
    <mergeCell ref="O737:O742"/>
    <mergeCell ref="P737:P742"/>
    <mergeCell ref="Q737:Q742"/>
    <mergeCell ref="R737:R742"/>
    <mergeCell ref="S737:S742"/>
    <mergeCell ref="A735:S735"/>
    <mergeCell ref="A736:A742"/>
    <mergeCell ref="B736:S736"/>
    <mergeCell ref="B737:B742"/>
    <mergeCell ref="C737:I737"/>
    <mergeCell ref="J737:J742"/>
    <mergeCell ref="K737:K742"/>
    <mergeCell ref="L737:L742"/>
    <mergeCell ref="M737:M742"/>
    <mergeCell ref="R729:R734"/>
    <mergeCell ref="S729:S734"/>
    <mergeCell ref="L729:L734"/>
    <mergeCell ref="M729:M734"/>
    <mergeCell ref="N729:N734"/>
    <mergeCell ref="O729:O734"/>
    <mergeCell ref="P729:P734"/>
    <mergeCell ref="Q729:Q734"/>
    <mergeCell ref="Q721:Q726"/>
    <mergeCell ref="R721:R726"/>
    <mergeCell ref="S721:S726"/>
    <mergeCell ref="A727:S727"/>
    <mergeCell ref="A728:A734"/>
    <mergeCell ref="B728:S728"/>
    <mergeCell ref="B729:B734"/>
    <mergeCell ref="C729:I729"/>
    <mergeCell ref="J729:J734"/>
    <mergeCell ref="K729:K734"/>
    <mergeCell ref="K721:K726"/>
    <mergeCell ref="L721:L726"/>
    <mergeCell ref="M721:M726"/>
    <mergeCell ref="N721:N726"/>
    <mergeCell ref="O721:O726"/>
    <mergeCell ref="P721:P726"/>
    <mergeCell ref="P713:P718"/>
    <mergeCell ref="Q713:Q718"/>
    <mergeCell ref="R713:R718"/>
    <mergeCell ref="S713:S718"/>
    <mergeCell ref="A719:S719"/>
    <mergeCell ref="A720:A726"/>
    <mergeCell ref="B720:S720"/>
    <mergeCell ref="B721:B726"/>
    <mergeCell ref="C721:I721"/>
    <mergeCell ref="J721:J726"/>
    <mergeCell ref="A712:A718"/>
    <mergeCell ref="B712:S712"/>
    <mergeCell ref="B713:B718"/>
    <mergeCell ref="C713:I713"/>
    <mergeCell ref="J713:J718"/>
    <mergeCell ref="K713:K718"/>
    <mergeCell ref="L713:L718"/>
    <mergeCell ref="M713:M718"/>
    <mergeCell ref="N713:N718"/>
    <mergeCell ref="O713:O718"/>
    <mergeCell ref="O705:O710"/>
    <mergeCell ref="P705:P710"/>
    <mergeCell ref="Q705:Q710"/>
    <mergeCell ref="R705:R710"/>
    <mergeCell ref="S705:S710"/>
    <mergeCell ref="A711:S711"/>
    <mergeCell ref="A703:S703"/>
    <mergeCell ref="A704:A710"/>
    <mergeCell ref="B704:S704"/>
    <mergeCell ref="B705:B710"/>
    <mergeCell ref="C705:I705"/>
    <mergeCell ref="J705:J710"/>
    <mergeCell ref="K705:K710"/>
    <mergeCell ref="L705:L710"/>
    <mergeCell ref="M705:M710"/>
    <mergeCell ref="N705:N710"/>
    <mergeCell ref="S697:S702"/>
    <mergeCell ref="M697:M702"/>
    <mergeCell ref="N697:N702"/>
    <mergeCell ref="O697:O702"/>
    <mergeCell ref="P697:P702"/>
    <mergeCell ref="Q697:Q702"/>
    <mergeCell ref="R697:R702"/>
    <mergeCell ref="R689:R694"/>
    <mergeCell ref="S689:S694"/>
    <mergeCell ref="A695:S695"/>
    <mergeCell ref="A696:A702"/>
    <mergeCell ref="B696:S696"/>
    <mergeCell ref="B697:B702"/>
    <mergeCell ref="C697:I697"/>
    <mergeCell ref="J697:J702"/>
    <mergeCell ref="K697:K702"/>
    <mergeCell ref="L697:L702"/>
    <mergeCell ref="L689:L694"/>
    <mergeCell ref="M689:M694"/>
    <mergeCell ref="N689:N694"/>
    <mergeCell ref="O689:O694"/>
    <mergeCell ref="P689:P694"/>
    <mergeCell ref="Q689:Q694"/>
    <mergeCell ref="Q681:Q686"/>
    <mergeCell ref="R681:R686"/>
    <mergeCell ref="S681:S686"/>
    <mergeCell ref="A687:S687"/>
    <mergeCell ref="A688:A694"/>
    <mergeCell ref="B688:S688"/>
    <mergeCell ref="B689:B694"/>
    <mergeCell ref="C689:I689"/>
    <mergeCell ref="J689:J694"/>
    <mergeCell ref="K689:K694"/>
    <mergeCell ref="K681:K686"/>
    <mergeCell ref="L681:L686"/>
    <mergeCell ref="M681:M686"/>
    <mergeCell ref="N681:N686"/>
    <mergeCell ref="O681:O686"/>
    <mergeCell ref="P681:P686"/>
    <mergeCell ref="P673:P678"/>
    <mergeCell ref="Q673:Q678"/>
    <mergeCell ref="R673:R678"/>
    <mergeCell ref="S673:S678"/>
    <mergeCell ref="A679:S679"/>
    <mergeCell ref="A680:A686"/>
    <mergeCell ref="B680:S680"/>
    <mergeCell ref="B681:B686"/>
    <mergeCell ref="C681:I681"/>
    <mergeCell ref="J681:J686"/>
    <mergeCell ref="A672:A678"/>
    <mergeCell ref="B672:S672"/>
    <mergeCell ref="B673:B678"/>
    <mergeCell ref="C673:I673"/>
    <mergeCell ref="J673:J678"/>
    <mergeCell ref="K673:K678"/>
    <mergeCell ref="L673:L678"/>
    <mergeCell ref="M673:M678"/>
    <mergeCell ref="N673:N678"/>
    <mergeCell ref="O673:O678"/>
    <mergeCell ref="O665:O670"/>
    <mergeCell ref="P665:P670"/>
    <mergeCell ref="Q665:Q670"/>
    <mergeCell ref="R665:R670"/>
    <mergeCell ref="S665:S670"/>
    <mergeCell ref="A671:S671"/>
    <mergeCell ref="A663:S663"/>
    <mergeCell ref="A664:A670"/>
    <mergeCell ref="B664:S664"/>
    <mergeCell ref="B665:B670"/>
    <mergeCell ref="C665:I665"/>
    <mergeCell ref="J665:J670"/>
    <mergeCell ref="K665:K670"/>
    <mergeCell ref="L665:L670"/>
    <mergeCell ref="M665:M670"/>
    <mergeCell ref="N665:N670"/>
    <mergeCell ref="Q651:Q656"/>
    <mergeCell ref="R651:R656"/>
    <mergeCell ref="S651:S656"/>
    <mergeCell ref="A657:A662"/>
    <mergeCell ref="B657:S657"/>
    <mergeCell ref="B658:C658"/>
    <mergeCell ref="B659:C659"/>
    <mergeCell ref="B660:C660"/>
    <mergeCell ref="B661:C661"/>
    <mergeCell ref="B662:C662"/>
    <mergeCell ref="K651:K656"/>
    <mergeCell ref="L651:L656"/>
    <mergeCell ref="M651:M656"/>
    <mergeCell ref="N651:N656"/>
    <mergeCell ref="O651:O656"/>
    <mergeCell ref="P651:P656"/>
    <mergeCell ref="P643:P648"/>
    <mergeCell ref="Q643:Q648"/>
    <mergeCell ref="R643:R648"/>
    <mergeCell ref="S643:S648"/>
    <mergeCell ref="A649:S649"/>
    <mergeCell ref="A650:A656"/>
    <mergeCell ref="B650:S650"/>
    <mergeCell ref="B651:B656"/>
    <mergeCell ref="C651:I651"/>
    <mergeCell ref="J651:J656"/>
    <mergeCell ref="A642:A648"/>
    <mergeCell ref="B642:S642"/>
    <mergeCell ref="B643:B648"/>
    <mergeCell ref="C643:I643"/>
    <mergeCell ref="J643:J648"/>
    <mergeCell ref="K643:K648"/>
    <mergeCell ref="L643:L648"/>
    <mergeCell ref="M643:M648"/>
    <mergeCell ref="N643:N648"/>
    <mergeCell ref="O643:O648"/>
    <mergeCell ref="O635:O640"/>
    <mergeCell ref="P635:P640"/>
    <mergeCell ref="Q635:Q640"/>
    <mergeCell ref="R635:R640"/>
    <mergeCell ref="S635:S640"/>
    <mergeCell ref="A641:S641"/>
    <mergeCell ref="A633:S633"/>
    <mergeCell ref="A634:A640"/>
    <mergeCell ref="B634:S634"/>
    <mergeCell ref="B635:B640"/>
    <mergeCell ref="C635:I635"/>
    <mergeCell ref="J635:J640"/>
    <mergeCell ref="K635:K640"/>
    <mergeCell ref="L635:L640"/>
    <mergeCell ref="M635:M640"/>
    <mergeCell ref="N635:N640"/>
    <mergeCell ref="N627:N632"/>
    <mergeCell ref="O627:O632"/>
    <mergeCell ref="P627:P632"/>
    <mergeCell ref="Q627:Q632"/>
    <mergeCell ref="R627:R632"/>
    <mergeCell ref="S627:S632"/>
    <mergeCell ref="S619:S624"/>
    <mergeCell ref="A625:S625"/>
    <mergeCell ref="A626:A632"/>
    <mergeCell ref="B626:S626"/>
    <mergeCell ref="B627:B632"/>
    <mergeCell ref="C627:I627"/>
    <mergeCell ref="J627:J632"/>
    <mergeCell ref="K627:K632"/>
    <mergeCell ref="L627:L632"/>
    <mergeCell ref="M627:M632"/>
    <mergeCell ref="M619:M624"/>
    <mergeCell ref="N619:N624"/>
    <mergeCell ref="O619:O624"/>
    <mergeCell ref="P619:P624"/>
    <mergeCell ref="Q619:Q624"/>
    <mergeCell ref="R619:R624"/>
    <mergeCell ref="R611:R616"/>
    <mergeCell ref="S611:S616"/>
    <mergeCell ref="A617:S617"/>
    <mergeCell ref="A618:A624"/>
    <mergeCell ref="B618:S618"/>
    <mergeCell ref="B619:B624"/>
    <mergeCell ref="C619:I619"/>
    <mergeCell ref="J619:J624"/>
    <mergeCell ref="K619:K624"/>
    <mergeCell ref="L619:L624"/>
    <mergeCell ref="L611:L616"/>
    <mergeCell ref="M611:M616"/>
    <mergeCell ref="N611:N616"/>
    <mergeCell ref="O611:O616"/>
    <mergeCell ref="P611:P616"/>
    <mergeCell ref="Q611:Q616"/>
    <mergeCell ref="Q603:Q608"/>
    <mergeCell ref="R603:R608"/>
    <mergeCell ref="S603:S608"/>
    <mergeCell ref="A609:S609"/>
    <mergeCell ref="A610:A616"/>
    <mergeCell ref="B610:S610"/>
    <mergeCell ref="B611:B616"/>
    <mergeCell ref="C611:I611"/>
    <mergeCell ref="J611:J616"/>
    <mergeCell ref="K611:K616"/>
    <mergeCell ref="K603:K608"/>
    <mergeCell ref="L603:L608"/>
    <mergeCell ref="M603:M608"/>
    <mergeCell ref="N603:N608"/>
    <mergeCell ref="O603:O608"/>
    <mergeCell ref="P603:P608"/>
    <mergeCell ref="P595:P600"/>
    <mergeCell ref="Q595:Q600"/>
    <mergeCell ref="R595:R600"/>
    <mergeCell ref="S595:S600"/>
    <mergeCell ref="A601:S601"/>
    <mergeCell ref="A602:A608"/>
    <mergeCell ref="B602:S602"/>
    <mergeCell ref="B603:B608"/>
    <mergeCell ref="C603:I603"/>
    <mergeCell ref="J603:J608"/>
    <mergeCell ref="A594:A600"/>
    <mergeCell ref="B594:S594"/>
    <mergeCell ref="B595:B600"/>
    <mergeCell ref="C595:I595"/>
    <mergeCell ref="J595:J600"/>
    <mergeCell ref="K595:K600"/>
    <mergeCell ref="L595:L600"/>
    <mergeCell ref="M595:M600"/>
    <mergeCell ref="N595:N600"/>
    <mergeCell ref="O595:O600"/>
    <mergeCell ref="O587:O592"/>
    <mergeCell ref="P587:P592"/>
    <mergeCell ref="Q587:Q592"/>
    <mergeCell ref="R587:R592"/>
    <mergeCell ref="S587:S592"/>
    <mergeCell ref="A593:S593"/>
    <mergeCell ref="A585:S585"/>
    <mergeCell ref="A586:A592"/>
    <mergeCell ref="B586:S586"/>
    <mergeCell ref="B587:B592"/>
    <mergeCell ref="C587:I587"/>
    <mergeCell ref="J587:J592"/>
    <mergeCell ref="K587:K592"/>
    <mergeCell ref="L587:L592"/>
    <mergeCell ref="M587:M592"/>
    <mergeCell ref="N587:N592"/>
    <mergeCell ref="N579:N584"/>
    <mergeCell ref="O579:O584"/>
    <mergeCell ref="P579:P584"/>
    <mergeCell ref="Q579:Q584"/>
    <mergeCell ref="R579:R584"/>
    <mergeCell ref="S579:S584"/>
    <mergeCell ref="S571:S576"/>
    <mergeCell ref="A577:S577"/>
    <mergeCell ref="A578:A584"/>
    <mergeCell ref="B578:S578"/>
    <mergeCell ref="B579:B584"/>
    <mergeCell ref="C579:I579"/>
    <mergeCell ref="J579:J584"/>
    <mergeCell ref="K579:K584"/>
    <mergeCell ref="L579:L584"/>
    <mergeCell ref="M579:M584"/>
    <mergeCell ref="M571:M576"/>
    <mergeCell ref="N571:N576"/>
    <mergeCell ref="O571:O576"/>
    <mergeCell ref="P571:P576"/>
    <mergeCell ref="Q571:Q576"/>
    <mergeCell ref="R571:R576"/>
    <mergeCell ref="R563:R568"/>
    <mergeCell ref="S563:S568"/>
    <mergeCell ref="A569:S569"/>
    <mergeCell ref="A570:A576"/>
    <mergeCell ref="B570:S570"/>
    <mergeCell ref="B571:B576"/>
    <mergeCell ref="C571:I571"/>
    <mergeCell ref="J571:J576"/>
    <mergeCell ref="K571:K576"/>
    <mergeCell ref="L571:L576"/>
    <mergeCell ref="L563:L568"/>
    <mergeCell ref="M563:M568"/>
    <mergeCell ref="N563:N568"/>
    <mergeCell ref="O563:O568"/>
    <mergeCell ref="P563:P568"/>
    <mergeCell ref="Q563:Q568"/>
    <mergeCell ref="Q555:Q560"/>
    <mergeCell ref="R555:R560"/>
    <mergeCell ref="S555:S560"/>
    <mergeCell ref="A561:S561"/>
    <mergeCell ref="A562:A568"/>
    <mergeCell ref="B562:S562"/>
    <mergeCell ref="B563:B568"/>
    <mergeCell ref="C563:I563"/>
    <mergeCell ref="J563:J568"/>
    <mergeCell ref="K563:K568"/>
    <mergeCell ref="K555:K560"/>
    <mergeCell ref="L555:L560"/>
    <mergeCell ref="M555:M560"/>
    <mergeCell ref="N555:N560"/>
    <mergeCell ref="O555:O560"/>
    <mergeCell ref="P555:P560"/>
    <mergeCell ref="P547:P552"/>
    <mergeCell ref="Q547:Q552"/>
    <mergeCell ref="R547:R552"/>
    <mergeCell ref="S547:S552"/>
    <mergeCell ref="A553:S553"/>
    <mergeCell ref="A554:A560"/>
    <mergeCell ref="B554:S554"/>
    <mergeCell ref="B555:B560"/>
    <mergeCell ref="C555:I555"/>
    <mergeCell ref="J555:J560"/>
    <mergeCell ref="A546:A552"/>
    <mergeCell ref="B546:S546"/>
    <mergeCell ref="B547:B552"/>
    <mergeCell ref="C547:I547"/>
    <mergeCell ref="J547:J552"/>
    <mergeCell ref="K547:K552"/>
    <mergeCell ref="L547:L552"/>
    <mergeCell ref="M547:M552"/>
    <mergeCell ref="N547:N552"/>
    <mergeCell ref="O547:O552"/>
    <mergeCell ref="O539:O544"/>
    <mergeCell ref="P539:P544"/>
    <mergeCell ref="Q539:Q544"/>
    <mergeCell ref="R539:R544"/>
    <mergeCell ref="S539:S544"/>
    <mergeCell ref="A545:S545"/>
    <mergeCell ref="A537:S537"/>
    <mergeCell ref="A538:A544"/>
    <mergeCell ref="B538:S538"/>
    <mergeCell ref="B539:B544"/>
    <mergeCell ref="C539:I539"/>
    <mergeCell ref="J539:J544"/>
    <mergeCell ref="K539:K544"/>
    <mergeCell ref="L539:L544"/>
    <mergeCell ref="M539:M544"/>
    <mergeCell ref="N539:N544"/>
    <mergeCell ref="N531:N536"/>
    <mergeCell ref="O531:O536"/>
    <mergeCell ref="P531:P536"/>
    <mergeCell ref="Q531:Q536"/>
    <mergeCell ref="R531:R536"/>
    <mergeCell ref="S531:S536"/>
    <mergeCell ref="S523:S528"/>
    <mergeCell ref="A529:S529"/>
    <mergeCell ref="A530:A536"/>
    <mergeCell ref="B530:S530"/>
    <mergeCell ref="B531:B536"/>
    <mergeCell ref="C531:I531"/>
    <mergeCell ref="J531:J536"/>
    <mergeCell ref="K531:K536"/>
    <mergeCell ref="L531:L536"/>
    <mergeCell ref="M531:M536"/>
    <mergeCell ref="M523:M528"/>
    <mergeCell ref="N523:N528"/>
    <mergeCell ref="O523:O528"/>
    <mergeCell ref="P523:P528"/>
    <mergeCell ref="Q523:Q528"/>
    <mergeCell ref="R523:R528"/>
    <mergeCell ref="R515:R520"/>
    <mergeCell ref="S515:S520"/>
    <mergeCell ref="A521:S521"/>
    <mergeCell ref="A522:A528"/>
    <mergeCell ref="B522:S522"/>
    <mergeCell ref="B523:B528"/>
    <mergeCell ref="C523:I523"/>
    <mergeCell ref="J523:J528"/>
    <mergeCell ref="K523:K528"/>
    <mergeCell ref="L523:L528"/>
    <mergeCell ref="L515:L520"/>
    <mergeCell ref="M515:M520"/>
    <mergeCell ref="N515:N520"/>
    <mergeCell ref="O515:O520"/>
    <mergeCell ref="P515:P520"/>
    <mergeCell ref="Q515:Q520"/>
    <mergeCell ref="Q507:Q512"/>
    <mergeCell ref="R507:R512"/>
    <mergeCell ref="S507:S512"/>
    <mergeCell ref="A513:S513"/>
    <mergeCell ref="A514:A520"/>
    <mergeCell ref="B514:S514"/>
    <mergeCell ref="B515:B520"/>
    <mergeCell ref="C515:I515"/>
    <mergeCell ref="J515:J520"/>
    <mergeCell ref="K515:K520"/>
    <mergeCell ref="K507:K512"/>
    <mergeCell ref="L507:L512"/>
    <mergeCell ref="M507:M512"/>
    <mergeCell ref="N507:N512"/>
    <mergeCell ref="O507:O512"/>
    <mergeCell ref="P507:P512"/>
    <mergeCell ref="P499:P504"/>
    <mergeCell ref="Q499:Q504"/>
    <mergeCell ref="R499:R504"/>
    <mergeCell ref="S499:S504"/>
    <mergeCell ref="A505:S505"/>
    <mergeCell ref="A506:A512"/>
    <mergeCell ref="B506:S506"/>
    <mergeCell ref="B507:B512"/>
    <mergeCell ref="C507:I507"/>
    <mergeCell ref="J507:J512"/>
    <mergeCell ref="A498:A504"/>
    <mergeCell ref="B498:S498"/>
    <mergeCell ref="B499:B504"/>
    <mergeCell ref="C499:I499"/>
    <mergeCell ref="J499:J504"/>
    <mergeCell ref="K499:K504"/>
    <mergeCell ref="L499:L504"/>
    <mergeCell ref="M499:M504"/>
    <mergeCell ref="N499:N504"/>
    <mergeCell ref="O499:O504"/>
    <mergeCell ref="O491:O496"/>
    <mergeCell ref="P491:P496"/>
    <mergeCell ref="Q491:Q496"/>
    <mergeCell ref="R491:R496"/>
    <mergeCell ref="S491:S496"/>
    <mergeCell ref="A497:S497"/>
    <mergeCell ref="A489:S489"/>
    <mergeCell ref="A490:A496"/>
    <mergeCell ref="B490:S490"/>
    <mergeCell ref="B491:B496"/>
    <mergeCell ref="C491:I491"/>
    <mergeCell ref="J491:J496"/>
    <mergeCell ref="K491:K496"/>
    <mergeCell ref="L491:L496"/>
    <mergeCell ref="M491:M496"/>
    <mergeCell ref="N491:N496"/>
    <mergeCell ref="N483:N488"/>
    <mergeCell ref="O483:O488"/>
    <mergeCell ref="P483:P488"/>
    <mergeCell ref="Q483:Q488"/>
    <mergeCell ref="R483:R488"/>
    <mergeCell ref="S483:S488"/>
    <mergeCell ref="S475:S480"/>
    <mergeCell ref="A481:S481"/>
    <mergeCell ref="A482:A488"/>
    <mergeCell ref="B482:S482"/>
    <mergeCell ref="B483:B488"/>
    <mergeCell ref="C483:I483"/>
    <mergeCell ref="J483:J488"/>
    <mergeCell ref="K483:K488"/>
    <mergeCell ref="L483:L488"/>
    <mergeCell ref="M483:M488"/>
    <mergeCell ref="M475:M480"/>
    <mergeCell ref="N475:N480"/>
    <mergeCell ref="O475:O480"/>
    <mergeCell ref="P475:P480"/>
    <mergeCell ref="Q475:Q480"/>
    <mergeCell ref="R475:R480"/>
    <mergeCell ref="R467:R472"/>
    <mergeCell ref="S467:S472"/>
    <mergeCell ref="A473:S473"/>
    <mergeCell ref="A474:A480"/>
    <mergeCell ref="B474:S474"/>
    <mergeCell ref="B475:B480"/>
    <mergeCell ref="C475:I475"/>
    <mergeCell ref="J475:J480"/>
    <mergeCell ref="K475:K480"/>
    <mergeCell ref="L475:L480"/>
    <mergeCell ref="L467:L472"/>
    <mergeCell ref="M467:M472"/>
    <mergeCell ref="N467:N472"/>
    <mergeCell ref="O467:O472"/>
    <mergeCell ref="P467:P472"/>
    <mergeCell ref="Q467:Q472"/>
    <mergeCell ref="Q459:Q464"/>
    <mergeCell ref="R459:R464"/>
    <mergeCell ref="S459:S464"/>
    <mergeCell ref="A465:S465"/>
    <mergeCell ref="A466:A472"/>
    <mergeCell ref="B466:S466"/>
    <mergeCell ref="B467:B472"/>
    <mergeCell ref="C467:I467"/>
    <mergeCell ref="J467:J472"/>
    <mergeCell ref="K467:K472"/>
    <mergeCell ref="K459:K464"/>
    <mergeCell ref="L459:L464"/>
    <mergeCell ref="M459:M464"/>
    <mergeCell ref="N459:N464"/>
    <mergeCell ref="O459:O464"/>
    <mergeCell ref="P459:P464"/>
    <mergeCell ref="P451:P456"/>
    <mergeCell ref="Q451:Q456"/>
    <mergeCell ref="R451:R456"/>
    <mergeCell ref="S451:S456"/>
    <mergeCell ref="A457:S457"/>
    <mergeCell ref="A458:A464"/>
    <mergeCell ref="B458:S458"/>
    <mergeCell ref="B459:B464"/>
    <mergeCell ref="C459:I459"/>
    <mergeCell ref="J459:J464"/>
    <mergeCell ref="A450:A456"/>
    <mergeCell ref="B450:S450"/>
    <mergeCell ref="B451:B456"/>
    <mergeCell ref="C451:I451"/>
    <mergeCell ref="J451:J456"/>
    <mergeCell ref="K451:K456"/>
    <mergeCell ref="L451:L456"/>
    <mergeCell ref="M451:M456"/>
    <mergeCell ref="N451:N456"/>
    <mergeCell ref="O451:O456"/>
    <mergeCell ref="O443:O448"/>
    <mergeCell ref="P443:P448"/>
    <mergeCell ref="Q443:Q448"/>
    <mergeCell ref="R443:R448"/>
    <mergeCell ref="S443:S448"/>
    <mergeCell ref="A449:S449"/>
    <mergeCell ref="A441:S441"/>
    <mergeCell ref="A442:A448"/>
    <mergeCell ref="B442:S442"/>
    <mergeCell ref="B443:B448"/>
    <mergeCell ref="C443:I443"/>
    <mergeCell ref="J443:J448"/>
    <mergeCell ref="K443:K448"/>
    <mergeCell ref="L443:L448"/>
    <mergeCell ref="M443:M448"/>
    <mergeCell ref="N443:N448"/>
    <mergeCell ref="N435:N440"/>
    <mergeCell ref="O435:O440"/>
    <mergeCell ref="P435:P440"/>
    <mergeCell ref="Q435:Q440"/>
    <mergeCell ref="R435:R440"/>
    <mergeCell ref="S435:S440"/>
    <mergeCell ref="S427:S432"/>
    <mergeCell ref="A433:S433"/>
    <mergeCell ref="A434:A440"/>
    <mergeCell ref="B434:S434"/>
    <mergeCell ref="B435:B440"/>
    <mergeCell ref="C435:I435"/>
    <mergeCell ref="J435:J440"/>
    <mergeCell ref="K435:K440"/>
    <mergeCell ref="L435:L440"/>
    <mergeCell ref="M435:M440"/>
    <mergeCell ref="M427:M432"/>
    <mergeCell ref="N427:N432"/>
    <mergeCell ref="O427:O432"/>
    <mergeCell ref="P427:P432"/>
    <mergeCell ref="Q427:Q432"/>
    <mergeCell ref="R427:R432"/>
    <mergeCell ref="R419:R424"/>
    <mergeCell ref="S419:S424"/>
    <mergeCell ref="A425:S425"/>
    <mergeCell ref="A426:A432"/>
    <mergeCell ref="B426:S426"/>
    <mergeCell ref="B427:B432"/>
    <mergeCell ref="C427:I427"/>
    <mergeCell ref="J427:J432"/>
    <mergeCell ref="K427:K432"/>
    <mergeCell ref="L427:L432"/>
    <mergeCell ref="L419:L424"/>
    <mergeCell ref="M419:M424"/>
    <mergeCell ref="N419:N424"/>
    <mergeCell ref="O419:O424"/>
    <mergeCell ref="P419:P424"/>
    <mergeCell ref="Q419:Q424"/>
    <mergeCell ref="Q411:Q416"/>
    <mergeCell ref="R411:R416"/>
    <mergeCell ref="S411:S416"/>
    <mergeCell ref="A417:S417"/>
    <mergeCell ref="A418:A424"/>
    <mergeCell ref="B418:S418"/>
    <mergeCell ref="B419:B424"/>
    <mergeCell ref="C419:I419"/>
    <mergeCell ref="J419:J424"/>
    <mergeCell ref="K419:K424"/>
    <mergeCell ref="K411:K416"/>
    <mergeCell ref="L411:L416"/>
    <mergeCell ref="M411:M416"/>
    <mergeCell ref="N411:N416"/>
    <mergeCell ref="O411:O416"/>
    <mergeCell ref="P411:P416"/>
    <mergeCell ref="P403:P408"/>
    <mergeCell ref="Q403:Q408"/>
    <mergeCell ref="R403:R408"/>
    <mergeCell ref="S403:S408"/>
    <mergeCell ref="A409:S409"/>
    <mergeCell ref="A410:A416"/>
    <mergeCell ref="B410:S410"/>
    <mergeCell ref="B411:B416"/>
    <mergeCell ref="C411:I411"/>
    <mergeCell ref="J411:J416"/>
    <mergeCell ref="A402:A408"/>
    <mergeCell ref="B402:S402"/>
    <mergeCell ref="B403:B408"/>
    <mergeCell ref="C403:I403"/>
    <mergeCell ref="J403:J408"/>
    <mergeCell ref="K403:K408"/>
    <mergeCell ref="L403:L408"/>
    <mergeCell ref="M403:M408"/>
    <mergeCell ref="N403:N408"/>
    <mergeCell ref="O403:O408"/>
    <mergeCell ref="O395:O400"/>
    <mergeCell ref="P395:P400"/>
    <mergeCell ref="Q395:Q400"/>
    <mergeCell ref="R395:R400"/>
    <mergeCell ref="S395:S400"/>
    <mergeCell ref="A401:S401"/>
    <mergeCell ref="A393:S393"/>
    <mergeCell ref="A394:A400"/>
    <mergeCell ref="B394:S394"/>
    <mergeCell ref="B395:B400"/>
    <mergeCell ref="C395:I395"/>
    <mergeCell ref="J395:J400"/>
    <mergeCell ref="K395:K400"/>
    <mergeCell ref="L395:L400"/>
    <mergeCell ref="M395:M400"/>
    <mergeCell ref="N395:N400"/>
    <mergeCell ref="N387:N392"/>
    <mergeCell ref="O387:O392"/>
    <mergeCell ref="P387:P392"/>
    <mergeCell ref="Q387:Q392"/>
    <mergeCell ref="R387:R392"/>
    <mergeCell ref="S387:S392"/>
    <mergeCell ref="S379:S384"/>
    <mergeCell ref="A385:S385"/>
    <mergeCell ref="A386:A392"/>
    <mergeCell ref="B386:S386"/>
    <mergeCell ref="B387:B392"/>
    <mergeCell ref="C387:I387"/>
    <mergeCell ref="J387:J392"/>
    <mergeCell ref="K387:K392"/>
    <mergeCell ref="L387:L392"/>
    <mergeCell ref="M387:M392"/>
    <mergeCell ref="M379:M384"/>
    <mergeCell ref="N379:N384"/>
    <mergeCell ref="O379:O384"/>
    <mergeCell ref="P379:P384"/>
    <mergeCell ref="Q379:Q384"/>
    <mergeCell ref="R379:R384"/>
    <mergeCell ref="R371:R376"/>
    <mergeCell ref="S371:S376"/>
    <mergeCell ref="A377:S377"/>
    <mergeCell ref="A378:A384"/>
    <mergeCell ref="B378:S378"/>
    <mergeCell ref="B379:B384"/>
    <mergeCell ref="C379:I379"/>
    <mergeCell ref="J379:J384"/>
    <mergeCell ref="K379:K384"/>
    <mergeCell ref="L379:L384"/>
    <mergeCell ref="L371:L376"/>
    <mergeCell ref="M371:M376"/>
    <mergeCell ref="N371:N376"/>
    <mergeCell ref="O371:O376"/>
    <mergeCell ref="P371:P376"/>
    <mergeCell ref="Q371:Q376"/>
    <mergeCell ref="Q363:Q368"/>
    <mergeCell ref="R363:R368"/>
    <mergeCell ref="S363:S368"/>
    <mergeCell ref="A369:S369"/>
    <mergeCell ref="A370:A376"/>
    <mergeCell ref="B370:S370"/>
    <mergeCell ref="B371:B376"/>
    <mergeCell ref="C371:I371"/>
    <mergeCell ref="J371:J376"/>
    <mergeCell ref="K371:K376"/>
    <mergeCell ref="K363:K368"/>
    <mergeCell ref="L363:L368"/>
    <mergeCell ref="M363:M368"/>
    <mergeCell ref="N363:N368"/>
    <mergeCell ref="O363:O368"/>
    <mergeCell ref="P363:P368"/>
    <mergeCell ref="P355:P360"/>
    <mergeCell ref="Q355:Q360"/>
    <mergeCell ref="R355:R360"/>
    <mergeCell ref="S355:S360"/>
    <mergeCell ref="A361:S361"/>
    <mergeCell ref="A362:A368"/>
    <mergeCell ref="B362:S362"/>
    <mergeCell ref="B363:B368"/>
    <mergeCell ref="C363:I363"/>
    <mergeCell ref="J363:J368"/>
    <mergeCell ref="A354:A360"/>
    <mergeCell ref="B354:S354"/>
    <mergeCell ref="B355:B360"/>
    <mergeCell ref="C355:I355"/>
    <mergeCell ref="J355:J360"/>
    <mergeCell ref="K355:K360"/>
    <mergeCell ref="L355:L360"/>
    <mergeCell ref="M355:M360"/>
    <mergeCell ref="N355:N360"/>
    <mergeCell ref="O355:O360"/>
    <mergeCell ref="O347:O352"/>
    <mergeCell ref="P347:P352"/>
    <mergeCell ref="Q347:Q352"/>
    <mergeCell ref="R347:R352"/>
    <mergeCell ref="S347:S352"/>
    <mergeCell ref="A353:S353"/>
    <mergeCell ref="A345:S345"/>
    <mergeCell ref="A346:A352"/>
    <mergeCell ref="B346:S346"/>
    <mergeCell ref="B347:B352"/>
    <mergeCell ref="C347:I347"/>
    <mergeCell ref="J347:J352"/>
    <mergeCell ref="K347:K352"/>
    <mergeCell ref="L347:L352"/>
    <mergeCell ref="M347:M352"/>
    <mergeCell ref="N347:N352"/>
    <mergeCell ref="N339:N344"/>
    <mergeCell ref="O339:O344"/>
    <mergeCell ref="P339:P344"/>
    <mergeCell ref="Q339:Q344"/>
    <mergeCell ref="R339:R344"/>
    <mergeCell ref="S339:S344"/>
    <mergeCell ref="S331:S336"/>
    <mergeCell ref="A337:S337"/>
    <mergeCell ref="A338:A344"/>
    <mergeCell ref="B338:S338"/>
    <mergeCell ref="B339:B344"/>
    <mergeCell ref="C339:I339"/>
    <mergeCell ref="J339:J344"/>
    <mergeCell ref="K339:K344"/>
    <mergeCell ref="L339:L344"/>
    <mergeCell ref="M339:M344"/>
    <mergeCell ref="M331:M336"/>
    <mergeCell ref="N331:N336"/>
    <mergeCell ref="O331:O336"/>
    <mergeCell ref="P331:P336"/>
    <mergeCell ref="Q331:Q336"/>
    <mergeCell ref="R331:R336"/>
    <mergeCell ref="R323:R328"/>
    <mergeCell ref="S323:S328"/>
    <mergeCell ref="A329:S329"/>
    <mergeCell ref="A330:A336"/>
    <mergeCell ref="B330:S330"/>
    <mergeCell ref="B331:B336"/>
    <mergeCell ref="C331:I331"/>
    <mergeCell ref="J331:J336"/>
    <mergeCell ref="K331:K336"/>
    <mergeCell ref="L331:L336"/>
    <mergeCell ref="L323:L328"/>
    <mergeCell ref="M323:M328"/>
    <mergeCell ref="N323:N328"/>
    <mergeCell ref="O323:O328"/>
    <mergeCell ref="P323:P328"/>
    <mergeCell ref="Q323:Q328"/>
    <mergeCell ref="Q315:Q320"/>
    <mergeCell ref="R315:R320"/>
    <mergeCell ref="S315:S320"/>
    <mergeCell ref="A321:S321"/>
    <mergeCell ref="A322:A328"/>
    <mergeCell ref="B322:S322"/>
    <mergeCell ref="B323:B328"/>
    <mergeCell ref="C323:I323"/>
    <mergeCell ref="J323:J328"/>
    <mergeCell ref="K323:K328"/>
    <mergeCell ref="K315:K320"/>
    <mergeCell ref="L315:L320"/>
    <mergeCell ref="M315:M320"/>
    <mergeCell ref="N315:N320"/>
    <mergeCell ref="O315:O320"/>
    <mergeCell ref="P315:P320"/>
    <mergeCell ref="P307:P312"/>
    <mergeCell ref="Q307:Q312"/>
    <mergeCell ref="R307:R312"/>
    <mergeCell ref="S307:S312"/>
    <mergeCell ref="A313:S313"/>
    <mergeCell ref="A314:A320"/>
    <mergeCell ref="B314:S314"/>
    <mergeCell ref="B315:B320"/>
    <mergeCell ref="C315:I315"/>
    <mergeCell ref="J315:J320"/>
    <mergeCell ref="A306:A312"/>
    <mergeCell ref="B306:S306"/>
    <mergeCell ref="B307:B312"/>
    <mergeCell ref="C307:I307"/>
    <mergeCell ref="J307:J312"/>
    <mergeCell ref="K307:K312"/>
    <mergeCell ref="L307:L312"/>
    <mergeCell ref="M307:M312"/>
    <mergeCell ref="N307:N312"/>
    <mergeCell ref="O307:O312"/>
    <mergeCell ref="O299:O304"/>
    <mergeCell ref="P299:P304"/>
    <mergeCell ref="Q299:Q304"/>
    <mergeCell ref="R299:R304"/>
    <mergeCell ref="S299:S304"/>
    <mergeCell ref="A305:S305"/>
    <mergeCell ref="A297:S297"/>
    <mergeCell ref="A298:A304"/>
    <mergeCell ref="B298:S298"/>
    <mergeCell ref="B299:B304"/>
    <mergeCell ref="C299:I299"/>
    <mergeCell ref="J299:J304"/>
    <mergeCell ref="K299:K304"/>
    <mergeCell ref="L299:L304"/>
    <mergeCell ref="M299:M304"/>
    <mergeCell ref="N299:N304"/>
    <mergeCell ref="N291:N296"/>
    <mergeCell ref="O291:O296"/>
    <mergeCell ref="P291:P296"/>
    <mergeCell ref="Q291:Q296"/>
    <mergeCell ref="R291:R296"/>
    <mergeCell ref="S291:S296"/>
    <mergeCell ref="B288:C288"/>
    <mergeCell ref="A289:S289"/>
    <mergeCell ref="A290:A296"/>
    <mergeCell ref="B290:S290"/>
    <mergeCell ref="B291:B296"/>
    <mergeCell ref="C291:I291"/>
    <mergeCell ref="J291:J296"/>
    <mergeCell ref="K291:K296"/>
    <mergeCell ref="L291:L296"/>
    <mergeCell ref="M291:M296"/>
    <mergeCell ref="P277:P282"/>
    <mergeCell ref="Q277:Q282"/>
    <mergeCell ref="R277:R282"/>
    <mergeCell ref="S277:S282"/>
    <mergeCell ref="A283:A288"/>
    <mergeCell ref="B283:S283"/>
    <mergeCell ref="B284:C284"/>
    <mergeCell ref="B285:C285"/>
    <mergeCell ref="B286:C286"/>
    <mergeCell ref="B287:C287"/>
    <mergeCell ref="A276:A282"/>
    <mergeCell ref="B276:S276"/>
    <mergeCell ref="B277:B282"/>
    <mergeCell ref="C277:I277"/>
    <mergeCell ref="J277:J282"/>
    <mergeCell ref="K277:K282"/>
    <mergeCell ref="L277:L282"/>
    <mergeCell ref="M277:M282"/>
    <mergeCell ref="N277:N282"/>
    <mergeCell ref="O277:O282"/>
    <mergeCell ref="O269:O274"/>
    <mergeCell ref="P269:P274"/>
    <mergeCell ref="Q269:Q274"/>
    <mergeCell ref="R269:R274"/>
    <mergeCell ref="S269:S274"/>
    <mergeCell ref="A275:S275"/>
    <mergeCell ref="A267:S267"/>
    <mergeCell ref="A268:A274"/>
    <mergeCell ref="B268:S268"/>
    <mergeCell ref="B269:B274"/>
    <mergeCell ref="C269:I269"/>
    <mergeCell ref="J269:J274"/>
    <mergeCell ref="K269:K274"/>
    <mergeCell ref="L269:L274"/>
    <mergeCell ref="M269:M274"/>
    <mergeCell ref="N269:N274"/>
    <mergeCell ref="N261:N266"/>
    <mergeCell ref="O261:O266"/>
    <mergeCell ref="P261:P266"/>
    <mergeCell ref="Q261:Q266"/>
    <mergeCell ref="R261:R266"/>
    <mergeCell ref="S261:S266"/>
    <mergeCell ref="S253:S258"/>
    <mergeCell ref="A259:S259"/>
    <mergeCell ref="A260:A266"/>
    <mergeCell ref="B260:S260"/>
    <mergeCell ref="B261:B266"/>
    <mergeCell ref="C261:I261"/>
    <mergeCell ref="J261:J266"/>
    <mergeCell ref="K261:K266"/>
    <mergeCell ref="L261:L266"/>
    <mergeCell ref="M261:M266"/>
    <mergeCell ref="M253:M258"/>
    <mergeCell ref="N253:N258"/>
    <mergeCell ref="O253:O258"/>
    <mergeCell ref="P253:P258"/>
    <mergeCell ref="Q253:Q258"/>
    <mergeCell ref="R253:R258"/>
    <mergeCell ref="R245:R250"/>
    <mergeCell ref="S245:S250"/>
    <mergeCell ref="A251:S251"/>
    <mergeCell ref="A252:A258"/>
    <mergeCell ref="B252:S252"/>
    <mergeCell ref="B253:B258"/>
    <mergeCell ref="C253:I253"/>
    <mergeCell ref="J253:J258"/>
    <mergeCell ref="K253:K258"/>
    <mergeCell ref="L253:L258"/>
    <mergeCell ref="L245:L250"/>
    <mergeCell ref="M245:M250"/>
    <mergeCell ref="N245:N250"/>
    <mergeCell ref="O245:O250"/>
    <mergeCell ref="P245:P250"/>
    <mergeCell ref="Q245:Q250"/>
    <mergeCell ref="Q237:Q242"/>
    <mergeCell ref="R237:R242"/>
    <mergeCell ref="S237:S242"/>
    <mergeCell ref="A243:S243"/>
    <mergeCell ref="A244:A250"/>
    <mergeCell ref="B244:S244"/>
    <mergeCell ref="B245:B250"/>
    <mergeCell ref="C245:I245"/>
    <mergeCell ref="J245:J250"/>
    <mergeCell ref="K245:K250"/>
    <mergeCell ref="K237:K242"/>
    <mergeCell ref="L237:L242"/>
    <mergeCell ref="M237:M242"/>
    <mergeCell ref="N237:N242"/>
    <mergeCell ref="O237:O242"/>
    <mergeCell ref="P237:P242"/>
    <mergeCell ref="P229:P234"/>
    <mergeCell ref="Q229:Q234"/>
    <mergeCell ref="R229:R234"/>
    <mergeCell ref="S229:S234"/>
    <mergeCell ref="A235:S235"/>
    <mergeCell ref="A236:A242"/>
    <mergeCell ref="B236:S236"/>
    <mergeCell ref="B237:B242"/>
    <mergeCell ref="C237:I237"/>
    <mergeCell ref="J237:J242"/>
    <mergeCell ref="A228:A234"/>
    <mergeCell ref="B228:S228"/>
    <mergeCell ref="B229:B234"/>
    <mergeCell ref="C229:I229"/>
    <mergeCell ref="J229:J234"/>
    <mergeCell ref="K229:K234"/>
    <mergeCell ref="L229:L234"/>
    <mergeCell ref="M229:M234"/>
    <mergeCell ref="N229:N234"/>
    <mergeCell ref="O229:O234"/>
    <mergeCell ref="O221:O226"/>
    <mergeCell ref="P221:P226"/>
    <mergeCell ref="Q221:Q226"/>
    <mergeCell ref="R221:R226"/>
    <mergeCell ref="S221:S226"/>
    <mergeCell ref="A227:S227"/>
    <mergeCell ref="A219:S219"/>
    <mergeCell ref="A220:A226"/>
    <mergeCell ref="B220:S220"/>
    <mergeCell ref="B221:B226"/>
    <mergeCell ref="C221:I221"/>
    <mergeCell ref="J221:J226"/>
    <mergeCell ref="K221:K226"/>
    <mergeCell ref="L221:L226"/>
    <mergeCell ref="M221:M226"/>
    <mergeCell ref="N221:N226"/>
    <mergeCell ref="Q207:Q212"/>
    <mergeCell ref="R207:R212"/>
    <mergeCell ref="S207:S212"/>
    <mergeCell ref="A213:A218"/>
    <mergeCell ref="B213:S213"/>
    <mergeCell ref="B214:C214"/>
    <mergeCell ref="B215:C215"/>
    <mergeCell ref="B216:C216"/>
    <mergeCell ref="B217:C217"/>
    <mergeCell ref="B218:C218"/>
    <mergeCell ref="K207:K212"/>
    <mergeCell ref="L207:L212"/>
    <mergeCell ref="M207:M212"/>
    <mergeCell ref="N207:N212"/>
    <mergeCell ref="O207:O212"/>
    <mergeCell ref="P207:P212"/>
    <mergeCell ref="P199:P204"/>
    <mergeCell ref="Q199:Q204"/>
    <mergeCell ref="R199:R204"/>
    <mergeCell ref="S199:S204"/>
    <mergeCell ref="A205:S205"/>
    <mergeCell ref="A206:A212"/>
    <mergeCell ref="B206:S206"/>
    <mergeCell ref="B207:B212"/>
    <mergeCell ref="C207:I207"/>
    <mergeCell ref="J207:J212"/>
    <mergeCell ref="A198:A204"/>
    <mergeCell ref="B198:S198"/>
    <mergeCell ref="B199:B204"/>
    <mergeCell ref="C199:I199"/>
    <mergeCell ref="J199:J204"/>
    <mergeCell ref="K199:K204"/>
    <mergeCell ref="L199:L204"/>
    <mergeCell ref="M199:M204"/>
    <mergeCell ref="N199:N204"/>
    <mergeCell ref="O199:O204"/>
    <mergeCell ref="O191:O196"/>
    <mergeCell ref="P191:P196"/>
    <mergeCell ref="Q191:Q196"/>
    <mergeCell ref="R191:R196"/>
    <mergeCell ref="S191:S196"/>
    <mergeCell ref="A197:S197"/>
    <mergeCell ref="A189:S189"/>
    <mergeCell ref="A190:A196"/>
    <mergeCell ref="B190:S190"/>
    <mergeCell ref="B191:B196"/>
    <mergeCell ref="C191:I191"/>
    <mergeCell ref="J191:J196"/>
    <mergeCell ref="K191:K196"/>
    <mergeCell ref="L191:L196"/>
    <mergeCell ref="M191:M196"/>
    <mergeCell ref="N191:N196"/>
    <mergeCell ref="N183:N188"/>
    <mergeCell ref="O183:O188"/>
    <mergeCell ref="P183:P188"/>
    <mergeCell ref="Q183:Q188"/>
    <mergeCell ref="R183:R188"/>
    <mergeCell ref="S183:S188"/>
    <mergeCell ref="S175:S180"/>
    <mergeCell ref="A181:S181"/>
    <mergeCell ref="A182:A188"/>
    <mergeCell ref="B182:S182"/>
    <mergeCell ref="B183:B188"/>
    <mergeCell ref="C183:I183"/>
    <mergeCell ref="J183:J188"/>
    <mergeCell ref="K183:K188"/>
    <mergeCell ref="L183:L188"/>
    <mergeCell ref="M183:M188"/>
    <mergeCell ref="M175:M180"/>
    <mergeCell ref="N175:N180"/>
    <mergeCell ref="O175:O180"/>
    <mergeCell ref="P175:P180"/>
    <mergeCell ref="Q175:Q180"/>
    <mergeCell ref="R175:R180"/>
    <mergeCell ref="R167:R172"/>
    <mergeCell ref="S167:S172"/>
    <mergeCell ref="A173:S173"/>
    <mergeCell ref="A174:A180"/>
    <mergeCell ref="B174:S174"/>
    <mergeCell ref="B175:B180"/>
    <mergeCell ref="C175:I175"/>
    <mergeCell ref="J175:J180"/>
    <mergeCell ref="K175:K180"/>
    <mergeCell ref="L175:L180"/>
    <mergeCell ref="L167:L172"/>
    <mergeCell ref="M167:M172"/>
    <mergeCell ref="N167:N172"/>
    <mergeCell ref="O167:O172"/>
    <mergeCell ref="P167:P172"/>
    <mergeCell ref="Q167:Q172"/>
    <mergeCell ref="Q159:Q164"/>
    <mergeCell ref="R159:R164"/>
    <mergeCell ref="S159:S164"/>
    <mergeCell ref="A165:S165"/>
    <mergeCell ref="A166:A172"/>
    <mergeCell ref="B166:S166"/>
    <mergeCell ref="B167:B172"/>
    <mergeCell ref="C167:I167"/>
    <mergeCell ref="J167:J172"/>
    <mergeCell ref="K167:K172"/>
    <mergeCell ref="K159:K164"/>
    <mergeCell ref="L159:L164"/>
    <mergeCell ref="M159:M164"/>
    <mergeCell ref="N159:N164"/>
    <mergeCell ref="O159:O164"/>
    <mergeCell ref="P159:P164"/>
    <mergeCell ref="P151:P156"/>
    <mergeCell ref="Q151:Q156"/>
    <mergeCell ref="R151:R156"/>
    <mergeCell ref="S151:S156"/>
    <mergeCell ref="A157:S157"/>
    <mergeCell ref="A158:A164"/>
    <mergeCell ref="B158:S158"/>
    <mergeCell ref="B159:B164"/>
    <mergeCell ref="C159:I159"/>
    <mergeCell ref="J159:J164"/>
    <mergeCell ref="A150:A156"/>
    <mergeCell ref="B150:S150"/>
    <mergeCell ref="B151:B156"/>
    <mergeCell ref="C151:I151"/>
    <mergeCell ref="J151:J156"/>
    <mergeCell ref="K151:K156"/>
    <mergeCell ref="L151:L156"/>
    <mergeCell ref="M151:M156"/>
    <mergeCell ref="N151:N156"/>
    <mergeCell ref="O151:O156"/>
    <mergeCell ref="O143:O148"/>
    <mergeCell ref="P143:P148"/>
    <mergeCell ref="Q143:Q148"/>
    <mergeCell ref="R143:R148"/>
    <mergeCell ref="S143:S148"/>
    <mergeCell ref="A149:S149"/>
    <mergeCell ref="A141:S141"/>
    <mergeCell ref="A142:A148"/>
    <mergeCell ref="B142:S142"/>
    <mergeCell ref="B143:B148"/>
    <mergeCell ref="C143:I143"/>
    <mergeCell ref="J143:J148"/>
    <mergeCell ref="K143:K148"/>
    <mergeCell ref="L143:L148"/>
    <mergeCell ref="M143:M148"/>
    <mergeCell ref="N143:N148"/>
    <mergeCell ref="N135:N140"/>
    <mergeCell ref="O135:O140"/>
    <mergeCell ref="P135:P140"/>
    <mergeCell ref="Q135:Q140"/>
    <mergeCell ref="R135:R140"/>
    <mergeCell ref="S135:S140"/>
    <mergeCell ref="S127:S132"/>
    <mergeCell ref="A133:S133"/>
    <mergeCell ref="A134:A140"/>
    <mergeCell ref="B134:S134"/>
    <mergeCell ref="B135:B140"/>
    <mergeCell ref="C135:I135"/>
    <mergeCell ref="J135:J140"/>
    <mergeCell ref="K135:K140"/>
    <mergeCell ref="L135:L140"/>
    <mergeCell ref="M135:M140"/>
    <mergeCell ref="M127:M132"/>
    <mergeCell ref="N127:N132"/>
    <mergeCell ref="O127:O132"/>
    <mergeCell ref="P127:P132"/>
    <mergeCell ref="Q127:Q132"/>
    <mergeCell ref="R127:R132"/>
    <mergeCell ref="R119:R124"/>
    <mergeCell ref="S119:S124"/>
    <mergeCell ref="A125:S125"/>
    <mergeCell ref="A126:A132"/>
    <mergeCell ref="B126:S126"/>
    <mergeCell ref="B127:B132"/>
    <mergeCell ref="C127:I127"/>
    <mergeCell ref="J127:J132"/>
    <mergeCell ref="K127:K132"/>
    <mergeCell ref="L127:L132"/>
    <mergeCell ref="L119:L124"/>
    <mergeCell ref="M119:M124"/>
    <mergeCell ref="N119:N124"/>
    <mergeCell ref="O119:O124"/>
    <mergeCell ref="P119:P124"/>
    <mergeCell ref="Q119:Q124"/>
    <mergeCell ref="A117:S117"/>
    <mergeCell ref="A118:A124"/>
    <mergeCell ref="B118:S118"/>
    <mergeCell ref="B119:B124"/>
    <mergeCell ref="C119:I119"/>
    <mergeCell ref="J119:J124"/>
    <mergeCell ref="K119:K124"/>
    <mergeCell ref="P111:P116"/>
    <mergeCell ref="Q111:Q116"/>
    <mergeCell ref="R111:R116"/>
    <mergeCell ref="S111:S116"/>
    <mergeCell ref="A110:A116"/>
    <mergeCell ref="B110:S110"/>
    <mergeCell ref="B111:B116"/>
    <mergeCell ref="C111:I111"/>
    <mergeCell ref="J111:J116"/>
    <mergeCell ref="K111:K116"/>
    <mergeCell ref="L111:L116"/>
    <mergeCell ref="M111:M116"/>
    <mergeCell ref="N111:N116"/>
    <mergeCell ref="O111:O116"/>
    <mergeCell ref="O103:O108"/>
    <mergeCell ref="P103:P108"/>
    <mergeCell ref="Q103:Q108"/>
    <mergeCell ref="R103:R108"/>
    <mergeCell ref="S103:S108"/>
    <mergeCell ref="A109:S109"/>
    <mergeCell ref="A101:S101"/>
    <mergeCell ref="A102:A108"/>
    <mergeCell ref="B102:S102"/>
    <mergeCell ref="B103:B108"/>
    <mergeCell ref="C103:I103"/>
    <mergeCell ref="J103:J108"/>
    <mergeCell ref="K103:K108"/>
    <mergeCell ref="L103:L108"/>
    <mergeCell ref="M103:M108"/>
    <mergeCell ref="N103:N108"/>
    <mergeCell ref="R89:R94"/>
    <mergeCell ref="S89:S94"/>
    <mergeCell ref="A95:A100"/>
    <mergeCell ref="B95:S95"/>
    <mergeCell ref="B96:C96"/>
    <mergeCell ref="B97:C97"/>
    <mergeCell ref="B98:C98"/>
    <mergeCell ref="B99:C99"/>
    <mergeCell ref="B100:C100"/>
    <mergeCell ref="L89:L94"/>
    <mergeCell ref="M89:M94"/>
    <mergeCell ref="N89:N94"/>
    <mergeCell ref="O89:O94"/>
    <mergeCell ref="P89:P94"/>
    <mergeCell ref="Q89:Q94"/>
    <mergeCell ref="Q81:Q86"/>
    <mergeCell ref="R81:R86"/>
    <mergeCell ref="S81:S86"/>
    <mergeCell ref="A87:S87"/>
    <mergeCell ref="A88:A94"/>
    <mergeCell ref="B88:S88"/>
    <mergeCell ref="B89:B94"/>
    <mergeCell ref="C89:I89"/>
    <mergeCell ref="J89:J94"/>
    <mergeCell ref="K89:K94"/>
    <mergeCell ref="K81:K86"/>
    <mergeCell ref="L81:L86"/>
    <mergeCell ref="M81:M86"/>
    <mergeCell ref="N81:N86"/>
    <mergeCell ref="O81:O86"/>
    <mergeCell ref="P81:P86"/>
    <mergeCell ref="P73:P78"/>
    <mergeCell ref="Q73:Q78"/>
    <mergeCell ref="R73:R78"/>
    <mergeCell ref="S73:S78"/>
    <mergeCell ref="A79:S79"/>
    <mergeCell ref="A80:A86"/>
    <mergeCell ref="B80:S80"/>
    <mergeCell ref="B81:B86"/>
    <mergeCell ref="C81:I81"/>
    <mergeCell ref="J81:J86"/>
    <mergeCell ref="A72:A78"/>
    <mergeCell ref="B72:S72"/>
    <mergeCell ref="B73:B78"/>
    <mergeCell ref="C73:I73"/>
    <mergeCell ref="J73:J78"/>
    <mergeCell ref="K73:K78"/>
    <mergeCell ref="L73:L78"/>
    <mergeCell ref="M73:M78"/>
    <mergeCell ref="N73:N78"/>
    <mergeCell ref="O73:O78"/>
    <mergeCell ref="O65:O70"/>
    <mergeCell ref="P65:P70"/>
    <mergeCell ref="Q65:Q70"/>
    <mergeCell ref="R65:R70"/>
    <mergeCell ref="S65:S70"/>
    <mergeCell ref="A71:S71"/>
    <mergeCell ref="A63:S63"/>
    <mergeCell ref="A64:A70"/>
    <mergeCell ref="B64:S64"/>
    <mergeCell ref="B65:B70"/>
    <mergeCell ref="C65:I65"/>
    <mergeCell ref="J65:J70"/>
    <mergeCell ref="K65:K70"/>
    <mergeCell ref="L65:L70"/>
    <mergeCell ref="M65:M70"/>
    <mergeCell ref="N65:N70"/>
    <mergeCell ref="N57:N62"/>
    <mergeCell ref="O57:O62"/>
    <mergeCell ref="P57:P62"/>
    <mergeCell ref="Q57:Q62"/>
    <mergeCell ref="R57:R62"/>
    <mergeCell ref="S57:S62"/>
    <mergeCell ref="S49:S54"/>
    <mergeCell ref="A55:S55"/>
    <mergeCell ref="A56:A62"/>
    <mergeCell ref="B56:S56"/>
    <mergeCell ref="B57:B62"/>
    <mergeCell ref="C57:I57"/>
    <mergeCell ref="J57:J62"/>
    <mergeCell ref="K57:K62"/>
    <mergeCell ref="L57:L62"/>
    <mergeCell ref="M57:M62"/>
    <mergeCell ref="M49:M54"/>
    <mergeCell ref="N49:N54"/>
    <mergeCell ref="O49:O54"/>
    <mergeCell ref="P49:P54"/>
    <mergeCell ref="Q49:Q54"/>
    <mergeCell ref="R49:R54"/>
    <mergeCell ref="A47:S47"/>
    <mergeCell ref="A48:A54"/>
    <mergeCell ref="B48:S48"/>
    <mergeCell ref="B49:B54"/>
    <mergeCell ref="C49:I49"/>
    <mergeCell ref="J49:J54"/>
    <mergeCell ref="K49:K54"/>
    <mergeCell ref="L49:L54"/>
    <mergeCell ref="O41:O46"/>
    <mergeCell ref="P41:P46"/>
    <mergeCell ref="Q41:Q46"/>
    <mergeCell ref="Q33:Q38"/>
    <mergeCell ref="R33:R38"/>
    <mergeCell ref="S33:S38"/>
    <mergeCell ref="A39:S39"/>
    <mergeCell ref="A40:A46"/>
    <mergeCell ref="B40:S40"/>
    <mergeCell ref="B41:B46"/>
    <mergeCell ref="C41:I41"/>
    <mergeCell ref="J41:J46"/>
    <mergeCell ref="K41:K46"/>
    <mergeCell ref="K33:K38"/>
    <mergeCell ref="L33:L38"/>
    <mergeCell ref="M33:M38"/>
    <mergeCell ref="N33:N38"/>
    <mergeCell ref="O33:O38"/>
    <mergeCell ref="P33:P38"/>
    <mergeCell ref="A32:A38"/>
    <mergeCell ref="B32:S32"/>
    <mergeCell ref="B33:B38"/>
    <mergeCell ref="C33:I33"/>
    <mergeCell ref="J33:J38"/>
    <mergeCell ref="A9:A14"/>
    <mergeCell ref="B9:S9"/>
    <mergeCell ref="B10:C10"/>
    <mergeCell ref="B11:C11"/>
    <mergeCell ref="B12:C12"/>
    <mergeCell ref="B13:C13"/>
    <mergeCell ref="B14:C14"/>
    <mergeCell ref="P25:P30"/>
    <mergeCell ref="Q25:Q30"/>
    <mergeCell ref="R25:R30"/>
    <mergeCell ref="S25:S30"/>
    <mergeCell ref="A31:S31"/>
    <mergeCell ref="Q1:S1"/>
    <mergeCell ref="P2:S2"/>
    <mergeCell ref="R3:S3"/>
    <mergeCell ref="O4:S4"/>
    <mergeCell ref="A5:S5"/>
    <mergeCell ref="A7:C7"/>
    <mergeCell ref="A15:S15"/>
    <mergeCell ref="A24:A30"/>
    <mergeCell ref="B24:S24"/>
    <mergeCell ref="B25:B30"/>
    <mergeCell ref="C25:I25"/>
    <mergeCell ref="J25:J30"/>
    <mergeCell ref="K25:K30"/>
    <mergeCell ref="L25:L30"/>
    <mergeCell ref="M25:M30"/>
    <mergeCell ref="N25:N30"/>
    <mergeCell ref="O25:O30"/>
    <mergeCell ref="J17:J22"/>
    <mergeCell ref="K17:K22"/>
    <mergeCell ref="L17:L22"/>
    <mergeCell ref="A1287:S1287"/>
    <mergeCell ref="A1288:A1294"/>
    <mergeCell ref="B1288:S1288"/>
    <mergeCell ref="B1289:B1294"/>
    <mergeCell ref="C1289:I1289"/>
    <mergeCell ref="J1289:J1294"/>
    <mergeCell ref="K1289:K1294"/>
    <mergeCell ref="L1289:L1294"/>
    <mergeCell ref="M1289:M1294"/>
    <mergeCell ref="N1289:N1294"/>
    <mergeCell ref="O1289:O1294"/>
    <mergeCell ref="P1289:P1294"/>
    <mergeCell ref="Q1289:Q1294"/>
    <mergeCell ref="R1289:R1294"/>
    <mergeCell ref="S1289:S1294"/>
    <mergeCell ref="O17:O22"/>
    <mergeCell ref="P17:P22"/>
    <mergeCell ref="Q17:Q22"/>
    <mergeCell ref="R17:R22"/>
    <mergeCell ref="S17:S22"/>
    <mergeCell ref="A23:S23"/>
    <mergeCell ref="A16:A22"/>
    <mergeCell ref="B16:S16"/>
    <mergeCell ref="B17:B22"/>
    <mergeCell ref="C17:I17"/>
    <mergeCell ref="R41:R46"/>
    <mergeCell ref="S41:S46"/>
    <mergeCell ref="M17:M22"/>
    <mergeCell ref="N17:N22"/>
    <mergeCell ref="L41:L46"/>
    <mergeCell ref="M41:M46"/>
    <mergeCell ref="N41:N46"/>
  </mergeCells>
  <pageMargins left="0.70866141732283472" right="0.70866141732283472" top="0.74803149606299213" bottom="0.74803149606299213" header="0.31496062992125984" footer="0.31496062992125984"/>
  <pageSetup paperSize="8" scale="29" fitToHeight="0" orientation="landscape" r:id="rId1"/>
  <rowBreaks count="23" manualBreakCount="23">
    <brk id="78" max="16383" man="1"/>
    <brk id="148" max="16383" man="1"/>
    <brk id="226" max="16383" man="1"/>
    <brk id="304" max="16383" man="1"/>
    <brk id="384" max="16383" man="1"/>
    <brk id="464" max="16383" man="1"/>
    <brk id="544" max="16383" man="1"/>
    <brk id="624" max="16383" man="1"/>
    <brk id="702" max="18" man="1"/>
    <brk id="766" max="16383" man="1"/>
    <brk id="830" max="16383" man="1"/>
    <brk id="910" max="16383" man="1"/>
    <brk id="990" max="18" man="1"/>
    <brk id="1116" max="16383" man="1"/>
    <brk id="1198" max="16383" man="1"/>
    <brk id="1262" max="16383" man="1"/>
    <brk id="1346" max="16383" man="1"/>
    <brk id="1426" max="16383" man="1"/>
    <brk id="1506" max="16383" man="1"/>
    <brk id="1586" max="16383" man="1"/>
    <brk id="1666" max="16383" man="1"/>
    <brk id="1752" max="16383" man="1"/>
    <brk id="18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03.12.2014</vt:lpstr>
      <vt:lpstr>'03.12.2014'!Заголовки_для_печати</vt:lpstr>
      <vt:lpstr>'03.12.2014'!Область_печати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ChernyshVP</dc:creator>
  <cp:lastModifiedBy>Статиенко Константин Валерьевич</cp:lastModifiedBy>
  <cp:lastPrinted>2014-11-20T22:42:24Z</cp:lastPrinted>
  <dcterms:created xsi:type="dcterms:W3CDTF">2013-06-03T21:57:32Z</dcterms:created>
  <dcterms:modified xsi:type="dcterms:W3CDTF">2016-01-29T01:28:20Z</dcterms:modified>
</cp:coreProperties>
</file>