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00" yWindow="990" windowWidth="13785" windowHeight="9180" tabRatio="457"/>
  </bookViews>
  <sheets>
    <sheet name="Приложение" sheetId="59" r:id="rId1"/>
  </sheets>
  <definedNames>
    <definedName name="_xlnm._FilterDatabase" localSheetId="0" hidden="1">Приложение!$A$12:$W$1062</definedName>
    <definedName name="_xlnm.Print_Titles" localSheetId="0">Приложение!$11:$12</definedName>
    <definedName name="_xlnm.Print_Area" localSheetId="0">Приложение!$A$1:$V$1062</definedName>
  </definedNames>
  <calcPr calcId="145621"/>
</workbook>
</file>

<file path=xl/calcChain.xml><?xml version="1.0" encoding="utf-8"?>
<calcChain xmlns="http://schemas.openxmlformats.org/spreadsheetml/2006/main">
  <c r="D927" i="59" l="1"/>
  <c r="E284" i="59"/>
  <c r="D542" i="59"/>
  <c r="D540" i="59"/>
  <c r="E540" i="59"/>
  <c r="E745" i="59"/>
  <c r="F745" i="59"/>
  <c r="G745" i="59"/>
  <c r="F744" i="59"/>
  <c r="G744" i="59"/>
  <c r="E496" i="59"/>
  <c r="E432" i="59"/>
  <c r="D432" i="59" s="1"/>
  <c r="D430" i="59" s="1"/>
  <c r="E290" i="59"/>
  <c r="E603" i="59"/>
  <c r="E222" i="59"/>
  <c r="D222" i="59" s="1"/>
  <c r="F119" i="59"/>
  <c r="D119" i="59" s="1"/>
  <c r="G119" i="59"/>
  <c r="E119" i="59"/>
  <c r="I118" i="59"/>
  <c r="E864" i="59"/>
  <c r="D864" i="59" s="1"/>
  <c r="D862" i="59" s="1"/>
  <c r="E410" i="59"/>
  <c r="E24" i="59"/>
  <c r="E998" i="59"/>
  <c r="G16" i="59"/>
  <c r="G1058" i="59" s="1"/>
  <c r="H16" i="59"/>
  <c r="I16" i="59"/>
  <c r="D112" i="59"/>
  <c r="D110" i="59"/>
  <c r="E104" i="59"/>
  <c r="E88" i="59"/>
  <c r="E56" i="59"/>
  <c r="D56" i="59" s="1"/>
  <c r="D54" i="59" s="1"/>
  <c r="E64" i="59"/>
  <c r="D64" i="59" s="1"/>
  <c r="E48" i="59"/>
  <c r="E72" i="59"/>
  <c r="E1044" i="59"/>
  <c r="E1042" i="59" s="1"/>
  <c r="E1034" i="59" s="1"/>
  <c r="E378" i="59"/>
  <c r="E571" i="59"/>
  <c r="F564" i="59"/>
  <c r="F562" i="59"/>
  <c r="G562" i="59"/>
  <c r="H562" i="59"/>
  <c r="I562" i="59"/>
  <c r="E564" i="59"/>
  <c r="D564" i="59" s="1"/>
  <c r="E134" i="59"/>
  <c r="E166" i="59"/>
  <c r="E214" i="59"/>
  <c r="D214" i="59" s="1"/>
  <c r="E126" i="59"/>
  <c r="E124" i="59" s="1"/>
  <c r="E206" i="59"/>
  <c r="E110" i="59"/>
  <c r="E652" i="59"/>
  <c r="D652" i="59" s="1"/>
  <c r="D650" i="59" s="1"/>
  <c r="E282" i="59"/>
  <c r="E280" i="59" s="1"/>
  <c r="E274" i="59"/>
  <c r="E534" i="59"/>
  <c r="E526" i="59"/>
  <c r="D526" i="59" s="1"/>
  <c r="D524" i="59" s="1"/>
  <c r="E660" i="59"/>
  <c r="E658" i="59" s="1"/>
  <c r="E700" i="59"/>
  <c r="E730" i="59"/>
  <c r="E824" i="59"/>
  <c r="E822" i="59" s="1"/>
  <c r="E800" i="59"/>
  <c r="E798" i="59" s="1"/>
  <c r="E792" i="59"/>
  <c r="E784" i="59"/>
  <c r="E760" i="59"/>
  <c r="E752" i="59"/>
  <c r="E750" i="59" s="1"/>
  <c r="E936" i="59"/>
  <c r="E912" i="59"/>
  <c r="E904" i="59"/>
  <c r="D904" i="59" s="1"/>
  <c r="D902" i="59" s="1"/>
  <c r="E896" i="59"/>
  <c r="E894" i="59" s="1"/>
  <c r="E888" i="59"/>
  <c r="E880" i="59"/>
  <c r="E832" i="59"/>
  <c r="D832" i="59" s="1"/>
  <c r="D830" i="59" s="1"/>
  <c r="F190" i="59"/>
  <c r="F126" i="59"/>
  <c r="E298" i="59"/>
  <c r="E512" i="59"/>
  <c r="E510" i="59" s="1"/>
  <c r="E676" i="59"/>
  <c r="D676" i="59" s="1"/>
  <c r="D674" i="59" s="1"/>
  <c r="E612" i="59"/>
  <c r="E620" i="59"/>
  <c r="E265" i="59"/>
  <c r="E1057" i="59" s="1"/>
  <c r="F265" i="59"/>
  <c r="F1057" i="59" s="1"/>
  <c r="G265" i="59"/>
  <c r="H265" i="59"/>
  <c r="E267" i="59"/>
  <c r="D267" i="59" s="1"/>
  <c r="F267" i="59"/>
  <c r="G267" i="59"/>
  <c r="H267" i="59"/>
  <c r="E268" i="59"/>
  <c r="D268" i="59" s="1"/>
  <c r="F268" i="59"/>
  <c r="F1061" i="59" s="1"/>
  <c r="G268" i="59"/>
  <c r="H268" i="59"/>
  <c r="F266" i="59"/>
  <c r="G266" i="59"/>
  <c r="H266" i="59"/>
  <c r="E322" i="59"/>
  <c r="E314" i="59"/>
  <c r="D314" i="59" s="1"/>
  <c r="D312" i="59" s="1"/>
  <c r="E394" i="59"/>
  <c r="E392" i="59" s="1"/>
  <c r="E330" i="59"/>
  <c r="D402" i="59"/>
  <c r="D400" i="59"/>
  <c r="E400" i="59"/>
  <c r="E386" i="59"/>
  <c r="E260" i="59"/>
  <c r="E252" i="59"/>
  <c r="E250" i="59" s="1"/>
  <c r="E242" i="59" s="1"/>
  <c r="E579" i="59"/>
  <c r="E562" i="59" s="1"/>
  <c r="D562" i="59" s="1"/>
  <c r="E230" i="59"/>
  <c r="D230" i="59" s="1"/>
  <c r="F594" i="59"/>
  <c r="E595" i="59"/>
  <c r="D716" i="59"/>
  <c r="D714" i="59" s="1"/>
  <c r="E714" i="59"/>
  <c r="E692" i="59"/>
  <c r="E142" i="59"/>
  <c r="D991" i="59"/>
  <c r="D990" i="59"/>
  <c r="E988" i="59"/>
  <c r="D988" i="59"/>
  <c r="E967" i="59"/>
  <c r="E974" i="59"/>
  <c r="D418" i="59"/>
  <c r="D416" i="59" s="1"/>
  <c r="E416" i="59"/>
  <c r="D465" i="59"/>
  <c r="D464" i="59"/>
  <c r="D462" i="59" s="1"/>
  <c r="E462" i="59"/>
  <c r="D457" i="59"/>
  <c r="D456" i="59"/>
  <c r="E454" i="59"/>
  <c r="D449" i="59"/>
  <c r="D446" i="59" s="1"/>
  <c r="D448" i="59"/>
  <c r="E446" i="59"/>
  <c r="D441" i="59"/>
  <c r="D440" i="59"/>
  <c r="E438" i="59"/>
  <c r="Q485" i="59"/>
  <c r="D438" i="59"/>
  <c r="D454" i="59"/>
  <c r="E920" i="59"/>
  <c r="E918" i="59" s="1"/>
  <c r="E872" i="59"/>
  <c r="E870" i="59" s="1"/>
  <c r="E816" i="59"/>
  <c r="E928" i="59"/>
  <c r="E856" i="59"/>
  <c r="E854" i="59" s="1"/>
  <c r="E848" i="59"/>
  <c r="D848" i="59" s="1"/>
  <c r="D846" i="59" s="1"/>
  <c r="E840" i="59"/>
  <c r="D238" i="59"/>
  <c r="E236" i="59"/>
  <c r="D236" i="59"/>
  <c r="F158" i="59"/>
  <c r="F958" i="59"/>
  <c r="F950" i="59"/>
  <c r="F942" i="59"/>
  <c r="D960" i="59"/>
  <c r="D958" i="59"/>
  <c r="E958" i="59"/>
  <c r="D952" i="59"/>
  <c r="D950" i="59" s="1"/>
  <c r="D944" i="59"/>
  <c r="D942" i="59"/>
  <c r="E942" i="59"/>
  <c r="F166" i="59"/>
  <c r="F706" i="59"/>
  <c r="D708" i="59"/>
  <c r="D706" i="59" s="1"/>
  <c r="D104" i="59"/>
  <c r="D102" i="59"/>
  <c r="E102" i="59"/>
  <c r="E628" i="59"/>
  <c r="D433" i="59"/>
  <c r="E504" i="59"/>
  <c r="D504" i="59" s="1"/>
  <c r="D502" i="59" s="1"/>
  <c r="E636" i="59"/>
  <c r="E723" i="59"/>
  <c r="E738" i="59"/>
  <c r="E370" i="59"/>
  <c r="D370" i="59" s="1"/>
  <c r="D368" i="59" s="1"/>
  <c r="E362" i="59"/>
  <c r="D362" i="59" s="1"/>
  <c r="E306" i="59"/>
  <c r="E808" i="59"/>
  <c r="E744" i="59"/>
  <c r="D744" i="59" s="1"/>
  <c r="E722" i="59"/>
  <c r="D722" i="59" s="1"/>
  <c r="E610" i="59"/>
  <c r="E1022" i="59"/>
  <c r="E588" i="59"/>
  <c r="D588" i="59" s="1"/>
  <c r="D585" i="59" s="1"/>
  <c r="F392" i="59"/>
  <c r="G392" i="59"/>
  <c r="F384" i="59"/>
  <c r="G384" i="59"/>
  <c r="E684" i="59"/>
  <c r="E425" i="59"/>
  <c r="I424" i="59"/>
  <c r="H424" i="59"/>
  <c r="G424" i="59"/>
  <c r="F424" i="59"/>
  <c r="G422" i="59"/>
  <c r="D520" i="59"/>
  <c r="D518" i="59"/>
  <c r="E518" i="59"/>
  <c r="E982" i="59"/>
  <c r="G188" i="59"/>
  <c r="G158" i="59"/>
  <c r="G118" i="59"/>
  <c r="E556" i="59"/>
  <c r="D96" i="59"/>
  <c r="D94" i="59"/>
  <c r="E94" i="59"/>
  <c r="E472" i="59"/>
  <c r="F1059" i="59"/>
  <c r="G1059" i="59"/>
  <c r="H1059" i="59"/>
  <c r="I1059" i="59"/>
  <c r="D505" i="59"/>
  <c r="E644" i="59"/>
  <c r="D644" i="59" s="1"/>
  <c r="D700" i="59"/>
  <c r="D698" i="59"/>
  <c r="E698" i="59"/>
  <c r="D692" i="59"/>
  <c r="D690" i="59"/>
  <c r="E690" i="59"/>
  <c r="E1011" i="59"/>
  <c r="E1002" i="59" s="1"/>
  <c r="E228" i="59"/>
  <c r="D228" i="59" s="1"/>
  <c r="E934" i="59"/>
  <c r="D936" i="59"/>
  <c r="D934" i="59"/>
  <c r="D394" i="59"/>
  <c r="D392" i="59" s="1"/>
  <c r="D386" i="59"/>
  <c r="D384" i="59"/>
  <c r="E384" i="59"/>
  <c r="D260" i="59"/>
  <c r="D258" i="59" s="1"/>
  <c r="D928" i="59"/>
  <c r="D926" i="59" s="1"/>
  <c r="E926" i="59"/>
  <c r="E258" i="59"/>
  <c r="E502" i="59"/>
  <c r="D595" i="59"/>
  <c r="D604" i="59"/>
  <c r="D684" i="59"/>
  <c r="D682" i="59" s="1"/>
  <c r="E682" i="59"/>
  <c r="F72" i="59"/>
  <c r="F70" i="59"/>
  <c r="E807" i="59"/>
  <c r="D807" i="59" s="1"/>
  <c r="E743" i="59"/>
  <c r="D743" i="59" s="1"/>
  <c r="D1053" i="59"/>
  <c r="E1037" i="59"/>
  <c r="F1036" i="59"/>
  <c r="D1052" i="59"/>
  <c r="D1050" i="59"/>
  <c r="E1050" i="59"/>
  <c r="D496" i="59"/>
  <c r="D494" i="59" s="1"/>
  <c r="E494" i="59"/>
  <c r="D723" i="59"/>
  <c r="D739" i="59"/>
  <c r="D731" i="59"/>
  <c r="D738" i="59"/>
  <c r="D736" i="59" s="1"/>
  <c r="D730" i="59"/>
  <c r="D728" i="59" s="1"/>
  <c r="E728" i="59"/>
  <c r="E720" i="59" s="1"/>
  <c r="F40" i="59"/>
  <c r="F32" i="59"/>
  <c r="E86" i="59"/>
  <c r="D88" i="59"/>
  <c r="D86" i="59"/>
  <c r="D183" i="59"/>
  <c r="E220" i="59"/>
  <c r="D220" i="59" s="1"/>
  <c r="D206" i="59"/>
  <c r="E204" i="59"/>
  <c r="D204" i="59" s="1"/>
  <c r="D198" i="59"/>
  <c r="E196" i="59"/>
  <c r="D196" i="59"/>
  <c r="D347" i="59"/>
  <c r="D344" i="59" s="1"/>
  <c r="D346" i="59"/>
  <c r="F30" i="59"/>
  <c r="E736" i="59"/>
  <c r="E344" i="59"/>
  <c r="D378" i="59"/>
  <c r="D376" i="59" s="1"/>
  <c r="E376" i="59"/>
  <c r="D322" i="59"/>
  <c r="D320" i="59" s="1"/>
  <c r="E320" i="59"/>
  <c r="D920" i="59"/>
  <c r="D918" i="59" s="1"/>
  <c r="D912" i="59"/>
  <c r="D910" i="59"/>
  <c r="E910" i="59"/>
  <c r="E902" i="59"/>
  <c r="D896" i="59"/>
  <c r="D894" i="59" s="1"/>
  <c r="D888" i="59"/>
  <c r="D886" i="59"/>
  <c r="E886" i="59"/>
  <c r="D880" i="59"/>
  <c r="D878" i="59"/>
  <c r="E878" i="59"/>
  <c r="D872" i="59"/>
  <c r="D870" i="59" s="1"/>
  <c r="D668" i="59"/>
  <c r="D666" i="59"/>
  <c r="E666" i="59"/>
  <c r="D473" i="59"/>
  <c r="D425" i="59"/>
  <c r="D175" i="59"/>
  <c r="D182" i="59"/>
  <c r="E180" i="59"/>
  <c r="D180" i="59"/>
  <c r="D174" i="59"/>
  <c r="D172" i="59"/>
  <c r="E172" i="59"/>
  <c r="E972" i="59"/>
  <c r="D967" i="59"/>
  <c r="D983" i="59"/>
  <c r="D982" i="59"/>
  <c r="E1004" i="59"/>
  <c r="D1004" i="59" s="1"/>
  <c r="D1002" i="59" s="1"/>
  <c r="F1004" i="59"/>
  <c r="D1030" i="59"/>
  <c r="D1028" i="59" s="1"/>
  <c r="E1028" i="59"/>
  <c r="I1061" i="59"/>
  <c r="H1061" i="59"/>
  <c r="G1061" i="59"/>
  <c r="I1060" i="59"/>
  <c r="H1060" i="59"/>
  <c r="I1057" i="59"/>
  <c r="H1057" i="59"/>
  <c r="G1057" i="59"/>
  <c r="D1045" i="59"/>
  <c r="F1042" i="59"/>
  <c r="F1034" i="59" s="1"/>
  <c r="D1037" i="59"/>
  <c r="D1022" i="59"/>
  <c r="D1019" i="59" s="1"/>
  <c r="E1019" i="59"/>
  <c r="D1013" i="59"/>
  <c r="D1011" i="59"/>
  <c r="F1011" i="59"/>
  <c r="F1002" i="59"/>
  <c r="E1005" i="59"/>
  <c r="D1005" i="59"/>
  <c r="D975" i="59"/>
  <c r="D856" i="59"/>
  <c r="D854" i="59" s="1"/>
  <c r="D840" i="59"/>
  <c r="D838" i="59" s="1"/>
  <c r="E838" i="59"/>
  <c r="D825" i="59"/>
  <c r="D824" i="59"/>
  <c r="D816" i="59"/>
  <c r="D814" i="59" s="1"/>
  <c r="E814" i="59"/>
  <c r="D801" i="59"/>
  <c r="D800" i="59"/>
  <c r="D798" i="59" s="1"/>
  <c r="D793" i="59"/>
  <c r="D792" i="59"/>
  <c r="D790" i="59" s="1"/>
  <c r="E790" i="59"/>
  <c r="D785" i="59"/>
  <c r="D784" i="59"/>
  <c r="E782" i="59"/>
  <c r="D777" i="59"/>
  <c r="D776" i="59"/>
  <c r="G774" i="59"/>
  <c r="F774" i="59"/>
  <c r="D769" i="59"/>
  <c r="D768" i="59"/>
  <c r="G766" i="59"/>
  <c r="G742" i="59"/>
  <c r="F766" i="59"/>
  <c r="F742" i="59" s="1"/>
  <c r="D761" i="59"/>
  <c r="D760" i="59"/>
  <c r="D758" i="59" s="1"/>
  <c r="D753" i="59"/>
  <c r="E650" i="59"/>
  <c r="D642" i="59"/>
  <c r="E642" i="59"/>
  <c r="D636" i="59"/>
  <c r="D634" i="59" s="1"/>
  <c r="E634" i="59"/>
  <c r="D628" i="59"/>
  <c r="D626" i="59" s="1"/>
  <c r="E626" i="59"/>
  <c r="D620" i="59"/>
  <c r="D618" i="59"/>
  <c r="E618" i="59"/>
  <c r="D612" i="59"/>
  <c r="D610" i="59"/>
  <c r="F610" i="59"/>
  <c r="F592" i="59" s="1"/>
  <c r="D603" i="59"/>
  <c r="D601" i="59"/>
  <c r="E601" i="59"/>
  <c r="D580" i="59"/>
  <c r="D579" i="59"/>
  <c r="D577" i="59" s="1"/>
  <c r="F577" i="59"/>
  <c r="D571" i="59"/>
  <c r="D569" i="59"/>
  <c r="I569" i="59"/>
  <c r="I560" i="59"/>
  <c r="H569" i="59"/>
  <c r="H560" i="59"/>
  <c r="G569" i="59"/>
  <c r="G560" i="59"/>
  <c r="F569" i="59"/>
  <c r="F560" i="59" s="1"/>
  <c r="E569" i="59"/>
  <c r="D556" i="59"/>
  <c r="D554" i="59"/>
  <c r="F554" i="59"/>
  <c r="F546" i="59"/>
  <c r="E554" i="59"/>
  <c r="E546" i="59"/>
  <c r="F548" i="59"/>
  <c r="E548" i="59"/>
  <c r="D548" i="59" s="1"/>
  <c r="D534" i="59"/>
  <c r="D532" i="59"/>
  <c r="E532" i="59"/>
  <c r="E524" i="59"/>
  <c r="D489" i="59"/>
  <c r="D488" i="59"/>
  <c r="E486" i="59"/>
  <c r="D480" i="59"/>
  <c r="D478" i="59" s="1"/>
  <c r="I478" i="59"/>
  <c r="I422" i="59" s="1"/>
  <c r="H478" i="59"/>
  <c r="H422" i="59" s="1"/>
  <c r="F478" i="59"/>
  <c r="F422" i="59"/>
  <c r="D472" i="59"/>
  <c r="D470" i="59" s="1"/>
  <c r="E470" i="59"/>
  <c r="D410" i="59"/>
  <c r="D408" i="59"/>
  <c r="E408" i="59"/>
  <c r="E368" i="59"/>
  <c r="D360" i="59"/>
  <c r="E360" i="59"/>
  <c r="D354" i="59"/>
  <c r="D352" i="59" s="1"/>
  <c r="E352" i="59"/>
  <c r="E338" i="59"/>
  <c r="D331" i="59"/>
  <c r="D330" i="59"/>
  <c r="D328" i="59" s="1"/>
  <c r="E328" i="59"/>
  <c r="D313" i="59"/>
  <c r="H312" i="59"/>
  <c r="H264" i="59" s="1"/>
  <c r="G312" i="59"/>
  <c r="F312" i="59"/>
  <c r="E312" i="59"/>
  <c r="D306" i="59"/>
  <c r="D304" i="59" s="1"/>
  <c r="E304" i="59"/>
  <c r="D299" i="59"/>
  <c r="D298" i="59"/>
  <c r="D296" i="59" s="1"/>
  <c r="D291" i="59"/>
  <c r="D290" i="59"/>
  <c r="E288" i="59"/>
  <c r="D284" i="59"/>
  <c r="D283" i="59"/>
  <c r="D275" i="59"/>
  <c r="D272" i="59" s="1"/>
  <c r="D274" i="59"/>
  <c r="E272" i="59"/>
  <c r="D252" i="59"/>
  <c r="D250" i="59"/>
  <c r="D167" i="59"/>
  <c r="G164" i="59"/>
  <c r="F164" i="59"/>
  <c r="H158" i="59"/>
  <c r="H156" i="59" s="1"/>
  <c r="F156" i="59"/>
  <c r="H150" i="59"/>
  <c r="I148" i="59"/>
  <c r="I116" i="59" s="1"/>
  <c r="I1056" i="59" s="1"/>
  <c r="D142" i="59"/>
  <c r="D140" i="59" s="1"/>
  <c r="E140" i="59"/>
  <c r="D134" i="59"/>
  <c r="D132" i="59" s="1"/>
  <c r="F132" i="59"/>
  <c r="E132" i="59"/>
  <c r="F124" i="59"/>
  <c r="D80" i="59"/>
  <c r="D78" i="59" s="1"/>
  <c r="I78" i="59"/>
  <c r="I14" i="59"/>
  <c r="H78" i="59"/>
  <c r="H14" i="59" s="1"/>
  <c r="D72" i="59"/>
  <c r="D70" i="59" s="1"/>
  <c r="E70" i="59"/>
  <c r="D62" i="59"/>
  <c r="D48" i="59"/>
  <c r="D46" i="59" s="1"/>
  <c r="E46" i="59"/>
  <c r="D40" i="59"/>
  <c r="D38" i="59" s="1"/>
  <c r="G38" i="59"/>
  <c r="G14" i="59"/>
  <c r="F38" i="59"/>
  <c r="D32" i="59"/>
  <c r="D30" i="59" s="1"/>
  <c r="D24" i="59"/>
  <c r="D22" i="59"/>
  <c r="F22" i="59"/>
  <c r="F14" i="59" s="1"/>
  <c r="E22" i="59"/>
  <c r="D338" i="59"/>
  <c r="D336" i="59"/>
  <c r="D166" i="59"/>
  <c r="D164" i="59"/>
  <c r="D150" i="59"/>
  <c r="D148" i="59" s="1"/>
  <c r="D974" i="59"/>
  <c r="D972" i="59"/>
  <c r="D808" i="59"/>
  <c r="D806" i="59" s="1"/>
  <c r="E336" i="59"/>
  <c r="G1060" i="59"/>
  <c r="E164" i="59"/>
  <c r="I1058" i="59"/>
  <c r="D980" i="59"/>
  <c r="E980" i="59"/>
  <c r="D486" i="59"/>
  <c r="D546" i="59"/>
  <c r="D720" i="59"/>
  <c r="D288" i="59"/>
  <c r="D766" i="59"/>
  <c r="D782" i="59"/>
  <c r="E806" i="59"/>
  <c r="D822" i="59"/>
  <c r="E1060" i="59"/>
  <c r="H148" i="59"/>
  <c r="H116" i="59" s="1"/>
  <c r="H1056" i="59" s="1"/>
  <c r="E758" i="59"/>
  <c r="E296" i="59"/>
  <c r="F288" i="59"/>
  <c r="F264" i="59" s="1"/>
  <c r="D1057" i="59" l="1"/>
  <c r="D190" i="59"/>
  <c r="F118" i="59"/>
  <c r="E862" i="59"/>
  <c r="D1044" i="59"/>
  <c r="D1042" i="59" s="1"/>
  <c r="D126" i="59"/>
  <c r="D124" i="59" s="1"/>
  <c r="E16" i="59"/>
  <c r="D998" i="59"/>
  <c r="D996" i="59" s="1"/>
  <c r="E966" i="59"/>
  <c r="D966" i="59" s="1"/>
  <c r="D964" i="59" s="1"/>
  <c r="D745" i="59"/>
  <c r="D742" i="59" s="1"/>
  <c r="E1061" i="59"/>
  <c r="D1061" i="59" s="1"/>
  <c r="E830" i="59"/>
  <c r="E742" i="59" s="1"/>
  <c r="F1060" i="59"/>
  <c r="H118" i="59"/>
  <c r="H1058" i="59" s="1"/>
  <c r="E264" i="59"/>
  <c r="D282" i="59"/>
  <c r="D280" i="59" s="1"/>
  <c r="G264" i="59"/>
  <c r="E266" i="59"/>
  <c r="D266" i="59" s="1"/>
  <c r="E577" i="59"/>
  <c r="E560" i="59" s="1"/>
  <c r="E585" i="59"/>
  <c r="E846" i="59"/>
  <c r="E212" i="59"/>
  <c r="D212" i="59" s="1"/>
  <c r="E674" i="59"/>
  <c r="E592" i="59" s="1"/>
  <c r="E430" i="59"/>
  <c r="E422" i="59" s="1"/>
  <c r="D512" i="59"/>
  <c r="D510" i="59" s="1"/>
  <c r="E54" i="59"/>
  <c r="E14" i="59" s="1"/>
  <c r="E118" i="59"/>
  <c r="E244" i="59"/>
  <c r="D244" i="59" s="1"/>
  <c r="D242" i="59" s="1"/>
  <c r="D1060" i="59"/>
  <c r="D660" i="59"/>
  <c r="D658" i="59" s="1"/>
  <c r="E1036" i="59"/>
  <c r="D1036" i="59" s="1"/>
  <c r="D1034" i="59" s="1"/>
  <c r="E424" i="59"/>
  <c r="D424" i="59" s="1"/>
  <c r="D422" i="59" s="1"/>
  <c r="D158" i="59"/>
  <c r="D156" i="59" s="1"/>
  <c r="D265" i="59"/>
  <c r="E62" i="59"/>
  <c r="G156" i="59"/>
  <c r="G116" i="59" s="1"/>
  <c r="G1056" i="59" s="1"/>
  <c r="E563" i="59"/>
  <c r="D752" i="59"/>
  <c r="D750" i="59" s="1"/>
  <c r="D774" i="59"/>
  <c r="E996" i="59"/>
  <c r="E964" i="59" s="1"/>
  <c r="F16" i="59"/>
  <c r="F1058" i="59" s="1"/>
  <c r="F188" i="59"/>
  <c r="E594" i="59"/>
  <c r="D594" i="59" s="1"/>
  <c r="D592" i="59" s="1"/>
  <c r="E116" i="59" l="1"/>
  <c r="E1056" i="59" s="1"/>
  <c r="D188" i="59"/>
  <c r="F116" i="59"/>
  <c r="F1056" i="59" s="1"/>
  <c r="D264" i="59"/>
  <c r="D118" i="59"/>
  <c r="D116" i="59" s="1"/>
  <c r="D16" i="59"/>
  <c r="D14" i="59" s="1"/>
  <c r="E1058" i="59"/>
  <c r="D1058" i="59" s="1"/>
  <c r="D563" i="59"/>
  <c r="D560" i="59" s="1"/>
  <c r="E1059" i="59"/>
  <c r="D1059" i="59" s="1"/>
  <c r="D1056" i="59" s="1"/>
</calcChain>
</file>

<file path=xl/sharedStrings.xml><?xml version="1.0" encoding="utf-8"?>
<sst xmlns="http://schemas.openxmlformats.org/spreadsheetml/2006/main" count="2429" uniqueCount="705">
  <si>
    <t>федеральный бюджет</t>
  </si>
  <si>
    <t>краевой бюджет</t>
  </si>
  <si>
    <t>местные бюджеты</t>
  </si>
  <si>
    <t>внебюджетные источники</t>
  </si>
  <si>
    <t xml:space="preserve">мощность </t>
  </si>
  <si>
    <t>Итого</t>
  </si>
  <si>
    <t>наличие ПД</t>
  </si>
  <si>
    <t>переходящий</t>
  </si>
  <si>
    <t>соглашение</t>
  </si>
  <si>
    <t>муниципальная</t>
  </si>
  <si>
    <t>Петропавловск-Камчатский городской округ</t>
  </si>
  <si>
    <t>региональная</t>
  </si>
  <si>
    <t>Елизовский муниципальный район</t>
  </si>
  <si>
    <t>Мильковский муниципальный район</t>
  </si>
  <si>
    <t>Усть-Камчатский муниципальный район</t>
  </si>
  <si>
    <t>Быстринский муниципальный район</t>
  </si>
  <si>
    <t>Министерство строительства Камчатского края</t>
  </si>
  <si>
    <t>Пенжинский муниципальный район</t>
  </si>
  <si>
    <t xml:space="preserve">муниципальная </t>
  </si>
  <si>
    <t>вновь начинаемый</t>
  </si>
  <si>
    <t>Министерство транспорта и дорожного строительства Камчатского края</t>
  </si>
  <si>
    <t>КГКУ "Управление автомобильных дорог Камчатского края"</t>
  </si>
  <si>
    <t>Министерство ЖКХ и энергетики Камчатского края</t>
  </si>
  <si>
    <t>Министерство сельского хозяйства, пищевой и перерабатывающей промышленности Камчатского края</t>
  </si>
  <si>
    <t>Агентство по ветеринарии Камчатского края</t>
  </si>
  <si>
    <t>Министерство здравоохранения Камчатского края</t>
  </si>
  <si>
    <t>Предельные объемы денежных средств, направляемых на реализацию объекта Инвестиционной программы, в разрезе источников финансирования на очередной финансовый год, плановый и прогнозный периоды</t>
  </si>
  <si>
    <t>Приобретение жилых помещений в собственность Камчатского края для обеспечения служебными жилыми помещениями медицинских работников здравоохранения Камчатского края</t>
  </si>
  <si>
    <t>200 мест</t>
  </si>
  <si>
    <t>260 мест</t>
  </si>
  <si>
    <t>Министерство социального развития и труда Камчатского края</t>
  </si>
  <si>
    <t>1.</t>
  </si>
  <si>
    <t>1.1.</t>
  </si>
  <si>
    <t>1.2.</t>
  </si>
  <si>
    <t>1.3.</t>
  </si>
  <si>
    <t>1.4.</t>
  </si>
  <si>
    <t>1.5.</t>
  </si>
  <si>
    <t>1.6.</t>
  </si>
  <si>
    <t>2.</t>
  </si>
  <si>
    <t>3.</t>
  </si>
  <si>
    <t>2.1.</t>
  </si>
  <si>
    <t>2.2.</t>
  </si>
  <si>
    <t>2.3.</t>
  </si>
  <si>
    <t>2.4.</t>
  </si>
  <si>
    <t>3.1.</t>
  </si>
  <si>
    <t>4.</t>
  </si>
  <si>
    <t>4.1.</t>
  </si>
  <si>
    <t>4.2.</t>
  </si>
  <si>
    <t>4.3.</t>
  </si>
  <si>
    <t>4.4.</t>
  </si>
  <si>
    <t>4.5.</t>
  </si>
  <si>
    <t>4.6.</t>
  </si>
  <si>
    <t>4.7.</t>
  </si>
  <si>
    <t>5.</t>
  </si>
  <si>
    <t>5.1.</t>
  </si>
  <si>
    <t>5.2.</t>
  </si>
  <si>
    <t>8.</t>
  </si>
  <si>
    <t>8.1.</t>
  </si>
  <si>
    <t>8.2.</t>
  </si>
  <si>
    <t>9.</t>
  </si>
  <si>
    <t>9.1.</t>
  </si>
  <si>
    <t>10.</t>
  </si>
  <si>
    <t>13.</t>
  </si>
  <si>
    <t>13.1.</t>
  </si>
  <si>
    <t>4251,3 м2</t>
  </si>
  <si>
    <t>80 коек</t>
  </si>
  <si>
    <t>администрация Петропавловск-Камчатского городского округа</t>
  </si>
  <si>
    <t>администрация Усть-Камчатского муниципального района</t>
  </si>
  <si>
    <t>1 ед.</t>
  </si>
  <si>
    <t xml:space="preserve">Городской округ «посёлок Палана» 
</t>
  </si>
  <si>
    <t>Обеспечение  жильем эконом-класса специалистов социальной сферы, а также граждан стоящих в очереди на улучшении жилищных условий</t>
  </si>
  <si>
    <t>2015 год</t>
  </si>
  <si>
    <t>2016 год</t>
  </si>
  <si>
    <t>2017 год</t>
  </si>
  <si>
    <t>2018 год</t>
  </si>
  <si>
    <t>6.</t>
  </si>
  <si>
    <t>6.1.</t>
  </si>
  <si>
    <t>7.</t>
  </si>
  <si>
    <t>7.1.</t>
  </si>
  <si>
    <t>9.3.</t>
  </si>
  <si>
    <t>12.</t>
  </si>
  <si>
    <t>12.1.</t>
  </si>
  <si>
    <t>14.</t>
  </si>
  <si>
    <t>14.1.</t>
  </si>
  <si>
    <t>положительное заключение гос.экспертизы от 25.09.2013 № 41-1-4-0085-13   От 26.09.2013 № 41-1-6-0086-13</t>
  </si>
  <si>
    <t>муниципальные образования в Камчатском крае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</si>
  <si>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</si>
  <si>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 в объекты капитального строительства государственной (муниципальной) собственности</t>
  </si>
  <si>
    <t>субсидии на софинансирование  капитальных вложений в объекты государственной (муниципальной) собственности</t>
  </si>
  <si>
    <t>субсидии на софинансирование капитальных вложений в объекты государственной (муниципальной) собственности</t>
  </si>
  <si>
    <t>Министерство имущественных и земельных отношений Камчатского края</t>
  </si>
  <si>
    <t>2120,0 м2</t>
  </si>
  <si>
    <t>ГУП КК "Камчатстройэнергосервис"</t>
  </si>
  <si>
    <t>администрации муниципальных образований в Камчатском крае</t>
  </si>
  <si>
    <t>МКУ "Управление капитального строительства и ремонта" администрации ПКГО</t>
  </si>
  <si>
    <t>получатель средств краевого бюджета</t>
  </si>
  <si>
    <t>2019 год</t>
  </si>
  <si>
    <t>положительное заключение гос.экспертизы от 20.06.2012  №41-1-6-0018-12, от 20.06.2012 № 41-1-4-0074-12</t>
  </si>
  <si>
    <t>88 377,019 тыс.рублей</t>
  </si>
  <si>
    <t>положительное заключение гос.экспертизы от 28.01.2014 № 41-1-5-0005-14</t>
  </si>
  <si>
    <t>Переселение граждан из аварийных жилых домов и непригодных для проживания жилых помещений в соответствии с жилищным законодательством</t>
  </si>
  <si>
    <t>250 мест 4208,3 м2</t>
  </si>
  <si>
    <t>62 чел/час 4850,7 м2</t>
  </si>
  <si>
    <t>Капитальные вложения в основные средства ГУП "Камчатстройэнергосервис" на строительство, реконструкцию помещений в ДОЛ им.Ю.Гагарина</t>
  </si>
  <si>
    <t>Строительство линии наружного освещения на автомобильной дороге Петропавловск-Камчатский - Мильково на участке км 12 - км 24</t>
  </si>
  <si>
    <t>314 586,22 тыс.рублей</t>
  </si>
  <si>
    <t>КГКУ "ЦОД"</t>
  </si>
  <si>
    <t xml:space="preserve">приобретение проектной и рабочей документации </t>
  </si>
  <si>
    <t>71 384,457 тыс.рублей</t>
  </si>
  <si>
    <t>Министерство культуры Камчатского края</t>
  </si>
  <si>
    <t>положительное заключение гос.экспертизы от 29.07.2013 № 41-1-5-0062-13</t>
  </si>
  <si>
    <t>государственный (муниципальный) заказчик Камчатского  края</t>
  </si>
  <si>
    <t>администрация Мильковского муниципального района</t>
  </si>
  <si>
    <t>11.</t>
  </si>
  <si>
    <t>11.1.</t>
  </si>
  <si>
    <t>администрация городского округа «посёлок Палана»</t>
  </si>
  <si>
    <t xml:space="preserve">Городской округ «посёлок Палана» </t>
  </si>
  <si>
    <t>способ финансового обеспечения осуществления капитальных вложений</t>
  </si>
  <si>
    <t>разработка проектной документации</t>
  </si>
  <si>
    <t>2020 год</t>
  </si>
  <si>
    <t>срок ввода в эксплуатацию и/или нормативный срок реализации объекта Инвестиционной программы</t>
  </si>
  <si>
    <t>срок подготовки проектной документации (в случае, если бюджетные ассигнования предусматривается на разработку проектной документации и проведение инженерных изысканий, необходимых для подготовки такой документации)</t>
  </si>
  <si>
    <t>застройщик (в отношении объектов Инвестиционной программы государственной собственности Камчатского края, собственности муниципальных образований)</t>
  </si>
  <si>
    <t>форма собственности</t>
  </si>
  <si>
    <t>наименование муниципального образования (муниципальных образований), на территории (ях) которого (ых) расположен (ы) объект (ы) Инвестиционной программы</t>
  </si>
  <si>
    <t>Детский сад на 200 мест в  п. Ключи Усть-Камчатского района</t>
  </si>
  <si>
    <t>500 000,00 тыс.рублей</t>
  </si>
  <si>
    <t>Сейсмоусиление здания (Литер А) средней общеобразовательной школы № 3 в п. Усть-Камчатск (II этап)</t>
  </si>
  <si>
    <t>Канализационная насосная станция № 15 в г. Петропавловске-Камчатском</t>
  </si>
  <si>
    <t>208 985,6 тыс.рублей</t>
  </si>
  <si>
    <t>Соглашение № 8 от 28.02.2014   Соглашение № 23 т 02.03.2015</t>
  </si>
  <si>
    <t>положительное заключение гос.экспертизы от 22.12.2014 № 41-1-5-0125-14; от 24.12.2014 № 41-1-6-0061-14</t>
  </si>
  <si>
    <t>Новолесновское сельского поселение</t>
  </si>
  <si>
    <t>администрация Новолесновского сельского поселения</t>
  </si>
  <si>
    <t>Сейсмоусиление зданий центра ГБУЗ "Камчатский краевой психоневрологический диспансер" по ул. Карагинская, 22 в г. Петропавловске-Камчатском</t>
  </si>
  <si>
    <t>Эссовское сельское поселение</t>
  </si>
  <si>
    <t>Реконструкция здания, расположенного по адресу: Камчатский край, Тигильский район, пгт. Палана, ул. Поротова д. 24</t>
  </si>
  <si>
    <t>Камчатский театр кукол г. Петропавловск-Камчатский</t>
  </si>
  <si>
    <t>1 625 869,68000 тыс.рублей</t>
  </si>
  <si>
    <t>290 мест</t>
  </si>
  <si>
    <t xml:space="preserve">администрация Петропавловск-Камчатского городского округа </t>
  </si>
  <si>
    <t>Положительное заключение ГАУ "Государственная экспертиза проектной документации Камчатского края"  №41-1-3-0013-15 от 27.02.2015</t>
  </si>
  <si>
    <t>Аппарат Губернатора и Правительства Камчатского края</t>
  </si>
  <si>
    <t>5 ед.</t>
  </si>
  <si>
    <t xml:space="preserve">Администрация Елизовского муниципального района </t>
  </si>
  <si>
    <t xml:space="preserve">2017 год, 2 года </t>
  </si>
  <si>
    <t xml:space="preserve">переходящий </t>
  </si>
  <si>
    <t>Строительство автомобильной дороги "Подъезд к агропарку" площадка № 3 "Зеленовские озерки" (в том числе разработка проектной документации, прохождение государственной экспертизы)</t>
  </si>
  <si>
    <t>1,0 км</t>
  </si>
  <si>
    <t xml:space="preserve"> вновь начинаемый </t>
  </si>
  <si>
    <t>1,7 км</t>
  </si>
  <si>
    <t>3,0 км</t>
  </si>
  <si>
    <t>12.2.</t>
  </si>
  <si>
    <t xml:space="preserve">Строительство 40-квартирного жилого дома по ул. Строительная в с. Мильково
</t>
  </si>
  <si>
    <t>2376,2 м2</t>
  </si>
  <si>
    <t>2017 год, 1 год</t>
  </si>
  <si>
    <t xml:space="preserve">2018 год, 3 года </t>
  </si>
  <si>
    <t>2017 год, 3 года</t>
  </si>
  <si>
    <t>1. Оздоровительный центр для детей и молодежи-№41-1-5-0030-14 от 15.04.2014;  2.Спальные корпуса "В"и "Г"-№41-1-4-0060-15 от 06.08.2015</t>
  </si>
  <si>
    <t>КГКУ "Единая дирекция по строительству"</t>
  </si>
  <si>
    <t>753 196,44 тыс.рублей</t>
  </si>
  <si>
    <t>2018 год, 5 лет</t>
  </si>
  <si>
    <t>2018 год, 4 года</t>
  </si>
  <si>
    <t>6708,1 м2</t>
  </si>
  <si>
    <t>18,0128 км / 146,35 п.м.</t>
  </si>
  <si>
    <t>11,188 км</t>
  </si>
  <si>
    <t>104 075,478 тыс.рублей</t>
  </si>
  <si>
    <t>положительное заключение гос.экспертизы от 09.11.2015 №41-1-5-0089-15</t>
  </si>
  <si>
    <t>15,859 км / 79,67 п.м.</t>
  </si>
  <si>
    <t>Реконструкция автомобильной дороги Петропавловск-Камчатский - Мильково на участке км 208 - км 219</t>
  </si>
  <si>
    <t>Реконструкция автомобильной дороги Петропавловск-Камчатский - Мильково на участке км 220 - км 230</t>
  </si>
  <si>
    <t>Строительство автозимника продленного действия  Анавгай - Палана на участке км 0 - км 16</t>
  </si>
  <si>
    <t>положительное заключение гос. экспертизы ПД от 30.09.2015 №  41-1-5-0081-15, достоверность сметной стоимости от 06.10.2015 № 1-1-6-0039-15</t>
  </si>
  <si>
    <t>(2018 год, 5 лет)   2017 год, 4 года</t>
  </si>
  <si>
    <t>2 540 509,25637 тыс.рублей</t>
  </si>
  <si>
    <t>Подключение (присоединение) к сетям инженерно-технического обеспечения. Реконструкция сетей централизованного теплоснабжения и холодного водоснабжения  улиц Березовая, Зеленая, Южная, Кедровая, пер. Медвежий угол, ул. им. Девяткина, ул. Линейная с. Эссо Быстринского района Камчатского края (в том числе проектные работы)</t>
  </si>
  <si>
    <t>40 653,480 тыс.руб.</t>
  </si>
  <si>
    <t>приобретение</t>
  </si>
  <si>
    <t>Группа жилой застройки в границах ул. Свердлова, ул. Хуторская в г. Елизово Камчатского края</t>
  </si>
  <si>
    <t>КГКУ "Служба заказчика Министерства строительства Камчатского края"</t>
  </si>
  <si>
    <t>Министерство специальных программ и по делам казачества Камчатского края</t>
  </si>
  <si>
    <t>400 мест</t>
  </si>
  <si>
    <t>90 мест</t>
  </si>
  <si>
    <t>положительное заключение гос.экспертизы  № 41-1-5-0077-15 от 17.09.2015</t>
  </si>
  <si>
    <t xml:space="preserve">10,974 км </t>
  </si>
  <si>
    <t>положительное заключение гос. экспертизы № 41-1-1-3-0039-16 от 14.06.2016</t>
  </si>
  <si>
    <t xml:space="preserve">11,995 км </t>
  </si>
  <si>
    <t>положительное заключение гос. экспертизы № 41-1-1-3-0041-16 от 14.06.2016</t>
  </si>
  <si>
    <t>10,983 км / 76,25 п.м.</t>
  </si>
  <si>
    <t>положительное заключение гос. экспертизы № 41-1-1-3-0040-16 от 14.06.2016</t>
  </si>
  <si>
    <t>положительное заключение гос. экспертизы № 41-1-1-3-0042-16 от 17.06.2016</t>
  </si>
  <si>
    <t>Микрорайон жилой застройки в районе Северо-Восточного шоссе, г. Петропавловска-Камчатского (2 очередь). Детский сад на 260 мест по ул. Дальневосточной</t>
  </si>
  <si>
    <t>положительное заключение гос. экспертизы ПД от 16.06.2016 №  41-1-1-3-0043-16, достоверность сметной стоимости от 07.07.2016 № 2-1-6-0034-16</t>
  </si>
  <si>
    <t>Инвестиционная программа Камчатского края на 2017 год и на плановый период 2018-2019 годов и прогнозный период 2020-2021 годов</t>
  </si>
  <si>
    <t>сметная стоимость в ценах соответствующих лет или предполагаемая (предельная) стоимость, либо стоимость приобретения</t>
  </si>
  <si>
    <t>статус 
(разработка проектной документации, вновь начинаемый, переходящий, приобретение)</t>
  </si>
  <si>
    <t>Государственная программа Камчатского края "Развитие здравоохранения Камчатского края"</t>
  </si>
  <si>
    <t>2021 год</t>
  </si>
  <si>
    <t xml:space="preserve"> 2021 год</t>
  </si>
  <si>
    <t xml:space="preserve">Государственная программа Камчатского края "Развитие здравоохранения Камчатского края". Подпрограмма "Кадровое обеспечение системы здравоохранения". </t>
  </si>
  <si>
    <t xml:space="preserve">Государственная программа Камчатского края "Развитие здравоохранения Камчатского края". Подпрограмма "Инвестиционные мероприятия в здравоохранении Камчатского края". </t>
  </si>
  <si>
    <t>Пенжинский муниципальный район в Камчатском крае</t>
  </si>
  <si>
    <t>65 000,00 тыс. рублей</t>
  </si>
  <si>
    <t xml:space="preserve">Проектная документация готова. Государственная экспертиза не требуется. Проектная документация проходит экспертизу на достоверность сметной стоимости. </t>
  </si>
  <si>
    <t>Строительство фельдшерско-акушерского пункта, расположенного в  Камчатском крае Пенжинском муниципальном  районе с. Аянка</t>
  </si>
  <si>
    <t>Строительство фельдшерско-акушерских пунктов, расположенных в  Камчатском крае Пенжинском муниципальном  районе с. Слаутное</t>
  </si>
  <si>
    <t>70 050,00 тыс. рублей</t>
  </si>
  <si>
    <t>Соболевский муниципальный район в Камчатском крае</t>
  </si>
  <si>
    <t>проектирование</t>
  </si>
  <si>
    <t xml:space="preserve">Строительство корпуса паллиативной медицинской помощи на 80 коек </t>
  </si>
  <si>
    <t>1 234 087,50 тыс.рублей,
(885 096,80-2 кв. 2015)</t>
  </si>
  <si>
    <t xml:space="preserve"> положительное заключение государственной экспертизы Камчатского края от 30.04.2015 № № 41-1-4-0029-15,  положительное заключение определения сметной стоимости от 06.05.2016 № 1-1-6-0008-16</t>
  </si>
  <si>
    <t>2022 год</t>
  </si>
  <si>
    <t>2023 год</t>
  </si>
  <si>
    <t>Государственная программа Камчатского края  "Развитие образования в Камчатском крае"</t>
  </si>
  <si>
    <t xml:space="preserve">Государственная программа Камчатского края  "Развитие образования в Камчатском крае". Подпрограмма "Развитие дошкольного, общего образования и дополнительного образования детей в Камчатском крае". </t>
  </si>
  <si>
    <t xml:space="preserve">334 611,650-1 кв. 2015 / 
354 250,00 тыс.рублей </t>
  </si>
  <si>
    <t>430 000, 00 тыс.рублей</t>
  </si>
  <si>
    <t>положительное заключение гос.экспертизы от 29.05.2012 № 41-1-5-0061-12, положительное заключение гос.экспертизы ССР от 13.04.2016 № 1-1-6-0004-16</t>
  </si>
  <si>
    <t>Сельский учебный комплекс "Школа - детский сад" в с.Таловка Пенжинского района на 60 ученических и 30 дошкольных мест (проектные работы)</t>
  </si>
  <si>
    <t xml:space="preserve">2019 год, 5лет  
 (2017 год, 3 года)                                                                    </t>
  </si>
  <si>
    <t>336 020,00 тыс.рублей</t>
  </si>
  <si>
    <t xml:space="preserve">ведется проектирование </t>
  </si>
  <si>
    <t>(2017 год) 
2015 год</t>
  </si>
  <si>
    <t>Сельский учебный комплекс "Школа - детский сад" в с.Таловка Пенжинского района на 60 ученических и 30 дошкольных мест</t>
  </si>
  <si>
    <t>Государственная программа Камчатского края "Социальная поддержка граждан в Камчатском крае"</t>
  </si>
  <si>
    <t>Государственная программа Камчатского края "Обеспечение доступным и комфортным жильем жителей Камчатского края"</t>
  </si>
  <si>
    <t>Прокладка и подключение инженерных сетей (водопровод, электросети) для обеспечения микрорайона жилой застройки для индивидуального строительства в п. Лесной Елизовского района, в том числе для многодетных семей (2 очередь)(в том числе проектные работы)</t>
  </si>
  <si>
    <t>сети водоснабжения - 350 м/п</t>
  </si>
  <si>
    <t>16 335,371 тыс. рублей</t>
  </si>
  <si>
    <t>Переселение граждан из аварийного жилищного фонда в Камчатском крае в соответствии с жилищным законодательством</t>
  </si>
  <si>
    <t xml:space="preserve">Государственная программа Камчатского края "Обеспечение доступным и комфортным жильем жителей Камчатского края". Подпрограмма "Адресная программа по переселению граждан из аварийного жилищного фонда в Камчатском крае". </t>
  </si>
  <si>
    <t>Государственная программа Камчатского края "Обеспечение доступным и комфортным жильем жителей Камчатского края". Подпрограмма "Переселение граждан из аварийных жилых домов и непригодных для проживания жилых помещений в Камчатском крае"</t>
  </si>
  <si>
    <t>ФЦП "Повышение устойчивости жилых домов, основных объектов и систем жизнеобеспечения в сейсмических районах Российской Федерации на 2009 - 2018 годы" / Государственная программа Камчатского края "Обеспечение доступным и комфортным жильем жителей Камчатского края". Подпрограмма "Повышение устойчивости жилых домов, основных объектов и систем жизнеобеспечения в Камчатском крае".</t>
  </si>
  <si>
    <t>Государственная программа Камчатского края "Обеспечение доступным и комфортным жильем жителей Камчатского края". Подпрограмма "Повышение устойчивости жилых домов, основных объектов и систем жизнеобеспечения в Камчатском крае".</t>
  </si>
  <si>
    <t xml:space="preserve">2020 год, 5 лет
(2018 год, 3 года)                                      </t>
  </si>
  <si>
    <t xml:space="preserve">положительное заключение гос.экспертизы от 26.05.2015 № 41-1-5-0038-15
от 27.05.2015 № 1-1-6-0022-15 </t>
  </si>
  <si>
    <t xml:space="preserve"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территорий". Подпрограмма "Чистая вода в Камчатском крае". </t>
  </si>
  <si>
    <t>5 980,0
п.м</t>
  </si>
  <si>
    <t>Администрация Эссовского  сельского поселения</t>
  </si>
  <si>
    <t>285 494,571/
256 565,354</t>
  </si>
  <si>
    <t>Вновь начинаемый</t>
  </si>
  <si>
    <t>2018 год
(2017 год)</t>
  </si>
  <si>
    <t>Реконструкция канализационных очистных сооружений "Чавыча" (в том числе проектные работы и государственная экспертиза проектной документации)</t>
  </si>
  <si>
    <t>50 000 м3/сут</t>
  </si>
  <si>
    <t>2 227 933,70/
1 720 668,78</t>
  </si>
  <si>
    <t>ПД на стадии прохождения государственной экспертизы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</si>
  <si>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территорий"</t>
  </si>
  <si>
    <t xml:space="preserve">повторно примененный проект </t>
  </si>
  <si>
    <t>Строительство пожарного депо на 2 выезда в г. Елизово (1 очередь) (в том числе технологическое присоединение)</t>
  </si>
  <si>
    <t>Государственная программа Камчатского края "Развитие внутреннего и въездного туризма в Камчатском крае"</t>
  </si>
  <si>
    <t xml:space="preserve">Государственная программа Камчатского края "Развитие внутреннего и въездного туризма в Камчатском крае". Подпрограмма "Создание и развитие туристской инфраструктуры в Камчатском крае". </t>
  </si>
  <si>
    <t>130 785,0 тыс.руб.</t>
  </si>
  <si>
    <t>2019 год, 3 года
(2018 год, 2 года)</t>
  </si>
  <si>
    <t>Государственная программа Камчатского края "Развитие культуры в Камчатском крае"</t>
  </si>
  <si>
    <t>2022 год, 7 лет
(2021 год, 6 лет)</t>
  </si>
  <si>
    <t>354 123,24 /325 768,02 тыс.рублей</t>
  </si>
  <si>
    <t>2019 год
(2018 год)</t>
  </si>
  <si>
    <t>Государственная программа Камчатского края "Физическая культура, спорт, молодежная политика, отдых и оздоровление детей в Камчатском крае"</t>
  </si>
  <si>
    <t>Стадион "Спартак" в г. Петропавловск-Камчатский (в том числе проектные работы)</t>
  </si>
  <si>
    <t>Государственная программа Камчатского края "Физическая культура, спорт, молодежная политика, отдых и оздоровление детей в Камчатском крае". Подпрограмма "Развитие инфраструктуры для занятий физической культурой и спортом".</t>
  </si>
  <si>
    <t>1516 зрительских мест на трибунах           74 161 м2</t>
  </si>
  <si>
    <t>2016-2017 год</t>
  </si>
  <si>
    <t>Ведется проектирование</t>
  </si>
  <si>
    <t>Строительство физкультурно-оздоровительного комплекса в  с. Мильково.  Камчатский край, с. Мильково</t>
  </si>
  <si>
    <t xml:space="preserve">Государственная программа Камчатского края "Физическая культура, спорт, молодежная политика, отдых и оздоровление детей в Камчатском крае". Подпрограмма "Организация отдыха, оздоровления и занятости детей и молодежи в Камчатском крае". </t>
  </si>
  <si>
    <t>817 712,00 тыс.рублей</t>
  </si>
  <si>
    <t>от 16.05.2016</t>
  </si>
  <si>
    <t>Государственная программа Камчатского края "Охрана окружающей среды, воспроизводство и использование природных ресурсов в Камчатском крае"</t>
  </si>
  <si>
    <t>Государственная программа Камчатского края "Охрана окружающей среды, воспроизводство и использование природных ресурсов в Камчатском крае". Подпрограмма "Обращение с отходами производства и потребления в Камчатском крае"</t>
  </si>
  <si>
    <t>Государственная программа Камчатского края "Развитие транспортной системы в Камчатском крае"</t>
  </si>
  <si>
    <t xml:space="preserve">Государственная программа Камчатского края "Развитие транспортной системы в Камчатском крае". Подпрограмма "Развитие дорожного хозяйства". </t>
  </si>
  <si>
    <t>98 283,60 тыс.рублей</t>
  </si>
  <si>
    <t>Строительство автомобильной дороги "Подъезд к б/о "Зеленовские озерки"  площадка № 3 "Зеленовские озерки"  (в том числе разработка проектной документации, прохождение государственной экспертизы)</t>
  </si>
  <si>
    <t>190 870,29 тыс.рублей</t>
  </si>
  <si>
    <t>Строительство автомобильной дороги "Подъезд к гостинице "Авача"  (в том числе разработка проектной документации, прохождение государственной экспертизы)</t>
  </si>
  <si>
    <t>302 688,05 тыс.рублей</t>
  </si>
  <si>
    <t>Строительство линии наружного освещения автомобильной дороги "Подъезд к агропарку" площадка № 3 "Зеленовские озерки" (в том числе разработка проектной документации)</t>
  </si>
  <si>
    <t>1 854,5455 тыс.рублей</t>
  </si>
  <si>
    <t>Строительство линии наружного освещения автомобильной дороги "Подъезд к б/о "Зеленовские озерки" площадка № 3 "Зеленовские озерки" (в том числе разработка проектной документации)</t>
  </si>
  <si>
    <t>3 152,7273 тыс.рублей</t>
  </si>
  <si>
    <t>Строительство линии наружного освещения автомобильной дороги "Подъезд к гостинице "Авача" (в том числе разработка проектной документации)</t>
  </si>
  <si>
    <t>5 563,6364 тыс.рублей</t>
  </si>
  <si>
    <t>Строительство основной дороги туристическо-рекреационного комплекса "Паратунка" (3 км), съездов к участкам</t>
  </si>
  <si>
    <t>491 358,40 тыс.рублей</t>
  </si>
  <si>
    <t>Реконструкция автомобильной дороги Петропавловск-Камчатский - Мильково на участке км 231 - км 249</t>
  </si>
  <si>
    <t>Реконструкция автомобильной дороги Петропавловск-Камчатский - Мильково на участке км 171- км 181</t>
  </si>
  <si>
    <t>Строительство автостанции в с. Мильково Камчатского края</t>
  </si>
  <si>
    <t>Государственная программа Камчатского края "Развитие транспортной системы в Камчатском крае". Подпрограмма "Развитие пассажирского автомобильного транспорта"</t>
  </si>
  <si>
    <t>Общая площадь здания 388,52 м2
до 250 чел в сутки</t>
  </si>
  <si>
    <t>92 182,87 тыс.рублей</t>
  </si>
  <si>
    <t>соглашение в наличии</t>
  </si>
  <si>
    <t>положительное заключение ГЭ № 41-1-5-0111-15 от 29.12.2015</t>
  </si>
  <si>
    <t>11.2.</t>
  </si>
  <si>
    <t>11.4.</t>
  </si>
  <si>
    <t>11.3.</t>
  </si>
  <si>
    <t>11.5.</t>
  </si>
  <si>
    <t>11.6.</t>
  </si>
  <si>
    <t>11.7.</t>
  </si>
  <si>
    <t>11.8.</t>
  </si>
  <si>
    <t>11.9.</t>
  </si>
  <si>
    <t>11.10.</t>
  </si>
  <si>
    <t>11.12.</t>
  </si>
  <si>
    <t>11.13.</t>
  </si>
  <si>
    <t>11.14.</t>
  </si>
  <si>
    <t>11.15.</t>
  </si>
  <si>
    <t>11.16.</t>
  </si>
  <si>
    <t>11.17.</t>
  </si>
  <si>
    <t>Государственная программа Камчатского края "Развитие сельского хозяйства и регулирование рынков сельскохозяйственной продукции, сырья и продовольствия Камчатского края"</t>
  </si>
  <si>
    <t>Государственная программа Камчатского края "Развитие сельского хозяйства и регулирование рынков сельскохозяйственной продукции, сырья и продовольствия Камчатского края". Подпрограмма "Устойчивое развитие сельских территорий".</t>
  </si>
  <si>
    <t>4 квартал 2017 года</t>
  </si>
  <si>
    <t>156 884,715 / 132 801,16 тыс.рублей</t>
  </si>
  <si>
    <t xml:space="preserve">положительное заключение гос. экспертизы  от 19.11.2014 № 41-1-5-0103-14 </t>
  </si>
  <si>
    <t>Государственная программа Камчатского края "Развитие сельского хозяйства и регулирование рынков сельскохозяйственной продукции, сырья и продовольствия Камчатского края". Подпрограмма "Обеспечение эпизоотического и ветеринарно-санитарного благополучия".</t>
  </si>
  <si>
    <t>Комплекс правосудия в г. Петропавловске-Камчатском. Блоки 5,7. Реконструкция</t>
  </si>
  <si>
    <t>559 218,7230 тыс. руб.</t>
  </si>
  <si>
    <t>2020 год
(2019 год)</t>
  </si>
  <si>
    <t>Государственная программа Камчатского края "Социальное и экономическое развитие территории с особым статусом "Корякский округ"". Подпрограмма "Обеспечение доступным и комфортным жильем и коммунальными услугами населения Корякского округа".</t>
  </si>
  <si>
    <t>Государственная программа Камчатского края "Социальное и экономическое развитие территории с особым статусом "Корякский округ""</t>
  </si>
  <si>
    <t>Государственная программа Камчатского края "Безопасная Камчатка"</t>
  </si>
  <si>
    <t>Государственная программа Камчатского края "Безопасная Камчатка". Подпрограмма "Защита населения и территорий Камчатского края от чрезвычайных ситуаций, обеспечение пожарной безопасности и развитие гражданской обороны в Камчатском крае"</t>
  </si>
  <si>
    <t>Государственная программа Камчатского края "Совершенствование управления имуществом, находящимся в государственной собственности Камчатского края"</t>
  </si>
  <si>
    <t>Государственная программа Камчатского края "Совершенствование управления имуществом, находящимся в государственной собственности Камчатского края". Подпрограмма "Повышение эффективности управления краевым имуществом".</t>
  </si>
  <si>
    <t>510 коек/150 посещений в смену</t>
  </si>
  <si>
    <t>ГБУЗ "Камчатская краевая больница им. А.С. Лукашевского"</t>
  </si>
  <si>
    <t xml:space="preserve">Елизовский муниципальный район  </t>
  </si>
  <si>
    <t>положительное заключение гос. экспертизы от 28.08.2013 № 41-1-4-0073-13, от 30.08.2013 № 41-1-6-0076-13</t>
  </si>
  <si>
    <t>1.7.</t>
  </si>
  <si>
    <t>1.8.</t>
  </si>
  <si>
    <t xml:space="preserve">Строительство Камчатской краевой больницы (корректировка проекта)
</t>
  </si>
  <si>
    <t xml:space="preserve">Строительство Камчатской краевой больницы
</t>
  </si>
  <si>
    <t>11.11.</t>
  </si>
  <si>
    <t>9.2.</t>
  </si>
  <si>
    <t>2.5.</t>
  </si>
  <si>
    <t>положительное заключение государственной экспертизы проектной документации от 22.04.2016 № 41-1-1-3-0019-16.
 положительное заключение определения достоверности сметной стоимости от 11.07.2016 № 1-1-6-0035-16</t>
  </si>
  <si>
    <t>241 место</t>
  </si>
  <si>
    <t>641 534,632 тыс.рублей</t>
  </si>
  <si>
    <t>Агентство по обращению с отходами Камчатского края</t>
  </si>
  <si>
    <t>10.2.</t>
  </si>
  <si>
    <t xml:space="preserve">Приложение к постановлению </t>
  </si>
  <si>
    <t>2020 год, 4 года</t>
  </si>
  <si>
    <t>6,0 км</t>
  </si>
  <si>
    <t>19.10.2015 получено положительное заключение государственной экспертизы № 41-1-5-0086-15 на 1 Этап: Демонтаж. Усиление блока 5. 
14.06.2016 получено положительное заключение государственной экспертизы № 2-1-6-0020-16 на сметную часть объекта: «Комплекс правосудия в г. Петропавловске-Камчатском. Блоки 5,7. Реконструкция» 2 этап.</t>
  </si>
  <si>
    <t>Строительство скотомогильника с двумя биотермическими ямами в г. Петропавловске-Камчатском Камчатского края</t>
  </si>
  <si>
    <t>2 ямы</t>
  </si>
  <si>
    <t>4 479,61 тыс. рублей среднерыночная цена</t>
  </si>
  <si>
    <t>Проектная документация№ 565-23.11.07-2016</t>
  </si>
  <si>
    <t>Реконструкция автомобильной дороги Елизово - Паратунка на участке мостового перехода через реку Половинка</t>
  </si>
  <si>
    <t xml:space="preserve">2017 год, 4 года </t>
  </si>
  <si>
    <t>2013 год</t>
  </si>
  <si>
    <t>0,430 км/ 48,253 п.м.</t>
  </si>
  <si>
    <t>474 553,17 тыс.рублей</t>
  </si>
  <si>
    <t>положительное заключение гос. экспертизы от 29.04.2013 № 41-1-5-0131-13</t>
  </si>
  <si>
    <t>3.2.</t>
  </si>
  <si>
    <t>Дом-интернат для психически больных на 400 мест (инженерно-строительные изыскания)</t>
  </si>
  <si>
    <t>Заключение государственной экологической экспертизы утверждено приказом Управления  Росприроднадзора по Камчатскому краю от 01.08.2016 № 329-пр
Положительное заключение государственной экспертизы от 29.03.2011 № 41-1-5-0022-11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</si>
  <si>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</si>
  <si>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расходы за счет остатков средств краевого бюджета прошлых лет</t>
  </si>
  <si>
    <t>Капитальные вложения в основные средства ГУП "Камчатстройэнергосервис" на завершение строительства объекта незавершенного строительства  трехэтажного здания под краевую детскую библиотеку, расположенного по адресу: г.Петропавловск-Камчатский, ул. Владивостокская</t>
  </si>
  <si>
    <t>8.3.</t>
  </si>
  <si>
    <t>2017 год, 4 года</t>
  </si>
  <si>
    <t>121 674,210 тыс.рублей</t>
  </si>
  <si>
    <t>Капитальные вложения в основные средства ГУП "Камчатстройэнергосервис" на реконструкцию здания, расположенного по адресу: г. Петропавловск-Камчатский, ул. Владивостокская, д.2/1</t>
  </si>
  <si>
    <t>13.2.</t>
  </si>
  <si>
    <t>164 967,56 тыс.рублей</t>
  </si>
  <si>
    <t>13 624 570,0 тыс. рублей</t>
  </si>
  <si>
    <t>450 коек/150 посещений в смену</t>
  </si>
  <si>
    <t>администрация  Елизовского муниципального района</t>
  </si>
  <si>
    <t>894 260,95 тыс. рублей</t>
  </si>
  <si>
    <t>2.6.</t>
  </si>
  <si>
    <t>Строительство ПС 110/10 кв. "Тундровая" (проектные работы)</t>
  </si>
  <si>
    <t>ПС 110/10 кВ</t>
  </si>
  <si>
    <t>4.8.</t>
  </si>
  <si>
    <t>364 097,770 тыс.рублей</t>
  </si>
  <si>
    <t xml:space="preserve">Получено заключение экспертизы по технической части проекта от 29.11.2016 № 41-1-1-3-0083-16 и сметной части  от 22.12.2016 №41-1-1-0060-16. </t>
  </si>
  <si>
    <t>Микрорайон жилой застройки в районе Северо-Восточного шоссе г. Петропавловска-Камчатского (2 очередь) 3  этап</t>
  </si>
  <si>
    <t>(2016 год, 3 года)                                                2015 год, 2 года</t>
  </si>
  <si>
    <t>7846,8 м2</t>
  </si>
  <si>
    <t>488 006,094 тыс. рублей</t>
  </si>
  <si>
    <t xml:space="preserve">положительное заключение гос.экспертизы от 29.05.2012 № 41-1-5-0063-12 ,от 04.09.2012 № 41-1-6-0033-12 </t>
  </si>
  <si>
    <t>4.9.</t>
  </si>
  <si>
    <t>4.10.</t>
  </si>
  <si>
    <t>4.13.</t>
  </si>
  <si>
    <t>Сейсмоусиление здания КГБОУ ДПОРК "Камчатский учебно-методический центр" по ул. Савченко, 8/1 в г. Петропавловске-Камчатском</t>
  </si>
  <si>
    <t>820,6 м2</t>
  </si>
  <si>
    <t>21 500,00 тыс.рублей</t>
  </si>
  <si>
    <t>положительное заключение гос.экспертизы от 10.09.2015  №41-1-5-0073-15, от 23.09.2015 № 3-1-6-0038-15</t>
  </si>
  <si>
    <t>4.11.</t>
  </si>
  <si>
    <t>4.12.</t>
  </si>
  <si>
    <t>2695,0 м2</t>
  </si>
  <si>
    <t>52 204,74 тыс.рублей</t>
  </si>
  <si>
    <t xml:space="preserve">положительное заключение гос.экспертизы от 11.03.2012 № 41-1-5-0017-12 ,от 14.05.2012 № 41-1-6-0016-12 </t>
  </si>
  <si>
    <t>Сейсмоусиление здания КГБОУ СПО "Камчатский медицинский колледж" в г. Петропавловск-Камчатский</t>
  </si>
  <si>
    <t xml:space="preserve">Государственная программа Камчатского края "Обеспечение доступным и комфортным жильем жителей Камчатского края". Подпрограмма  "Обеспечение жилыми помещениями граждан отдельных категорий в Камчатском крае". </t>
  </si>
  <si>
    <t>Приобретение (строительство) жилых помещений в целях формирования специализированного жилищного фонда Камчатского края</t>
  </si>
  <si>
    <t xml:space="preserve">бюджетные инвестиции на приобретение объектов недвижимого имущества в государственную (муниципальную) </t>
  </si>
  <si>
    <t>5.3.</t>
  </si>
  <si>
    <t>Государственная программа Камчатского края "Развитие культуры в Камчатском крае". Подпрограмма "Обеспечение реализации Программы".</t>
  </si>
  <si>
    <t>корректировка проектной документации</t>
  </si>
  <si>
    <t xml:space="preserve">2017 год </t>
  </si>
  <si>
    <t xml:space="preserve">Петропавловск-Камчатский городской округ </t>
  </si>
  <si>
    <t>Строительство физкультурно-оздоровительного комплекса с плавательным бассейном, г. Петропавловск-Камчатский, ул. Океанская, 80/2 (в том числе проектные работы)</t>
  </si>
  <si>
    <t xml:space="preserve">КГБУДО «Детско-юношеская спортивная школа по футболу» </t>
  </si>
  <si>
    <t>Строительство межшкольного стадиона в г. Петропавловск-Камчатский, Камчатский край (в том числе проектные работы)</t>
  </si>
  <si>
    <t>82 чел/час</t>
  </si>
  <si>
    <t>Краевое государственное автономное учреждение «Центр спортивной подготовки Камчатского края»</t>
  </si>
  <si>
    <t>76 000,00 тыс.рублей</t>
  </si>
  <si>
    <t>9.4.</t>
  </si>
  <si>
    <t>248 чел/ч</t>
  </si>
  <si>
    <t>950 000,00 тыс.рублей</t>
  </si>
  <si>
    <t>Строительство многофункционального спортивного комплекса, п. Николаевка, Елизовский район, Камчатский край (в том числе проектные работы)</t>
  </si>
  <si>
    <t>20 чел/час</t>
  </si>
  <si>
    <t>125 000,00 тыс.руб.</t>
  </si>
  <si>
    <t>9.5.</t>
  </si>
  <si>
    <t>9.6.</t>
  </si>
  <si>
    <t>9.7.</t>
  </si>
  <si>
    <t>9.9.</t>
  </si>
  <si>
    <t>Строительство регионального спортивно-тренировочного центра по зимним видам спорта (в том числе проектные работы)</t>
  </si>
  <si>
    <t>КГАУДО «Специализированная детско-юношеская спортивная школа олимпийского резерва по горнолыжному спорту "Морозная"»</t>
  </si>
  <si>
    <t>350 000,00 тыс. рублей</t>
  </si>
  <si>
    <t xml:space="preserve">Елизовский муниципальный район </t>
  </si>
  <si>
    <t>КГАУДО «Специализированная детско-юношеская спортивная школа олимпийского резерва по зимним видам спорта»</t>
  </si>
  <si>
    <t>9.8.</t>
  </si>
  <si>
    <t>Строительство футбольных полей (в том числе проектные работы)</t>
  </si>
  <si>
    <t>66 чел/ч</t>
  </si>
  <si>
    <t>Елизовский муниципальный район, Петропавловск-Камчатский городской округ</t>
  </si>
  <si>
    <t>9.10.</t>
  </si>
  <si>
    <t>Приобретение в государственную собственность Камчатского края долей ООО "Пымта" в праве общей долевой собственности на недвижимое имущество, находящееся в доверительном управлении ПАО "Камчатский газоэнергетический комплекс"</t>
  </si>
  <si>
    <t>Усть-Большерецкий муниципальный район</t>
  </si>
  <si>
    <t>13.3.</t>
  </si>
  <si>
    <t>12.3.</t>
  </si>
  <si>
    <t>Здание. Общеобразовательная школа по проспекту Рыбаков в г.Петропавловск-Камчатский (в том числе проектные работы)</t>
  </si>
  <si>
    <t>Начальная школа по адресу Космический проезд в г.Петропавловске-Камчатском (в том числе проектные работы)</t>
  </si>
  <si>
    <t>2.7.</t>
  </si>
  <si>
    <t>2.8.</t>
  </si>
  <si>
    <t>1 150 000,00 тыс.рублей</t>
  </si>
  <si>
    <t>1 200 000,00 тыс.рублей</t>
  </si>
  <si>
    <t>500 мест</t>
  </si>
  <si>
    <t>650 мест</t>
  </si>
  <si>
    <t>Строительство двухэтажного 12-квартирного жилого дома в с. Никольское</t>
  </si>
  <si>
    <t>745,5 м2</t>
  </si>
  <si>
    <t>администрация Алеутского муниципального района</t>
  </si>
  <si>
    <t>78 550,700 тыс.рублей</t>
  </si>
  <si>
    <t>Алеутский муниципальный район</t>
  </si>
  <si>
    <t>положительное заключение гос. экспертизы от 05.05.2016 № 41-1-1-3-0023-16, достоверность сметной стоимости от 11.05.2016 № 1-1-6-0009-16</t>
  </si>
  <si>
    <t>Правительства Камчатского края</t>
  </si>
  <si>
    <t>".</t>
  </si>
  <si>
    <t>9.11.</t>
  </si>
  <si>
    <t>Реконструкция площадки для занятий ледовыми видами спорта на спортивном объекте "Зимние виды спорта"</t>
  </si>
  <si>
    <t xml:space="preserve">100 чел. учащихсчя в сутки </t>
  </si>
  <si>
    <t>35 723,57 тыс.рублей</t>
  </si>
  <si>
    <t>Положительное заключение гос. экспертизы от 06.10.2014 №1-1-6-0046-14</t>
  </si>
  <si>
    <t>Реконструкция автомобильной дороги Петропавловск-Камчатский - Мильково на участке км 12 - км 17 (проектные работы)</t>
  </si>
  <si>
    <t xml:space="preserve">2022 год, 5 лет </t>
  </si>
  <si>
    <t>13,809 км (уточнится проектом)</t>
  </si>
  <si>
    <t>4 435 717,00 тыс.рублей</t>
  </si>
  <si>
    <t>11.18.</t>
  </si>
  <si>
    <t>11.19.</t>
  </si>
  <si>
    <t>Реконструкция автомобильной дороги Петропавловск-Камчатский - Мильково на участке км 181 - км 195 (проектные работы)</t>
  </si>
  <si>
    <t xml:space="preserve">2020 год, 3 года </t>
  </si>
  <si>
    <t>14 км (уточнится проектом)</t>
  </si>
  <si>
    <t>1 989 780,00
тыс. рублей</t>
  </si>
  <si>
    <t>11.20.</t>
  </si>
  <si>
    <t>Реконструкция автомобильной дороги Петропавловск-Камчатский - Мильково на участке км 195 - км 208 (проектные работы)</t>
  </si>
  <si>
    <t>13 км (уточнится проектом)</t>
  </si>
  <si>
    <t>1 851 200,00 
тыс. рублей</t>
  </si>
  <si>
    <t>11.21.</t>
  </si>
  <si>
    <t>Реконструкция автомобильной дороги Петропавловск-Камчатский - Мильково 40 км - Пиначево с подъездом к п. Раздольный и к базе с/х Заречный на участке км 1  - км 16.4 (проектные работы)</t>
  </si>
  <si>
    <t>12,9 км (уточнится проектом)</t>
  </si>
  <si>
    <t>1 500 000,00
тыс. рублей</t>
  </si>
  <si>
    <t>11.22.</t>
  </si>
  <si>
    <t>6,5 км (уточнится проектом)</t>
  </si>
  <si>
    <t>350 000,00 
тыс. рублей</t>
  </si>
  <si>
    <t>Тигильский муниципальный район</t>
  </si>
  <si>
    <t>11.23.</t>
  </si>
  <si>
    <t>Строительство мостового перехода через р. Тигиль на 224 км автомобильной дороги Анавгай - Палана (проектные работы)</t>
  </si>
  <si>
    <t>11.24.</t>
  </si>
  <si>
    <t>0,7 км /300п.м.  (уточнится проектом)</t>
  </si>
  <si>
    <t>700 000,00 
тыс. рублей</t>
  </si>
  <si>
    <t>11.25.</t>
  </si>
  <si>
    <t>Реконструкция автомобильной дороги подъезд к совхозу Петропавловский на участке км 0 - км 4 (проектные работы)</t>
  </si>
  <si>
    <t xml:space="preserve">4 км  </t>
  </si>
  <si>
    <t>650 000,00
тыс. рублей</t>
  </si>
  <si>
    <t>11.26.</t>
  </si>
  <si>
    <t>Администрация Елизовского городского поселения</t>
  </si>
  <si>
    <t>Группа жилой застройки в границах ул. Свердлова, ул. Хуторская в г. Елизово Камчатского края (проектные работы)</t>
  </si>
  <si>
    <t>4.14.</t>
  </si>
  <si>
    <t>Многоквартирный жилой дом поз. 15 в микрорайоне "Северо-Западный" в г. Елизово  (в том числе проектные работы)</t>
  </si>
  <si>
    <t>4.15.</t>
  </si>
  <si>
    <t>4.16.</t>
  </si>
  <si>
    <t>Строительство инженерной инфраструктуры на территории жилого района в Вулканном городском поселении Елизовского района Камчатского края (в том числе проектные работы)</t>
  </si>
  <si>
    <t>сети водоснабжения - 2 км;
сети водоотведения - 3 км;
сети электроснабжения - 8 км</t>
  </si>
  <si>
    <t>Вулканное городское поселение</t>
  </si>
  <si>
    <t>администрация Вулканного городского поселения</t>
  </si>
  <si>
    <t>2.9.</t>
  </si>
  <si>
    <t>2.10.</t>
  </si>
  <si>
    <t>2.11.</t>
  </si>
  <si>
    <t>2.12.</t>
  </si>
  <si>
    <t>150 мест</t>
  </si>
  <si>
    <t>Карагинский муниципальный район</t>
  </si>
  <si>
    <t>Детский сад на 150 мест в с. Соболево Соболевского района (в том числе проектные работы)</t>
  </si>
  <si>
    <t>274 920,00                  тыс. рублей</t>
  </si>
  <si>
    <t>Соболевский муниципальный район</t>
  </si>
  <si>
    <t>Общеобразовательная школа на 300 мест в с. Оссора Карагинского района (в том числе проектные работы)</t>
  </si>
  <si>
    <t>300 мест</t>
  </si>
  <si>
    <t>511 300,000 тыс.рублей</t>
  </si>
  <si>
    <t>Строительство сельского учебного комплекса в с. Усть-Хайрюзово Тигильского муниципального  района</t>
  </si>
  <si>
    <t>2016 год, 5 лет</t>
  </si>
  <si>
    <t>265 мест</t>
  </si>
  <si>
    <t>643 189,41636  тыс.рублей</t>
  </si>
  <si>
    <t xml:space="preserve">положительное заключение гос. экспертизы от 08.08.2011 №  41-1-5-0078-11 </t>
  </si>
  <si>
    <t>9.12.</t>
  </si>
  <si>
    <t>Физкультурно-оздоровительный комплекс с ледовой ареной в г. Петропавловск-Камчатский</t>
  </si>
  <si>
    <t>3 000 зрительских мест на трибунах,          24 684 м2</t>
  </si>
  <si>
    <t>2 506 700,0 тыс.рублей</t>
  </si>
  <si>
    <t>положительное заключение гос.экспертизы от 25.11.2013 №41-1-4-0109-13</t>
  </si>
  <si>
    <t>2019 год, 5 лет</t>
  </si>
  <si>
    <t>Сельский учебный комплекс школа-детский сад  в с. Каменское Пенжинского района на 161 ученических и 80 дошкольных мест</t>
  </si>
  <si>
    <t>Здание МАУК "Городской дом культуры СРВ". Реконструкция.</t>
  </si>
  <si>
    <t>Строительство сетей медицинского газоснабжения ГБУЗ "Камчатская краевая детская больница"</t>
  </si>
  <si>
    <t>ГБУЗ "Камчатская краевая детская больница"</t>
  </si>
  <si>
    <t>15 000,0 тыс.рублей</t>
  </si>
  <si>
    <t>1.9.</t>
  </si>
  <si>
    <t>4,207  тыс. тонн/год</t>
  </si>
  <si>
    <t>Проведение инженерно-геологических изыскательских работ и выполнение проектно-сметных работ для планируемого строительства полигона ТБО на территории Мильковского муниципального района</t>
  </si>
  <si>
    <t>5.4.</t>
  </si>
  <si>
    <t>Реконструкция системы водоотведения Центральной части г. Петропавловск-Камчатский (в том  числе проектно-изыскательские работы, кадастровые работы, Государственная экспертиза проектно-сметной документации)</t>
  </si>
  <si>
    <t>458 114,08/
341 775,20</t>
  </si>
  <si>
    <t>КГУП "Камчатский водоканал"</t>
  </si>
  <si>
    <t>Паратунское сельское поселение</t>
  </si>
  <si>
    <t>Администрация Паратунского сельского поселения</t>
  </si>
  <si>
    <t>14.2.</t>
  </si>
  <si>
    <t>Сельское поселение "село Тигиль"</t>
  </si>
  <si>
    <t>Администрация сельского поселения "село Тигиль"</t>
  </si>
  <si>
    <t>Формирование инженерной инфраструктуры в  целях жилищного строительства на территории Корякского округа</t>
  </si>
  <si>
    <t>Администрация Усть-Камчатского муниципального района</t>
  </si>
  <si>
    <t>Администрация Мильковского муниципального района</t>
  </si>
  <si>
    <t>1 261 098,587 тыс.рублей</t>
  </si>
  <si>
    <t xml:space="preserve">  ФДА 48/84-С-1 от 09.12.2016</t>
  </si>
  <si>
    <t>1 149 437,252 тыс.рублей</t>
  </si>
  <si>
    <t>1 342 749,831 тыс.рублей</t>
  </si>
  <si>
    <t>869 303,650 тыс.рублей</t>
  </si>
  <si>
    <t>2 197 036,655 тыс. рублей</t>
  </si>
  <si>
    <t xml:space="preserve">  ФДА108-07-086 от 27.02.2017</t>
  </si>
  <si>
    <t>1.10.</t>
  </si>
  <si>
    <t>Биатлонный комплекс в г. Петропавловск-Камчатский. Биатлонный стадион. Первый этап: Строительство полузакрытого малокалиберного тира (в том числе технические помещения)</t>
  </si>
  <si>
    <t>2017 год, 8 лет</t>
  </si>
  <si>
    <t>2009 год</t>
  </si>
  <si>
    <t>125 чел/ч</t>
  </si>
  <si>
    <t>359 449,17 тыс.рублей</t>
  </si>
  <si>
    <t>положительное заключение гос. экспертизы  от 12.12.2011 г. № 41-1-5-0157-11.п</t>
  </si>
  <si>
    <t xml:space="preserve">ФЦП "Развитие транспортной системы России (2010 - 2020 годы)" / ГП Камчатского края "Развитие транспортной системы в Камчатском крае". Подпрограмма "Развитие дорожного хозяйства". </t>
  </si>
  <si>
    <t>Средняя общеобразовательная школа в г. Елизово по ул. Сопочная</t>
  </si>
  <si>
    <t>Строительство автомобильной дороги Анавгай - Палана на участке км 225 - км 231 (проектные работы)</t>
  </si>
  <si>
    <t>3 кв. 2017 года</t>
  </si>
  <si>
    <t xml:space="preserve"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территорий". Подпрограмма "Энергосбережение и повышение энергетической эффективности в Камчатском крае". </t>
  </si>
  <si>
    <t>Администрация Петропавловск-Камчатского городского округа</t>
  </si>
  <si>
    <t>5.5.</t>
  </si>
  <si>
    <t>5.6.</t>
  </si>
  <si>
    <t>Строительство мостового перехода через р. Кирганик на 16 км автомобильной дороги Мильково - Ключи - Усть-Камчатск</t>
  </si>
  <si>
    <t>2014 год</t>
  </si>
  <si>
    <t>2,2 км/ 128,9 п.м.</t>
  </si>
  <si>
    <t>350 591,949 тыс.рублей</t>
  </si>
  <si>
    <t xml:space="preserve">  ФДА 48/84-С-1 от 04.07.2016</t>
  </si>
  <si>
    <t xml:space="preserve">ФАУ «Главное управление государственной экспертизы» Хабаровский филиал от 01.10.2014  № 236-14/ХГЭ-1634/02 </t>
  </si>
  <si>
    <t xml:space="preserve">2017 год, 3 года
(2016 год, 2 года) </t>
  </si>
  <si>
    <t>100 койко-мест</t>
  </si>
  <si>
    <t>543 320,00 тыс.рублей</t>
  </si>
  <si>
    <t>Строительство нового корпуса КГАСУ СО "Паратунский дом-интернат для престарелых и инвалидов"</t>
  </si>
  <si>
    <t>4.18.</t>
  </si>
  <si>
    <t>4.17.</t>
  </si>
  <si>
    <t>Группа смешанной жилой застройки по улице Кутузова в Петропавловск-Камчатском городском округе (проектные работы по привязке проектов повторного применения)</t>
  </si>
  <si>
    <t>270 квартир</t>
  </si>
  <si>
    <t>Многоквартирный жилой дом по ул. Строительная в г. Елизово Камчатского края (проектные работы по привязке проектов повторного применения)</t>
  </si>
  <si>
    <t>75 квартир</t>
  </si>
  <si>
    <t>946 270,00 тыс. рублей</t>
  </si>
  <si>
    <t>280 000,00 тыс. рублей</t>
  </si>
  <si>
    <t>5.7.</t>
  </si>
  <si>
    <t>КГКУ "Единая дирекция по строительству""</t>
  </si>
  <si>
    <t xml:space="preserve">положительное заключение гос.экспертизы от 25.12.2012 № 41-1-3-0129-12 </t>
  </si>
  <si>
    <t>Мини-ТЭЦ Тигиль Тигильского района. Водозабор с водоводом</t>
  </si>
  <si>
    <t>Строительство причальных сооружений через протоку Озерная в Усть-Камчатском районе Камчатского края (проектные работы)</t>
  </si>
  <si>
    <t>2 Причала (уточнится проектом)</t>
  </si>
  <si>
    <t>ведется проектирование объекта</t>
  </si>
  <si>
    <t xml:space="preserve">131 180,21 тыс. рублей </t>
  </si>
  <si>
    <t>2019 год. 2 года</t>
  </si>
  <si>
    <t xml:space="preserve">2014-2015 годы
 (1,5 года) </t>
  </si>
  <si>
    <t>2.13.</t>
  </si>
  <si>
    <t>Общеобразовательная школа на 250 мест с. Соболево Соболевского района (в том числе проектные работы)</t>
  </si>
  <si>
    <t>250 мест</t>
  </si>
  <si>
    <t>2020 год, 3 года</t>
  </si>
  <si>
    <t>608 000,0 тыс.рублей</t>
  </si>
  <si>
    <t>Строительство офиса врача общей практики в п. Крутогоровский Соболевского района Камчатского края (проектные работы)</t>
  </si>
  <si>
    <t>680 чел/ч</t>
  </si>
  <si>
    <t>3850 чел/ч</t>
  </si>
  <si>
    <t>1 853 400,00 тыс.рублей</t>
  </si>
  <si>
    <t>168 655,15 тыс. рублей</t>
  </si>
  <si>
    <t>130
пог. м</t>
  </si>
  <si>
    <t>10 000,00 тыс. рублей</t>
  </si>
  <si>
    <t>ведется проектирование</t>
  </si>
  <si>
    <t xml:space="preserve">Городской округ "поселок Палана" </t>
  </si>
  <si>
    <t xml:space="preserve">Администрация городского округа "поселок Палана" </t>
  </si>
  <si>
    <t>7 340,0 п.м</t>
  </si>
  <si>
    <t xml:space="preserve">21 828 м3/сут,
21 000 п.м
</t>
  </si>
  <si>
    <t>58 736,38 тыс. рублей</t>
  </si>
  <si>
    <t>положительное заключение гос.экспертизы от 25.12.2012
№ 41-1-3-0129-12</t>
  </si>
  <si>
    <t>положительное заключение гос. экспертизы № 41-1-1-3-0080-16 от 22.11.2016</t>
  </si>
  <si>
    <t>положительное заключение гос. экспертизы № 41-1-1-3-0079-16 от 22.11.2016</t>
  </si>
  <si>
    <t>положительное заключение гос. экспертизы № 41-1-1-3-0078-16 от 22.11.2016</t>
  </si>
  <si>
    <t>положительное заключение гос. экспертизы № 41-1-1-3-0006-17 от  30.01.2017</t>
  </si>
  <si>
    <t>положительное заключение гос. экспертизы № 41-1-1-3-0009-17 от  30.01.2017</t>
  </si>
  <si>
    <t>положительное заключение гос. экспертизы № 41-1-1-3-0005-17 от  30.01.2017</t>
  </si>
  <si>
    <t>декабрь 2017 года,  
11 месяцев</t>
  </si>
  <si>
    <t>2011-2017 годы</t>
  </si>
  <si>
    <t>Детский сад на 150 мест в п. Оссора Карагинского района (в том числе проектные работы)</t>
  </si>
  <si>
    <t>1.11.</t>
  </si>
  <si>
    <t>Монтаж наружного панорамного лифта для граждан с ограниченными возможностями передвижения для ГБУЗ КК "Петропавловск-Камчатская городская детская поликлиника № 1"</t>
  </si>
  <si>
    <t>ГБУЗ КК "Петропавловск-Камчатская городская детская  поликлиника № 1"</t>
  </si>
  <si>
    <t>ГБУЗ КК "Петропавловск-Камчатская городская детская поликлиника № 1"</t>
  </si>
  <si>
    <t>32 000,0 тыс.рублей</t>
  </si>
  <si>
    <t>2.14.</t>
  </si>
  <si>
    <t>Детский сад на 150 мест в п. Оссора Карагинского района</t>
  </si>
  <si>
    <t>300 000,00 тыс.рублей</t>
  </si>
  <si>
    <t>положительное заключение государственной экспертизы проектной документации от 06.12.2016 № 41-1-1-3-0088-16, положительное заключение гос.экспертизы ССР от 13.02.2017 № 1-1-6-0007-17</t>
  </si>
  <si>
    <t>9.13.</t>
  </si>
  <si>
    <t>Министерство спорта Камчатского края</t>
  </si>
  <si>
    <t>Министерство образования и молодежной политики Камчатского края</t>
  </si>
  <si>
    <t xml:space="preserve">Государственная программа Камчатского края "Социальная поддержка граждан в Камчатском крае. Подпрограмма "Развитие системы социального обслуживания населения в Камчатском крае". </t>
  </si>
  <si>
    <t>Канализационный коллектор протяженностью 1,218 км с канализационной насосной станцией и очистными сооружениями в жилом районе Рыбачий города Вилючинска Камчатского края (в том числе проектно-изыскательские работы и государственная экспертиза проектной документации)</t>
  </si>
  <si>
    <t>5.8.</t>
  </si>
  <si>
    <t>Вилючинский городской округ</t>
  </si>
  <si>
    <t>администрация Вилючинского городского округа</t>
  </si>
  <si>
    <t>Строительство фельдшерско-акушерского пункта в с. Анавгай Быстринского  района Камчатского края  (в том числе проектные работы)</t>
  </si>
  <si>
    <t>45 000,00 тыс.рублей</t>
  </si>
  <si>
    <t>15 675,67914 тыс.рублей</t>
  </si>
  <si>
    <t>Реконструкция санкционированной свалки под полигон твердых бытовых отходов в п. Усть-Камчатск (строительство первой очереди)</t>
  </si>
  <si>
    <t>Реконструкция инфраструктуры горнолыжного комплекса Камчатского края. 2-я очередь. Горнолыжная база "Эдельвейс", г. Петропавловск-Камчатский.  Строительство  системы искусственного снегообразования и системы искусственного освещения трасс, строительство скоростной канатной дороги гондольного типа и буксировочных канатных дорог (в том числе проектирование)</t>
  </si>
  <si>
    <t xml:space="preserve">Реконструкция инфраструктуры горнолыжного комплекса Камчатского края. 2-я очередь. Горнолыжная база "Эдельвейс", г. Петропавловск-Камчатский.  Строительство  системы искусственного снегообразования и системы искусственного освещения трасс, строительство скоростной канатной дороги гондольного типа и буксировочных канатных дорог. 3 этап строительства </t>
  </si>
  <si>
    <t>990 мест</t>
  </si>
  <si>
    <t>9.14.</t>
  </si>
  <si>
    <t>975 000,00 тыс.рублей</t>
  </si>
  <si>
    <t xml:space="preserve">Приобретение нежилых помещений в собственность Камчатского края для передачи в оперативное управление государственного бюджетного учреждения здравоохранения Камчатского края "Петропавловск-Камчатская городская поликлиника № 3" </t>
  </si>
  <si>
    <t>Приобретение грузопассажирской баржи грузоподъёмностью 40 тонн</t>
  </si>
  <si>
    <t>Приобретение грузопассажирской баржи грузоподъёмностью 20 тонн</t>
  </si>
  <si>
    <t>Приобретение судна на воздушной подушке – 2 единицы</t>
  </si>
  <si>
    <t>бюджетные инвестиции в объекты государственной (муниципальной) собственности</t>
  </si>
  <si>
    <t>2 года</t>
  </si>
  <si>
    <t>20-25 пасс.</t>
  </si>
  <si>
    <t>20 тонн/12-15 пасс</t>
  </si>
  <si>
    <t>40 тонн/25-30 пасс</t>
  </si>
  <si>
    <t>Камчатский края</t>
  </si>
  <si>
    <t>71 500 тыс. руб. х 2 ед</t>
  </si>
  <si>
    <t>35 250 тыс. руб. х 2 ед</t>
  </si>
  <si>
    <t>25 000 тыс. руб. х 2 ед</t>
  </si>
  <si>
    <t>Школа на 400 мест в с. Эссо</t>
  </si>
  <si>
    <t>Система холодного водоснабжения с. Тымлат Карагинского района (в том числе проектные работы и государственная экспертиза проектной документации)</t>
  </si>
  <si>
    <t xml:space="preserve">400,0 м3/сут </t>
  </si>
  <si>
    <t>сельское поесление "село Тымлат"</t>
  </si>
  <si>
    <t>администрация сельского поесления "село Тымлат"</t>
  </si>
  <si>
    <t>0,38 кВ</t>
  </si>
  <si>
    <t>Котельная на ул. Советская в с. Николаевка Елизовского района Камчатского края</t>
  </si>
  <si>
    <t>Елизовский муницпальный район</t>
  </si>
  <si>
    <t>Перевод котлоагрегата КЕ-10/14С ст. № 2, оборудованного топкой для слоевого сжигания каменного угля ТЛЗМ-2,7-3,2, в режиме сжигания угольного топлива в высокотемпературном кипящем слое, монтаж ШЗУ котлов ст. № 2, 3 котельной ДКВР в с.Мильково, Мильковского района (проектные работы)</t>
  </si>
  <si>
    <t>Строительство котельных в Вилючинском городском округе, Камчатский край (проектные работы)</t>
  </si>
  <si>
    <t>Формирование жилищного фонда в целях реализации полномочий Камчатского края по обеспечению жилыми помещениями по договорам социального найма граждан отдельных категорий в соответствии с Законом Камчатского края от 31.03.2009 № 253 "О порядке предоставления жилых помещений жилищного фонда Камчатского края по договорам социального найма"</t>
  </si>
  <si>
    <t>4.19.</t>
  </si>
  <si>
    <t>2.15.</t>
  </si>
  <si>
    <t>5.9.</t>
  </si>
  <si>
    <t>1.12.</t>
  </si>
  <si>
    <t>5.10.</t>
  </si>
  <si>
    <t>5.11.</t>
  </si>
  <si>
    <t>5.12.</t>
  </si>
  <si>
    <t>10.1.</t>
  </si>
  <si>
    <t>11.27.</t>
  </si>
  <si>
    <t xml:space="preserve">"Приложение к постановлению </t>
  </si>
  <si>
    <t>от 28.11.2016 № 420-П</t>
  </si>
  <si>
    <t>Реконструкция тепловых сетей 1 и 2 контура по адресу ул. Свердлова, 3 (в том числе проектные работы и государственная экспертиза проектной документации)</t>
  </si>
  <si>
    <t>12.4.</t>
  </si>
  <si>
    <t xml:space="preserve">Реконструкция существующего Дома культуры в пос. Новый, ул. Молодежная 5 (со спортивным залом), (проектные работы)
</t>
  </si>
  <si>
    <t>администрация Новоавачинского сельского поселения</t>
  </si>
  <si>
    <t>11 128,90 тыс.рублей</t>
  </si>
  <si>
    <t>Новоавачинское сельское поселение</t>
  </si>
  <si>
    <t>9.15.</t>
  </si>
  <si>
    <t>Реконструкция инфраструктуры лыжного и горнолыжного комплексов Камчатского края. 1-я очередь горнолыжная база "Морозная", г. Елизово. 1-й этап. Строительство 4-х местной скоростной кресельной канатной дороги и системы искусственного оснежения трасс горнолыжной базы "Морозная"</t>
  </si>
  <si>
    <t>2400 чел/ч</t>
  </si>
  <si>
    <t>890 500,00 тыс.рублей</t>
  </si>
  <si>
    <t>положительное заключение гос. экспертизы  от 15.02.2012г. № 41-1-0013-12.п</t>
  </si>
  <si>
    <t xml:space="preserve">Государственная программа Камчатского края "Обеспечение доступным и комфортным жильем жителей Камчатского края". Подпрограмма "Стимулирование развития жилищного строительства". </t>
  </si>
  <si>
    <t>Сооружение центральный тепловой пункт № 334 и тепловые сети второго и первого контура инв. № 8299 (реконструкция первого контура на участке от УТП-22 до УТС-12) в микрорайоне Северо-Восток г. Петропавловска-Камчатского</t>
  </si>
  <si>
    <t>82 767,302 тыс.рублей</t>
  </si>
  <si>
    <t>Реконструкция внутрипоселковых сетей водопровода в пгт Палана Тигильского района Камчатского края</t>
  </si>
  <si>
    <t>ГБУЗ Камчатского края "Петропавловск-Камчатская городская поликлиника № 3"</t>
  </si>
  <si>
    <t>21 посещение в день</t>
  </si>
  <si>
    <t>47 041,087 тыс. рублей</t>
  </si>
  <si>
    <t>Строительство отделения врача общей практики  в с. Хаилино Олюторского  района Камчатского края   (в том числе проектные работы)</t>
  </si>
  <si>
    <t>95 414,960 тыс. рублей</t>
  </si>
  <si>
    <t xml:space="preserve">Олюторский муниципальный район </t>
  </si>
  <si>
    <t xml:space="preserve">положительное заключение государственной экспертизы проектной документации № 41-1-5-0095-14 от 07.10.2014 г. </t>
  </si>
  <si>
    <t>Физкультурно-оздоровительный комплекс с плавательным бассейном в г. Петропавловске-Камчатском (в том числе проектные работы)</t>
  </si>
  <si>
    <t>Николаевское сельское поселение</t>
  </si>
  <si>
    <t>Администрация Николаевского сельского поселения</t>
  </si>
  <si>
    <t>Реконструкция ВЛ 0,38 кВ с КТП 6/0,4 кВ в п. Палана  Камчатского края (в том числе модификация проектной документации "Реконструкция ВЛ 0,38 кВ с КТП 6/0,4 кВ в п. Палана Камчатского края" 2004 г.)</t>
  </si>
  <si>
    <t>6.2.</t>
  </si>
  <si>
    <t>Проектирование и строительство учебной башни в с. Усть-Большерецк Усть - Большерецкого муниципального района</t>
  </si>
  <si>
    <t>от 28.12.2017 № 577-П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</si>
</sst>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00"/>
    <numFmt numFmtId="165" formatCode="0.00000"/>
    <numFmt numFmtId="166" formatCode="0.000"/>
    <numFmt numFmtId="167" formatCode="0.0000"/>
    <numFmt numFmtId="168" formatCode="#,##0.000000000000"/>
    <numFmt numFmtId="169" formatCode="#,##0.0000"/>
  </numFmts>
  <fonts count="18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20"/>
      <name val="Times New Roman"/>
      <family val="1"/>
      <charset val="204"/>
    </font>
    <font>
      <sz val="12"/>
      <name val="Times New Roman"/>
      <family val="1"/>
      <charset val="204"/>
    </font>
    <font>
      <sz val="22"/>
      <name val="Times New Roman"/>
      <family val="1"/>
      <charset val="204"/>
    </font>
    <font>
      <sz val="20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sz val="34"/>
      <name val="Calibri"/>
      <family val="2"/>
      <charset val="204"/>
      <scheme val="minor"/>
    </font>
    <font>
      <sz val="36"/>
      <name val="Times New Roman"/>
      <family val="1"/>
      <charset val="204"/>
    </font>
    <font>
      <b/>
      <sz val="36"/>
      <name val="Times New Roman"/>
      <family val="1"/>
      <charset val="204"/>
    </font>
    <font>
      <sz val="36"/>
      <name val="Calibri"/>
      <family val="2"/>
      <charset val="204"/>
      <scheme val="minor"/>
    </font>
    <font>
      <sz val="32"/>
      <name val="Times New Roman"/>
      <family val="1"/>
      <charset val="204"/>
    </font>
    <font>
      <b/>
      <i/>
      <sz val="36"/>
      <name val="Times New Roman"/>
      <family val="1"/>
      <charset val="204"/>
    </font>
    <font>
      <i/>
      <sz val="36"/>
      <name val="Times New Roman"/>
      <family val="1"/>
      <charset val="204"/>
    </font>
    <font>
      <sz val="32"/>
      <name val="Calibri"/>
      <family val="2"/>
      <charset val="204"/>
      <scheme val="minor"/>
    </font>
    <font>
      <i/>
      <sz val="32"/>
      <name val="Times New Roman"/>
      <family val="1"/>
      <charset val="204"/>
    </font>
    <font>
      <b/>
      <i/>
      <sz val="32"/>
      <name val="Times New Roman"/>
      <family val="1"/>
      <charset val="204"/>
    </font>
    <font>
      <b/>
      <sz val="3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1" fillId="0" borderId="0" xfId="0" applyFont="1" applyFill="1"/>
    <xf numFmtId="0" fontId="3" fillId="0" borderId="0" xfId="0" applyFont="1" applyBorder="1"/>
    <xf numFmtId="0" fontId="3" fillId="0" borderId="0" xfId="0" applyFont="1" applyFill="1" applyBorder="1"/>
    <xf numFmtId="0" fontId="4" fillId="0" borderId="0" xfId="0" applyFont="1" applyBorder="1"/>
    <xf numFmtId="0" fontId="2" fillId="0" borderId="0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Fill="1"/>
    <xf numFmtId="164" fontId="7" fillId="0" borderId="0" xfId="0" applyNumberFormat="1" applyFont="1"/>
    <xf numFmtId="0" fontId="10" fillId="0" borderId="0" xfId="0" applyFont="1"/>
    <xf numFmtId="164" fontId="8" fillId="0" borderId="1" xfId="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right" wrapText="1"/>
    </xf>
    <xf numFmtId="164" fontId="8" fillId="3" borderId="1" xfId="0" applyNumberFormat="1" applyFont="1" applyFill="1" applyBorder="1" applyAlignment="1">
      <alignment horizontal="right" vertical="center" wrapText="1"/>
    </xf>
    <xf numFmtId="164" fontId="8" fillId="3" borderId="1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164" fontId="13" fillId="4" borderId="1" xfId="0" applyNumberFormat="1" applyFont="1" applyFill="1" applyBorder="1" applyAlignment="1">
      <alignment horizontal="right" wrapText="1"/>
    </xf>
    <xf numFmtId="164" fontId="12" fillId="0" borderId="2" xfId="0" applyNumberFormat="1" applyFont="1" applyBorder="1" applyAlignment="1">
      <alignment horizontal="right" wrapText="1"/>
    </xf>
    <xf numFmtId="0" fontId="8" fillId="0" borderId="0" xfId="0" applyFont="1" applyBorder="1"/>
    <xf numFmtId="164" fontId="12" fillId="3" borderId="2" xfId="0" applyNumberFormat="1" applyFont="1" applyFill="1" applyBorder="1" applyAlignment="1">
      <alignment horizontal="right" wrapText="1"/>
    </xf>
    <xf numFmtId="4" fontId="12" fillId="0" borderId="0" xfId="0" applyNumberFormat="1" applyFont="1" applyFill="1" applyBorder="1" applyAlignment="1">
      <alignment horizontal="center" wrapText="1"/>
    </xf>
    <xf numFmtId="164" fontId="10" fillId="0" borderId="0" xfId="0" applyNumberFormat="1" applyFont="1"/>
    <xf numFmtId="1" fontId="12" fillId="0" borderId="0" xfId="0" applyNumberFormat="1" applyFont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4" fontId="13" fillId="0" borderId="0" xfId="0" applyNumberFormat="1" applyFont="1" applyBorder="1" applyAlignment="1">
      <alignment horizontal="center" wrapText="1"/>
    </xf>
    <xf numFmtId="0" fontId="12" fillId="0" borderId="1" xfId="0" applyFont="1" applyFill="1" applyBorder="1" applyAlignment="1">
      <alignment horizontal="justify" vertical="top" wrapText="1"/>
    </xf>
    <xf numFmtId="0" fontId="1" fillId="5" borderId="0" xfId="0" applyFont="1" applyFill="1"/>
    <xf numFmtId="4" fontId="7" fillId="0" borderId="0" xfId="0" applyNumberFormat="1" applyFont="1"/>
    <xf numFmtId="0" fontId="8" fillId="0" borderId="1" xfId="0" applyFont="1" applyFill="1" applyBorder="1" applyAlignment="1">
      <alignment horizontal="justify" vertical="top" wrapText="1"/>
    </xf>
    <xf numFmtId="0" fontId="1" fillId="0" borderId="0" xfId="0" applyFont="1" applyAlignment="1"/>
    <xf numFmtId="0" fontId="1" fillId="0" borderId="0" xfId="0" applyFont="1" applyFill="1" applyAlignment="1"/>
    <xf numFmtId="0" fontId="10" fillId="0" borderId="0" xfId="0" applyFont="1" applyAlignment="1"/>
    <xf numFmtId="0" fontId="10" fillId="0" borderId="8" xfId="0" applyFont="1" applyBorder="1" applyAlignment="1"/>
    <xf numFmtId="0" fontId="10" fillId="5" borderId="0" xfId="0" applyFont="1" applyFill="1"/>
    <xf numFmtId="164" fontId="12" fillId="0" borderId="0" xfId="0" applyNumberFormat="1" applyFont="1" applyFill="1" applyBorder="1" applyAlignment="1">
      <alignment horizontal="center" wrapText="1"/>
    </xf>
    <xf numFmtId="168" fontId="8" fillId="0" borderId="1" xfId="0" applyNumberFormat="1" applyFont="1" applyFill="1" applyBorder="1" applyAlignment="1">
      <alignment vertical="center" wrapText="1"/>
    </xf>
    <xf numFmtId="169" fontId="8" fillId="0" borderId="1" xfId="0" applyNumberFormat="1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10" fillId="3" borderId="0" xfId="0" applyFont="1" applyFill="1"/>
    <xf numFmtId="0" fontId="11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justify" vertical="top" wrapText="1"/>
    </xf>
    <xf numFmtId="0" fontId="12" fillId="3" borderId="1" xfId="0" applyFont="1" applyFill="1" applyBorder="1" applyAlignment="1">
      <alignment horizontal="justify" vertical="top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/>
    <xf numFmtId="0" fontId="11" fillId="0" borderId="0" xfId="0" applyFont="1" applyBorder="1"/>
    <xf numFmtId="0" fontId="11" fillId="0" borderId="0" xfId="0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165" fontId="11" fillId="4" borderId="1" xfId="0" applyNumberFormat="1" applyFont="1" applyFill="1" applyBorder="1" applyAlignment="1">
      <alignment horizontal="center" vertical="center" wrapText="1"/>
    </xf>
    <xf numFmtId="167" fontId="11" fillId="4" borderId="1" xfId="0" applyNumberFormat="1" applyFont="1" applyFill="1" applyBorder="1" applyAlignment="1">
      <alignment horizontal="center" vertical="center" wrapText="1"/>
    </xf>
    <xf numFmtId="166" fontId="11" fillId="4" borderId="1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top" wrapText="1"/>
    </xf>
    <xf numFmtId="4" fontId="16" fillId="0" borderId="0" xfId="0" applyNumberFormat="1" applyFont="1" applyFill="1" applyBorder="1" applyAlignment="1">
      <alignment horizontal="center" wrapText="1"/>
    </xf>
    <xf numFmtId="4" fontId="17" fillId="0" borderId="0" xfId="0" applyNumberFormat="1" applyFont="1" applyFill="1" applyBorder="1" applyAlignment="1">
      <alignment horizontal="justify" vertical="top" wrapText="1"/>
    </xf>
    <xf numFmtId="4" fontId="11" fillId="0" borderId="0" xfId="0" applyNumberFormat="1" applyFont="1" applyFill="1" applyBorder="1" applyAlignment="1">
      <alignment horizontal="justify" vertical="top" wrapText="1"/>
    </xf>
    <xf numFmtId="164" fontId="11" fillId="0" borderId="0" xfId="0" applyNumberFormat="1" applyFont="1" applyFill="1" applyBorder="1" applyAlignment="1">
      <alignment horizontal="justify" vertical="top" wrapText="1"/>
    </xf>
    <xf numFmtId="0" fontId="11" fillId="0" borderId="0" xfId="0" applyFont="1" applyBorder="1" applyAlignment="1">
      <alignment horizontal="right" vertical="center"/>
    </xf>
    <xf numFmtId="0" fontId="11" fillId="3" borderId="7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" fontId="11" fillId="3" borderId="7" xfId="0" applyNumberFormat="1" applyFont="1" applyFill="1" applyBorder="1" applyAlignment="1">
      <alignment horizontal="center" vertical="center" wrapText="1"/>
    </xf>
    <xf numFmtId="4" fontId="11" fillId="3" borderId="6" xfId="0" applyNumberFormat="1" applyFont="1" applyFill="1" applyBorder="1" applyAlignment="1">
      <alignment horizontal="center" vertical="center" wrapText="1"/>
    </xf>
    <xf numFmtId="4" fontId="11" fillId="3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49" fontId="8" fillId="3" borderId="7" xfId="0" applyNumberFormat="1" applyFont="1" applyFill="1" applyBorder="1" applyAlignment="1">
      <alignment horizontal="center" vertical="top" textRotation="90" wrapText="1"/>
    </xf>
    <xf numFmtId="49" fontId="8" fillId="3" borderId="6" xfId="0" applyNumberFormat="1" applyFont="1" applyFill="1" applyBorder="1" applyAlignment="1">
      <alignment horizontal="center" vertical="top" textRotation="90" wrapText="1"/>
    </xf>
    <xf numFmtId="49" fontId="8" fillId="3" borderId="2" xfId="0" applyNumberFormat="1" applyFont="1" applyFill="1" applyBorder="1" applyAlignment="1">
      <alignment horizontal="center" vertical="top" textRotation="90" wrapText="1"/>
    </xf>
    <xf numFmtId="0" fontId="8" fillId="0" borderId="3" xfId="0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justify" vertical="top" wrapText="1"/>
    </xf>
    <xf numFmtId="16" fontId="8" fillId="0" borderId="7" xfId="0" applyNumberFormat="1" applyFont="1" applyFill="1" applyBorder="1" applyAlignment="1">
      <alignment horizontal="center" vertical="top"/>
    </xf>
    <xf numFmtId="16" fontId="8" fillId="0" borderId="6" xfId="0" applyNumberFormat="1" applyFont="1" applyFill="1" applyBorder="1" applyAlignment="1">
      <alignment horizontal="center" vertical="top"/>
    </xf>
    <xf numFmtId="16" fontId="8" fillId="0" borderId="2" xfId="0" applyNumberFormat="1" applyFont="1" applyFill="1" applyBorder="1" applyAlignment="1">
      <alignment horizontal="center" vertical="top"/>
    </xf>
    <xf numFmtId="0" fontId="12" fillId="3" borderId="3" xfId="0" applyFont="1" applyFill="1" applyBorder="1" applyAlignment="1">
      <alignment horizontal="justify" vertical="top" wrapText="1"/>
    </xf>
    <xf numFmtId="0" fontId="12" fillId="3" borderId="4" xfId="0" applyFont="1" applyFill="1" applyBorder="1" applyAlignment="1">
      <alignment horizontal="justify" vertical="top" wrapText="1"/>
    </xf>
    <xf numFmtId="0" fontId="12" fillId="3" borderId="5" xfId="0" applyFont="1" applyFill="1" applyBorder="1" applyAlignment="1">
      <alignment horizontal="justify" vertical="top" wrapText="1"/>
    </xf>
    <xf numFmtId="0" fontId="8" fillId="3" borderId="3" xfId="0" applyFont="1" applyFill="1" applyBorder="1" applyAlignment="1">
      <alignment horizontal="justify" vertical="top" wrapText="1"/>
    </xf>
    <xf numFmtId="0" fontId="8" fillId="3" borderId="4" xfId="0" applyFont="1" applyFill="1" applyBorder="1" applyAlignment="1">
      <alignment horizontal="justify" vertical="top" wrapText="1"/>
    </xf>
    <xf numFmtId="0" fontId="8" fillId="3" borderId="5" xfId="0" applyFont="1" applyFill="1" applyBorder="1" applyAlignment="1">
      <alignment horizontal="justify" vertical="top" wrapText="1"/>
    </xf>
    <xf numFmtId="16" fontId="8" fillId="3" borderId="7" xfId="0" applyNumberFormat="1" applyFont="1" applyFill="1" applyBorder="1" applyAlignment="1">
      <alignment horizontal="center" vertical="top"/>
    </xf>
    <xf numFmtId="16" fontId="8" fillId="3" borderId="6" xfId="0" applyNumberFormat="1" applyFont="1" applyFill="1" applyBorder="1" applyAlignment="1">
      <alignment horizontal="center" vertical="top"/>
    </xf>
    <xf numFmtId="16" fontId="8" fillId="3" borderId="2" xfId="0" applyNumberFormat="1" applyFont="1" applyFill="1" applyBorder="1" applyAlignment="1">
      <alignment horizontal="center" vertical="top"/>
    </xf>
    <xf numFmtId="0" fontId="12" fillId="0" borderId="3" xfId="0" applyFont="1" applyFill="1" applyBorder="1" applyAlignment="1">
      <alignment horizontal="justify" vertical="top" wrapText="1"/>
    </xf>
    <xf numFmtId="0" fontId="12" fillId="0" borderId="4" xfId="0" applyFont="1" applyFill="1" applyBorder="1" applyAlignment="1">
      <alignment horizontal="justify" vertical="top" wrapText="1"/>
    </xf>
    <xf numFmtId="0" fontId="12" fillId="0" borderId="5" xfId="0" applyFont="1" applyFill="1" applyBorder="1" applyAlignment="1">
      <alignment horizontal="justify" vertical="top" wrapText="1"/>
    </xf>
    <xf numFmtId="0" fontId="11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left" vertical="top" wrapText="1"/>
    </xf>
    <xf numFmtId="1" fontId="12" fillId="4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164" fontId="11" fillId="3" borderId="7" xfId="0" applyNumberFormat="1" applyFont="1" applyFill="1" applyBorder="1" applyAlignment="1">
      <alignment horizontal="center" vertical="center" wrapText="1"/>
    </xf>
    <xf numFmtId="164" fontId="11" fillId="3" borderId="6" xfId="0" applyNumberFormat="1" applyFont="1" applyFill="1" applyBorder="1" applyAlignment="1">
      <alignment horizontal="center" vertical="center" wrapText="1"/>
    </xf>
    <xf numFmtId="164" fontId="11" fillId="3" borderId="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49" fontId="8" fillId="3" borderId="1" xfId="0" applyNumberFormat="1" applyFont="1" applyFill="1" applyBorder="1" applyAlignment="1">
      <alignment horizontal="center" vertical="top" textRotation="90" wrapText="1"/>
    </xf>
    <xf numFmtId="0" fontId="8" fillId="3" borderId="1" xfId="0" applyFont="1" applyFill="1" applyBorder="1" applyAlignment="1">
      <alignment horizontal="justify" vertical="top" wrapText="1"/>
    </xf>
    <xf numFmtId="16" fontId="8" fillId="3" borderId="1" xfId="0" applyNumberFormat="1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justify" vertical="top" wrapText="1"/>
    </xf>
    <xf numFmtId="1" fontId="12" fillId="4" borderId="3" xfId="0" applyNumberFormat="1" applyFont="1" applyFill="1" applyBorder="1" applyAlignment="1">
      <alignment horizontal="left" vertical="center" wrapText="1"/>
    </xf>
    <xf numFmtId="1" fontId="12" fillId="4" borderId="5" xfId="0" applyNumberFormat="1" applyFont="1" applyFill="1" applyBorder="1" applyAlignment="1">
      <alignment horizontal="left" vertical="center" wrapText="1"/>
    </xf>
    <xf numFmtId="0" fontId="12" fillId="4" borderId="7" xfId="0" applyFont="1" applyFill="1" applyBorder="1" applyAlignment="1">
      <alignment horizontal="center" vertical="top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justify" vertical="top" wrapText="1"/>
    </xf>
    <xf numFmtId="0" fontId="12" fillId="4" borderId="4" xfId="0" applyFont="1" applyFill="1" applyBorder="1" applyAlignment="1">
      <alignment horizontal="justify" vertical="top" wrapText="1"/>
    </xf>
    <xf numFmtId="0" fontId="12" fillId="4" borderId="5" xfId="0" applyFont="1" applyFill="1" applyBorder="1" applyAlignment="1">
      <alignment horizontal="justify" vertical="top" wrapText="1"/>
    </xf>
    <xf numFmtId="49" fontId="8" fillId="0" borderId="7" xfId="0" applyNumberFormat="1" applyFont="1" applyFill="1" applyBorder="1" applyAlignment="1">
      <alignment horizontal="center" vertical="top" textRotation="90" wrapText="1"/>
    </xf>
    <xf numFmtId="49" fontId="8" fillId="0" borderId="6" xfId="0" applyNumberFormat="1" applyFont="1" applyFill="1" applyBorder="1" applyAlignment="1">
      <alignment horizontal="center" vertical="top" textRotation="90" wrapText="1"/>
    </xf>
    <xf numFmtId="49" fontId="8" fillId="0" borderId="2" xfId="0" applyNumberFormat="1" applyFont="1" applyFill="1" applyBorder="1" applyAlignment="1">
      <alignment horizontal="center" vertical="top" textRotation="90" wrapText="1"/>
    </xf>
    <xf numFmtId="1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 wrapText="1"/>
    </xf>
    <xf numFmtId="14" fontId="11" fillId="3" borderId="7" xfId="0" applyNumberFormat="1" applyFont="1" applyFill="1" applyBorder="1" applyAlignment="1">
      <alignment horizontal="center" vertical="center" wrapText="1"/>
    </xf>
    <xf numFmtId="1" fontId="12" fillId="4" borderId="3" xfId="0" applyNumberFormat="1" applyFont="1" applyFill="1" applyBorder="1" applyAlignment="1">
      <alignment horizontal="left" vertical="top" wrapText="1"/>
    </xf>
    <xf numFmtId="1" fontId="12" fillId="4" borderId="5" xfId="0" applyNumberFormat="1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center" vertical="center" wrapText="1"/>
    </xf>
    <xf numFmtId="1" fontId="12" fillId="0" borderId="3" xfId="0" applyNumberFormat="1" applyFont="1" applyBorder="1" applyAlignment="1">
      <alignment horizontal="left" vertical="center" wrapText="1"/>
    </xf>
    <xf numFmtId="1" fontId="12" fillId="0" borderId="4" xfId="0" applyNumberFormat="1" applyFont="1" applyBorder="1" applyAlignment="1">
      <alignment horizontal="left" vertical="center" wrapText="1"/>
    </xf>
    <xf numFmtId="1" fontId="12" fillId="0" borderId="5" xfId="0" applyNumberFormat="1" applyFont="1" applyBorder="1" applyAlignment="1">
      <alignment horizontal="left" vertical="center" wrapText="1"/>
    </xf>
    <xf numFmtId="1" fontId="8" fillId="6" borderId="3" xfId="0" applyNumberFormat="1" applyFont="1" applyFill="1" applyBorder="1" applyAlignment="1">
      <alignment horizontal="center" vertical="center" wrapText="1"/>
    </xf>
    <xf numFmtId="1" fontId="8" fillId="6" borderId="4" xfId="0" applyNumberFormat="1" applyFont="1" applyFill="1" applyBorder="1" applyAlignment="1">
      <alignment horizontal="center" vertical="center" wrapText="1"/>
    </xf>
    <xf numFmtId="1" fontId="8" fillId="6" borderId="5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AAFE22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077"/>
  <sheetViews>
    <sheetView tabSelected="1" view="pageBreakPreview" zoomScale="20" zoomScaleNormal="60" zoomScaleSheetLayoutView="20" zoomScalePageLayoutView="18" workbookViewId="0">
      <selection activeCell="A9" sqref="A9:V9"/>
    </sheetView>
  </sheetViews>
  <sheetFormatPr defaultColWidth="9.140625" defaultRowHeight="46.5" x14ac:dyDescent="0.7"/>
  <cols>
    <col min="1" max="1" width="13.42578125" style="1" customWidth="1"/>
    <col min="2" max="2" width="19.7109375" style="2" customWidth="1"/>
    <col min="3" max="3" width="57.42578125" style="1" bestFit="1" customWidth="1"/>
    <col min="4" max="4" width="63.7109375" style="1" bestFit="1" customWidth="1"/>
    <col min="5" max="8" width="63.5703125" style="1" bestFit="1" customWidth="1"/>
    <col min="9" max="9" width="63.5703125" style="1" customWidth="1"/>
    <col min="10" max="10" width="62.28515625" style="49" customWidth="1"/>
    <col min="11" max="11" width="88.140625" style="49" customWidth="1"/>
    <col min="12" max="12" width="73.5703125" style="49" customWidth="1"/>
    <col min="13" max="13" width="38.7109375" style="49" customWidth="1"/>
    <col min="14" max="14" width="55.5703125" style="49" customWidth="1"/>
    <col min="15" max="15" width="55.28515625" style="49" customWidth="1"/>
    <col min="16" max="16" width="82.140625" style="49" customWidth="1"/>
    <col min="17" max="17" width="55.28515625" style="49" customWidth="1"/>
    <col min="18" max="18" width="50.85546875" style="49" customWidth="1"/>
    <col min="19" max="19" width="87.28515625" style="49" customWidth="1"/>
    <col min="20" max="20" width="52.140625" style="49" customWidth="1"/>
    <col min="21" max="21" width="43.5703125" style="49" customWidth="1"/>
    <col min="22" max="22" width="70.28515625" style="49" customWidth="1"/>
    <col min="23" max="23" width="88.42578125" style="12" customWidth="1"/>
    <col min="24" max="24" width="65.5703125" style="1" customWidth="1"/>
    <col min="25" max="16384" width="9.140625" style="1"/>
  </cols>
  <sheetData>
    <row r="1" spans="1:23" ht="48.75" customHeight="1" x14ac:dyDescent="0.7">
      <c r="Q1" s="46"/>
      <c r="R1" s="46"/>
      <c r="S1" s="46"/>
      <c r="T1" s="102" t="s">
        <v>339</v>
      </c>
      <c r="U1" s="102"/>
      <c r="V1" s="102"/>
    </row>
    <row r="2" spans="1:23" ht="48.75" customHeight="1" x14ac:dyDescent="0.7">
      <c r="Q2" s="46"/>
      <c r="R2" s="46"/>
      <c r="S2" s="102" t="s">
        <v>445</v>
      </c>
      <c r="T2" s="102"/>
      <c r="U2" s="102"/>
      <c r="V2" s="102"/>
    </row>
    <row r="3" spans="1:23" ht="48.75" customHeight="1" x14ac:dyDescent="0.7">
      <c r="Q3" s="46"/>
      <c r="R3" s="46"/>
      <c r="S3" s="46"/>
      <c r="T3" s="46"/>
      <c r="U3" s="46"/>
      <c r="V3" s="47" t="s">
        <v>704</v>
      </c>
    </row>
    <row r="4" spans="1:23" ht="33.75" customHeight="1" x14ac:dyDescent="0.7">
      <c r="Q4" s="46"/>
      <c r="R4" s="46"/>
      <c r="S4" s="46"/>
      <c r="T4" s="46"/>
      <c r="U4" s="48"/>
      <c r="V4" s="48"/>
    </row>
    <row r="5" spans="1:23" s="33" customFormat="1" ht="48.75" customHeight="1" x14ac:dyDescent="0.7">
      <c r="B5" s="34"/>
      <c r="J5" s="50"/>
      <c r="K5" s="50"/>
      <c r="L5" s="50"/>
      <c r="M5" s="50"/>
      <c r="N5" s="50"/>
      <c r="O5" s="50"/>
      <c r="P5" s="50"/>
      <c r="Q5" s="47"/>
      <c r="R5" s="47"/>
      <c r="S5" s="47"/>
      <c r="T5" s="47"/>
      <c r="U5" s="47"/>
      <c r="V5" s="47" t="s">
        <v>674</v>
      </c>
      <c r="W5" s="35"/>
    </row>
    <row r="6" spans="1:23" s="33" customFormat="1" ht="48.75" customHeight="1" x14ac:dyDescent="0.7">
      <c r="B6" s="34"/>
      <c r="J6" s="50"/>
      <c r="K6" s="50"/>
      <c r="L6" s="50"/>
      <c r="M6" s="50"/>
      <c r="N6" s="50"/>
      <c r="O6" s="50"/>
      <c r="P6" s="50"/>
      <c r="Q6" s="102" t="s">
        <v>445</v>
      </c>
      <c r="R6" s="102"/>
      <c r="S6" s="102"/>
      <c r="T6" s="102"/>
      <c r="U6" s="102"/>
      <c r="V6" s="102"/>
      <c r="W6" s="35"/>
    </row>
    <row r="7" spans="1:23" s="33" customFormat="1" ht="48.75" customHeight="1" x14ac:dyDescent="0.7">
      <c r="B7" s="34"/>
      <c r="J7" s="50"/>
      <c r="K7" s="50"/>
      <c r="L7" s="50"/>
      <c r="M7" s="50"/>
      <c r="N7" s="50"/>
      <c r="O7" s="50"/>
      <c r="P7" s="50"/>
      <c r="Q7" s="47"/>
      <c r="R7" s="47"/>
      <c r="S7" s="47"/>
      <c r="T7" s="47"/>
      <c r="U7" s="47"/>
      <c r="V7" s="47" t="s">
        <v>675</v>
      </c>
      <c r="W7" s="35"/>
    </row>
    <row r="8" spans="1:23" s="33" customFormat="1" ht="31.5" customHeight="1" x14ac:dyDescent="0.7">
      <c r="B8" s="34"/>
      <c r="J8" s="50"/>
      <c r="K8" s="50"/>
      <c r="L8" s="50"/>
      <c r="M8" s="50"/>
      <c r="N8" s="50"/>
      <c r="O8" s="50"/>
      <c r="P8" s="50"/>
      <c r="Q8" s="103"/>
      <c r="R8" s="103"/>
      <c r="S8" s="103"/>
      <c r="T8" s="103"/>
      <c r="U8" s="103"/>
      <c r="V8" s="103"/>
      <c r="W8" s="35"/>
    </row>
    <row r="9" spans="1:23" ht="75" customHeight="1" x14ac:dyDescent="0.7">
      <c r="A9" s="104" t="s">
        <v>193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</row>
    <row r="10" spans="1:23" ht="15.75" customHeight="1" x14ac:dyDescent="0.7">
      <c r="A10" s="3"/>
      <c r="B10" s="4"/>
      <c r="C10" s="3"/>
      <c r="D10" s="3"/>
      <c r="E10" s="3"/>
      <c r="F10" s="3"/>
      <c r="G10" s="3"/>
      <c r="H10" s="3"/>
      <c r="I10" s="3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2"/>
    </row>
    <row r="11" spans="1:23" ht="391.5" customHeight="1" x14ac:dyDescent="0.7">
      <c r="A11" s="98" t="s">
        <v>26</v>
      </c>
      <c r="B11" s="98"/>
      <c r="C11" s="98"/>
      <c r="D11" s="43" t="s">
        <v>5</v>
      </c>
      <c r="E11" s="43" t="s">
        <v>73</v>
      </c>
      <c r="F11" s="43" t="s">
        <v>74</v>
      </c>
      <c r="G11" s="43" t="s">
        <v>96</v>
      </c>
      <c r="H11" s="43" t="s">
        <v>119</v>
      </c>
      <c r="I11" s="43" t="s">
        <v>197</v>
      </c>
      <c r="J11" s="43" t="s">
        <v>120</v>
      </c>
      <c r="K11" s="43" t="s">
        <v>121</v>
      </c>
      <c r="L11" s="43" t="s">
        <v>117</v>
      </c>
      <c r="M11" s="43" t="s">
        <v>4</v>
      </c>
      <c r="N11" s="43" t="s">
        <v>95</v>
      </c>
      <c r="O11" s="43" t="s">
        <v>111</v>
      </c>
      <c r="P11" s="43" t="s">
        <v>122</v>
      </c>
      <c r="Q11" s="43" t="s">
        <v>194</v>
      </c>
      <c r="R11" s="43" t="s">
        <v>123</v>
      </c>
      <c r="S11" s="43" t="s">
        <v>124</v>
      </c>
      <c r="T11" s="43" t="s">
        <v>195</v>
      </c>
      <c r="U11" s="14" t="s">
        <v>8</v>
      </c>
      <c r="V11" s="14" t="s">
        <v>6</v>
      </c>
    </row>
    <row r="12" spans="1:23" s="3" customFormat="1" ht="45.75" x14ac:dyDescent="0.65">
      <c r="A12" s="15">
        <v>1</v>
      </c>
      <c r="B12" s="41">
        <v>2</v>
      </c>
      <c r="C12" s="15">
        <v>3</v>
      </c>
      <c r="D12" s="15">
        <v>4</v>
      </c>
      <c r="E12" s="15">
        <v>6</v>
      </c>
      <c r="F12" s="15">
        <v>7</v>
      </c>
      <c r="G12" s="15">
        <v>8</v>
      </c>
      <c r="H12" s="15">
        <v>9</v>
      </c>
      <c r="I12" s="15">
        <v>10</v>
      </c>
      <c r="J12" s="53">
        <v>11</v>
      </c>
      <c r="K12" s="53">
        <v>12</v>
      </c>
      <c r="L12" s="53">
        <v>13</v>
      </c>
      <c r="M12" s="53">
        <v>14</v>
      </c>
      <c r="N12" s="53">
        <v>15</v>
      </c>
      <c r="O12" s="53">
        <v>16</v>
      </c>
      <c r="P12" s="53">
        <v>17</v>
      </c>
      <c r="Q12" s="53">
        <v>18</v>
      </c>
      <c r="R12" s="53">
        <v>19</v>
      </c>
      <c r="S12" s="53">
        <v>20</v>
      </c>
      <c r="T12" s="53">
        <v>21</v>
      </c>
      <c r="U12" s="53">
        <v>22</v>
      </c>
      <c r="V12" s="53">
        <v>23</v>
      </c>
      <c r="W12" s="22"/>
    </row>
    <row r="13" spans="1:23" s="5" customFormat="1" ht="45.75" x14ac:dyDescent="0.65">
      <c r="A13" s="99" t="s">
        <v>31</v>
      </c>
      <c r="B13" s="100" t="s">
        <v>196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22"/>
    </row>
    <row r="14" spans="1:23" s="6" customFormat="1" ht="45.75" x14ac:dyDescent="0.65">
      <c r="A14" s="99"/>
      <c r="B14" s="101" t="s">
        <v>5</v>
      </c>
      <c r="C14" s="101"/>
      <c r="D14" s="16">
        <f t="shared" ref="D14" si="0">SUM(D15:D18)</f>
        <v>1132313.88885</v>
      </c>
      <c r="E14" s="16">
        <f t="shared" ref="E14:H14" si="1">E22+E30+E38+E46+E54+E62+E70+E78+E86++E94+E102+E110</f>
        <v>223215.88885000002</v>
      </c>
      <c r="F14" s="16">
        <f t="shared" si="1"/>
        <v>474705.38</v>
      </c>
      <c r="G14" s="16">
        <f t="shared" si="1"/>
        <v>35290</v>
      </c>
      <c r="H14" s="16">
        <f t="shared" si="1"/>
        <v>198763.98</v>
      </c>
      <c r="I14" s="16">
        <f t="shared" ref="I14" si="2">I22+I30+I38+I46+I54+I62+I70+I78+I86++I94+I102+I110</f>
        <v>200338.64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22"/>
    </row>
    <row r="15" spans="1:23" s="7" customFormat="1" ht="87" customHeight="1" x14ac:dyDescent="0.7">
      <c r="A15" s="99"/>
      <c r="B15" s="101" t="s">
        <v>0</v>
      </c>
      <c r="C15" s="101"/>
      <c r="D15" s="16"/>
      <c r="E15" s="16"/>
      <c r="F15" s="16"/>
      <c r="G15" s="16"/>
      <c r="H15" s="16"/>
      <c r="I15" s="16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12"/>
    </row>
    <row r="16" spans="1:23" s="7" customFormat="1" x14ac:dyDescent="0.7">
      <c r="A16" s="99"/>
      <c r="B16" s="101" t="s">
        <v>1</v>
      </c>
      <c r="C16" s="101"/>
      <c r="D16" s="16">
        <f>SUM(E16:I16)</f>
        <v>1132313.88885</v>
      </c>
      <c r="E16" s="16">
        <f>E24+E32+E40+E48+E56+E64+E72+E80+E88++E96+E104+E112</f>
        <v>223215.88885000002</v>
      </c>
      <c r="F16" s="16">
        <f t="shared" ref="F16:I16" si="3">F24+F32+F40+F48+F56+F64+F72+F80+F88++F96+F104+F112</f>
        <v>474705.38</v>
      </c>
      <c r="G16" s="16">
        <f t="shared" si="3"/>
        <v>35290</v>
      </c>
      <c r="H16" s="16">
        <f t="shared" si="3"/>
        <v>198763.98</v>
      </c>
      <c r="I16" s="16">
        <f t="shared" si="3"/>
        <v>200338.64</v>
      </c>
      <c r="J16" s="54"/>
      <c r="K16" s="55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12"/>
    </row>
    <row r="17" spans="1:23" s="7" customFormat="1" x14ac:dyDescent="0.7">
      <c r="A17" s="99"/>
      <c r="B17" s="101" t="s">
        <v>2</v>
      </c>
      <c r="C17" s="101"/>
      <c r="D17" s="16"/>
      <c r="E17" s="16"/>
      <c r="F17" s="16"/>
      <c r="G17" s="16"/>
      <c r="H17" s="16"/>
      <c r="I17" s="16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12"/>
    </row>
    <row r="18" spans="1:23" s="7" customFormat="1" ht="90.75" customHeight="1" x14ac:dyDescent="0.7">
      <c r="A18" s="99"/>
      <c r="B18" s="101" t="s">
        <v>3</v>
      </c>
      <c r="C18" s="101"/>
      <c r="D18" s="16"/>
      <c r="E18" s="16"/>
      <c r="F18" s="16"/>
      <c r="G18" s="16"/>
      <c r="H18" s="16"/>
      <c r="I18" s="16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12"/>
    </row>
    <row r="19" spans="1:23" s="7" customFormat="1" ht="45.75" customHeight="1" x14ac:dyDescent="0.7">
      <c r="A19" s="108" t="s">
        <v>90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2"/>
    </row>
    <row r="20" spans="1:23" s="7" customFormat="1" x14ac:dyDescent="0.7">
      <c r="A20" s="109"/>
      <c r="B20" s="110" t="s">
        <v>199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2"/>
    </row>
    <row r="21" spans="1:23" s="7" customFormat="1" ht="105.75" customHeight="1" x14ac:dyDescent="0.7">
      <c r="A21" s="109"/>
      <c r="B21" s="111" t="s">
        <v>32</v>
      </c>
      <c r="C21" s="112" t="s">
        <v>27</v>
      </c>
      <c r="D21" s="112"/>
      <c r="E21" s="112"/>
      <c r="F21" s="112"/>
      <c r="G21" s="112"/>
      <c r="H21" s="112"/>
      <c r="I21" s="45"/>
      <c r="J21" s="65" t="s">
        <v>198</v>
      </c>
      <c r="K21" s="65"/>
      <c r="L21" s="65" t="s">
        <v>86</v>
      </c>
      <c r="M21" s="65"/>
      <c r="N21" s="65" t="s">
        <v>90</v>
      </c>
      <c r="O21" s="65" t="s">
        <v>90</v>
      </c>
      <c r="P21" s="65" t="s">
        <v>90</v>
      </c>
      <c r="Q21" s="105"/>
      <c r="R21" s="65" t="s">
        <v>11</v>
      </c>
      <c r="S21" s="65" t="s">
        <v>85</v>
      </c>
      <c r="T21" s="65" t="s">
        <v>177</v>
      </c>
      <c r="U21" s="65"/>
      <c r="V21" s="65"/>
      <c r="W21" s="12"/>
    </row>
    <row r="22" spans="1:23" s="7" customFormat="1" x14ac:dyDescent="0.7">
      <c r="A22" s="109"/>
      <c r="B22" s="111"/>
      <c r="C22" s="44" t="s">
        <v>5</v>
      </c>
      <c r="D22" s="17">
        <f>SUM(D23:D26)</f>
        <v>146758.99979999999</v>
      </c>
      <c r="E22" s="18">
        <f t="shared" ref="E22:F22" si="4">SUM(E23:E26)</f>
        <v>76758.999800000005</v>
      </c>
      <c r="F22" s="18">
        <f t="shared" si="4"/>
        <v>70000</v>
      </c>
      <c r="G22" s="18"/>
      <c r="H22" s="18"/>
      <c r="I22" s="18"/>
      <c r="J22" s="66"/>
      <c r="K22" s="66"/>
      <c r="L22" s="66"/>
      <c r="M22" s="66"/>
      <c r="N22" s="66"/>
      <c r="O22" s="66"/>
      <c r="P22" s="66"/>
      <c r="Q22" s="106"/>
      <c r="R22" s="66"/>
      <c r="S22" s="66"/>
      <c r="T22" s="66"/>
      <c r="U22" s="66"/>
      <c r="V22" s="66"/>
      <c r="W22" s="12"/>
    </row>
    <row r="23" spans="1:23" s="7" customFormat="1" ht="91.5" x14ac:dyDescent="0.7">
      <c r="A23" s="109"/>
      <c r="B23" s="111"/>
      <c r="C23" s="44" t="s">
        <v>0</v>
      </c>
      <c r="D23" s="17"/>
      <c r="E23" s="18"/>
      <c r="F23" s="18"/>
      <c r="G23" s="18"/>
      <c r="H23" s="18"/>
      <c r="I23" s="18"/>
      <c r="J23" s="66"/>
      <c r="K23" s="66"/>
      <c r="L23" s="66"/>
      <c r="M23" s="66"/>
      <c r="N23" s="66"/>
      <c r="O23" s="66"/>
      <c r="P23" s="66"/>
      <c r="Q23" s="106"/>
      <c r="R23" s="66"/>
      <c r="S23" s="66"/>
      <c r="T23" s="66"/>
      <c r="U23" s="66"/>
      <c r="V23" s="66"/>
      <c r="W23" s="12"/>
    </row>
    <row r="24" spans="1:23" s="7" customFormat="1" ht="91.5" x14ac:dyDescent="0.7">
      <c r="A24" s="109"/>
      <c r="B24" s="111"/>
      <c r="C24" s="44" t="s">
        <v>1</v>
      </c>
      <c r="D24" s="17">
        <f>SUM(E24:H24)</f>
        <v>146758.99979999999</v>
      </c>
      <c r="E24" s="18">
        <f>53150+26240-2631.0002</f>
        <v>76758.999800000005</v>
      </c>
      <c r="F24" s="18">
        <v>70000</v>
      </c>
      <c r="G24" s="18"/>
      <c r="H24" s="18"/>
      <c r="I24" s="18"/>
      <c r="J24" s="66"/>
      <c r="K24" s="66"/>
      <c r="L24" s="66"/>
      <c r="M24" s="66"/>
      <c r="N24" s="66"/>
      <c r="O24" s="66"/>
      <c r="P24" s="66"/>
      <c r="Q24" s="106"/>
      <c r="R24" s="66"/>
      <c r="S24" s="66"/>
      <c r="T24" s="66"/>
      <c r="U24" s="66"/>
      <c r="V24" s="66"/>
      <c r="W24" s="12"/>
    </row>
    <row r="25" spans="1:23" s="7" customFormat="1" ht="87" customHeight="1" x14ac:dyDescent="0.7">
      <c r="A25" s="109"/>
      <c r="B25" s="111"/>
      <c r="C25" s="44" t="s">
        <v>2</v>
      </c>
      <c r="D25" s="17"/>
      <c r="E25" s="18"/>
      <c r="F25" s="18"/>
      <c r="G25" s="18"/>
      <c r="H25" s="18"/>
      <c r="I25" s="18"/>
      <c r="J25" s="66"/>
      <c r="K25" s="66"/>
      <c r="L25" s="66"/>
      <c r="M25" s="66"/>
      <c r="N25" s="66"/>
      <c r="O25" s="66"/>
      <c r="P25" s="66"/>
      <c r="Q25" s="106"/>
      <c r="R25" s="66"/>
      <c r="S25" s="66"/>
      <c r="T25" s="66"/>
      <c r="U25" s="66"/>
      <c r="V25" s="66"/>
      <c r="W25" s="12"/>
    </row>
    <row r="26" spans="1:23" s="7" customFormat="1" ht="91.5" x14ac:dyDescent="0.7">
      <c r="A26" s="109"/>
      <c r="B26" s="111"/>
      <c r="C26" s="44" t="s">
        <v>3</v>
      </c>
      <c r="D26" s="17"/>
      <c r="E26" s="18"/>
      <c r="F26" s="18"/>
      <c r="G26" s="18"/>
      <c r="H26" s="18"/>
      <c r="I26" s="18"/>
      <c r="J26" s="67"/>
      <c r="K26" s="67"/>
      <c r="L26" s="67"/>
      <c r="M26" s="67"/>
      <c r="N26" s="67"/>
      <c r="O26" s="67"/>
      <c r="P26" s="67"/>
      <c r="Q26" s="107"/>
      <c r="R26" s="67"/>
      <c r="S26" s="67"/>
      <c r="T26" s="67"/>
      <c r="U26" s="67"/>
      <c r="V26" s="67"/>
      <c r="W26" s="12"/>
    </row>
    <row r="27" spans="1:23" s="7" customFormat="1" x14ac:dyDescent="0.7">
      <c r="A27" s="74" t="s">
        <v>25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6"/>
      <c r="W27" s="12"/>
    </row>
    <row r="28" spans="1:23" s="7" customFormat="1" x14ac:dyDescent="0.7">
      <c r="A28" s="77"/>
      <c r="B28" s="80" t="s">
        <v>200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2"/>
      <c r="W28" s="12"/>
    </row>
    <row r="29" spans="1:23" s="7" customFormat="1" ht="120" customHeight="1" x14ac:dyDescent="0.7">
      <c r="A29" s="78"/>
      <c r="B29" s="83" t="s">
        <v>33</v>
      </c>
      <c r="C29" s="95" t="s">
        <v>204</v>
      </c>
      <c r="D29" s="96"/>
      <c r="E29" s="96"/>
      <c r="F29" s="96"/>
      <c r="G29" s="96"/>
      <c r="H29" s="97"/>
      <c r="I29" s="29"/>
      <c r="J29" s="65" t="s">
        <v>73</v>
      </c>
      <c r="K29" s="68"/>
      <c r="L29" s="68" t="s">
        <v>87</v>
      </c>
      <c r="M29" s="68"/>
      <c r="N29" s="68" t="s">
        <v>25</v>
      </c>
      <c r="O29" s="68" t="s">
        <v>25</v>
      </c>
      <c r="P29" s="68" t="s">
        <v>25</v>
      </c>
      <c r="Q29" s="71" t="s">
        <v>202</v>
      </c>
      <c r="R29" s="68" t="s">
        <v>11</v>
      </c>
      <c r="S29" s="68" t="s">
        <v>201</v>
      </c>
      <c r="T29" s="65" t="s">
        <v>19</v>
      </c>
      <c r="U29" s="68"/>
      <c r="V29" s="68" t="s">
        <v>203</v>
      </c>
      <c r="W29" s="12"/>
    </row>
    <row r="30" spans="1:23" s="7" customFormat="1" x14ac:dyDescent="0.7">
      <c r="A30" s="78"/>
      <c r="B30" s="84"/>
      <c r="C30" s="32" t="s">
        <v>5</v>
      </c>
      <c r="D30" s="19">
        <f t="shared" ref="D30:F30" si="5">SUM(D31:D34)</f>
        <v>54000</v>
      </c>
      <c r="E30" s="13"/>
      <c r="F30" s="13">
        <f t="shared" si="5"/>
        <v>54000</v>
      </c>
      <c r="G30" s="13"/>
      <c r="H30" s="13"/>
      <c r="I30" s="13"/>
      <c r="J30" s="66"/>
      <c r="K30" s="69"/>
      <c r="L30" s="69"/>
      <c r="M30" s="69"/>
      <c r="N30" s="69"/>
      <c r="O30" s="69"/>
      <c r="P30" s="69"/>
      <c r="Q30" s="72"/>
      <c r="R30" s="69"/>
      <c r="S30" s="69"/>
      <c r="T30" s="66"/>
      <c r="U30" s="69"/>
      <c r="V30" s="69"/>
      <c r="W30" s="12"/>
    </row>
    <row r="31" spans="1:23" s="7" customFormat="1" ht="91.5" x14ac:dyDescent="0.7">
      <c r="A31" s="78"/>
      <c r="B31" s="84"/>
      <c r="C31" s="32" t="s">
        <v>0</v>
      </c>
      <c r="D31" s="19"/>
      <c r="E31" s="13"/>
      <c r="F31" s="13"/>
      <c r="G31" s="13"/>
      <c r="H31" s="13"/>
      <c r="I31" s="13"/>
      <c r="J31" s="66"/>
      <c r="K31" s="69"/>
      <c r="L31" s="69"/>
      <c r="M31" s="69"/>
      <c r="N31" s="69"/>
      <c r="O31" s="69"/>
      <c r="P31" s="69"/>
      <c r="Q31" s="72"/>
      <c r="R31" s="69"/>
      <c r="S31" s="69"/>
      <c r="T31" s="66"/>
      <c r="U31" s="69"/>
      <c r="V31" s="69"/>
      <c r="W31" s="12"/>
    </row>
    <row r="32" spans="1:23" s="7" customFormat="1" ht="91.5" x14ac:dyDescent="0.7">
      <c r="A32" s="78"/>
      <c r="B32" s="84"/>
      <c r="C32" s="32" t="s">
        <v>1</v>
      </c>
      <c r="D32" s="19">
        <f>SUM(E32:H32)</f>
        <v>54000</v>
      </c>
      <c r="E32" s="18"/>
      <c r="F32" s="13">
        <f>0+54000</f>
        <v>54000</v>
      </c>
      <c r="G32" s="13"/>
      <c r="H32" s="13"/>
      <c r="I32" s="13"/>
      <c r="J32" s="66"/>
      <c r="K32" s="69"/>
      <c r="L32" s="69"/>
      <c r="M32" s="69"/>
      <c r="N32" s="69"/>
      <c r="O32" s="69"/>
      <c r="P32" s="69"/>
      <c r="Q32" s="72"/>
      <c r="R32" s="69"/>
      <c r="S32" s="69"/>
      <c r="T32" s="66"/>
      <c r="U32" s="69"/>
      <c r="V32" s="69"/>
      <c r="W32" s="12"/>
    </row>
    <row r="33" spans="1:23" s="7" customFormat="1" ht="94.5" customHeight="1" x14ac:dyDescent="0.7">
      <c r="A33" s="78"/>
      <c r="B33" s="84"/>
      <c r="C33" s="32" t="s">
        <v>2</v>
      </c>
      <c r="D33" s="19"/>
      <c r="E33" s="13"/>
      <c r="F33" s="13"/>
      <c r="G33" s="13"/>
      <c r="H33" s="13"/>
      <c r="I33" s="13"/>
      <c r="J33" s="66"/>
      <c r="K33" s="69"/>
      <c r="L33" s="69"/>
      <c r="M33" s="69"/>
      <c r="N33" s="69"/>
      <c r="O33" s="69"/>
      <c r="P33" s="69"/>
      <c r="Q33" s="72"/>
      <c r="R33" s="69"/>
      <c r="S33" s="69"/>
      <c r="T33" s="66"/>
      <c r="U33" s="69"/>
      <c r="V33" s="69"/>
      <c r="W33" s="12"/>
    </row>
    <row r="34" spans="1:23" s="7" customFormat="1" ht="91.5" x14ac:dyDescent="0.7">
      <c r="A34" s="79"/>
      <c r="B34" s="85"/>
      <c r="C34" s="32" t="s">
        <v>3</v>
      </c>
      <c r="D34" s="19"/>
      <c r="E34" s="13"/>
      <c r="F34" s="13"/>
      <c r="G34" s="13"/>
      <c r="H34" s="13"/>
      <c r="I34" s="13"/>
      <c r="J34" s="67"/>
      <c r="K34" s="70"/>
      <c r="L34" s="70"/>
      <c r="M34" s="70"/>
      <c r="N34" s="70"/>
      <c r="O34" s="70"/>
      <c r="P34" s="70"/>
      <c r="Q34" s="73"/>
      <c r="R34" s="70"/>
      <c r="S34" s="70"/>
      <c r="T34" s="67"/>
      <c r="U34" s="70"/>
      <c r="V34" s="70"/>
      <c r="W34" s="12"/>
    </row>
    <row r="35" spans="1:23" s="7" customFormat="1" x14ac:dyDescent="0.7">
      <c r="A35" s="74" t="s">
        <v>25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6"/>
      <c r="W35" s="12"/>
    </row>
    <row r="36" spans="1:23" s="7" customFormat="1" ht="45.75" customHeight="1" x14ac:dyDescent="0.7">
      <c r="A36" s="77"/>
      <c r="B36" s="80" t="s">
        <v>200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2"/>
      <c r="W36" s="12"/>
    </row>
    <row r="37" spans="1:23" s="7" customFormat="1" ht="101.25" customHeight="1" x14ac:dyDescent="0.7">
      <c r="A37" s="78"/>
      <c r="B37" s="83" t="s">
        <v>34</v>
      </c>
      <c r="C37" s="95" t="s">
        <v>205</v>
      </c>
      <c r="D37" s="96"/>
      <c r="E37" s="96"/>
      <c r="F37" s="96"/>
      <c r="G37" s="96"/>
      <c r="H37" s="97"/>
      <c r="I37" s="29"/>
      <c r="J37" s="65" t="s">
        <v>96</v>
      </c>
      <c r="K37" s="68"/>
      <c r="L37" s="68" t="s">
        <v>87</v>
      </c>
      <c r="M37" s="68"/>
      <c r="N37" s="68" t="s">
        <v>25</v>
      </c>
      <c r="O37" s="68" t="s">
        <v>25</v>
      </c>
      <c r="P37" s="68" t="s">
        <v>25</v>
      </c>
      <c r="Q37" s="71" t="s">
        <v>206</v>
      </c>
      <c r="R37" s="68" t="s">
        <v>11</v>
      </c>
      <c r="S37" s="65" t="s">
        <v>85</v>
      </c>
      <c r="T37" s="65" t="s">
        <v>19</v>
      </c>
      <c r="U37" s="68"/>
      <c r="V37" s="68" t="s">
        <v>203</v>
      </c>
      <c r="W37" s="12"/>
    </row>
    <row r="38" spans="1:23" s="7" customFormat="1" x14ac:dyDescent="0.7">
      <c r="A38" s="78"/>
      <c r="B38" s="84"/>
      <c r="C38" s="32" t="s">
        <v>5</v>
      </c>
      <c r="D38" s="19">
        <f t="shared" ref="D38:G38" si="6">SUM(D39:D42)</f>
        <v>55895.38</v>
      </c>
      <c r="E38" s="13"/>
      <c r="F38" s="13">
        <f t="shared" si="6"/>
        <v>20605.379999999997</v>
      </c>
      <c r="G38" s="13">
        <f t="shared" si="6"/>
        <v>35290</v>
      </c>
      <c r="H38" s="13"/>
      <c r="I38" s="13"/>
      <c r="J38" s="66"/>
      <c r="K38" s="69"/>
      <c r="L38" s="69"/>
      <c r="M38" s="69"/>
      <c r="N38" s="69"/>
      <c r="O38" s="69"/>
      <c r="P38" s="69"/>
      <c r="Q38" s="72"/>
      <c r="R38" s="69"/>
      <c r="S38" s="66"/>
      <c r="T38" s="66"/>
      <c r="U38" s="69"/>
      <c r="V38" s="69"/>
      <c r="W38" s="12"/>
    </row>
    <row r="39" spans="1:23" s="7" customFormat="1" ht="91.5" x14ac:dyDescent="0.7">
      <c r="A39" s="78"/>
      <c r="B39" s="84"/>
      <c r="C39" s="32" t="s">
        <v>0</v>
      </c>
      <c r="D39" s="19"/>
      <c r="E39" s="13"/>
      <c r="F39" s="13"/>
      <c r="G39" s="13"/>
      <c r="H39" s="13"/>
      <c r="I39" s="13"/>
      <c r="J39" s="66"/>
      <c r="K39" s="69"/>
      <c r="L39" s="69"/>
      <c r="M39" s="69"/>
      <c r="N39" s="69"/>
      <c r="O39" s="69"/>
      <c r="P39" s="69"/>
      <c r="Q39" s="72"/>
      <c r="R39" s="69"/>
      <c r="S39" s="66"/>
      <c r="T39" s="66"/>
      <c r="U39" s="69"/>
      <c r="V39" s="69"/>
      <c r="W39" s="12"/>
    </row>
    <row r="40" spans="1:23" s="7" customFormat="1" ht="91.5" x14ac:dyDescent="0.7">
      <c r="A40" s="78"/>
      <c r="B40" s="84"/>
      <c r="C40" s="32" t="s">
        <v>1</v>
      </c>
      <c r="D40" s="19">
        <f>SUM(E40:H40)</f>
        <v>55895.38</v>
      </c>
      <c r="E40" s="18"/>
      <c r="F40" s="13">
        <f>34760-14154.62</f>
        <v>20605.379999999997</v>
      </c>
      <c r="G40" s="13">
        <v>35290</v>
      </c>
      <c r="H40" s="13"/>
      <c r="I40" s="13"/>
      <c r="J40" s="66"/>
      <c r="K40" s="69"/>
      <c r="L40" s="69"/>
      <c r="M40" s="69"/>
      <c r="N40" s="69"/>
      <c r="O40" s="69"/>
      <c r="P40" s="69"/>
      <c r="Q40" s="72"/>
      <c r="R40" s="69"/>
      <c r="S40" s="66"/>
      <c r="T40" s="66"/>
      <c r="U40" s="69"/>
      <c r="V40" s="69"/>
      <c r="W40" s="12"/>
    </row>
    <row r="41" spans="1:23" s="7" customFormat="1" ht="98.25" customHeight="1" x14ac:dyDescent="0.7">
      <c r="A41" s="78"/>
      <c r="B41" s="84"/>
      <c r="C41" s="32" t="s">
        <v>2</v>
      </c>
      <c r="D41" s="19"/>
      <c r="E41" s="13"/>
      <c r="F41" s="13"/>
      <c r="G41" s="13"/>
      <c r="H41" s="13"/>
      <c r="I41" s="13"/>
      <c r="J41" s="66"/>
      <c r="K41" s="69"/>
      <c r="L41" s="69"/>
      <c r="M41" s="69"/>
      <c r="N41" s="69"/>
      <c r="O41" s="69"/>
      <c r="P41" s="69"/>
      <c r="Q41" s="72"/>
      <c r="R41" s="69"/>
      <c r="S41" s="66"/>
      <c r="T41" s="66"/>
      <c r="U41" s="69"/>
      <c r="V41" s="69"/>
      <c r="W41" s="12"/>
    </row>
    <row r="42" spans="1:23" s="7" customFormat="1" ht="91.5" x14ac:dyDescent="0.7">
      <c r="A42" s="79"/>
      <c r="B42" s="85"/>
      <c r="C42" s="32" t="s">
        <v>3</v>
      </c>
      <c r="D42" s="19"/>
      <c r="E42" s="13"/>
      <c r="F42" s="13"/>
      <c r="G42" s="13"/>
      <c r="H42" s="13"/>
      <c r="I42" s="13"/>
      <c r="J42" s="67"/>
      <c r="K42" s="70"/>
      <c r="L42" s="70"/>
      <c r="M42" s="70"/>
      <c r="N42" s="70"/>
      <c r="O42" s="70"/>
      <c r="P42" s="70"/>
      <c r="Q42" s="73"/>
      <c r="R42" s="70"/>
      <c r="S42" s="67"/>
      <c r="T42" s="67"/>
      <c r="U42" s="70"/>
      <c r="V42" s="70"/>
      <c r="W42" s="12"/>
    </row>
    <row r="43" spans="1:23" s="7" customFormat="1" ht="45.75" customHeight="1" x14ac:dyDescent="0.7">
      <c r="A43" s="74" t="s">
        <v>25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6"/>
      <c r="W43" s="12"/>
    </row>
    <row r="44" spans="1:23" s="7" customFormat="1" ht="45.75" customHeight="1" x14ac:dyDescent="0.7">
      <c r="A44" s="77"/>
      <c r="B44" s="80" t="s">
        <v>200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2"/>
      <c r="W44" s="12"/>
    </row>
    <row r="45" spans="1:23" s="7" customFormat="1" ht="102" customHeight="1" x14ac:dyDescent="0.7">
      <c r="A45" s="78"/>
      <c r="B45" s="83" t="s">
        <v>35</v>
      </c>
      <c r="C45" s="95" t="s">
        <v>592</v>
      </c>
      <c r="D45" s="96"/>
      <c r="E45" s="96"/>
      <c r="F45" s="96"/>
      <c r="G45" s="96"/>
      <c r="H45" s="97"/>
      <c r="I45" s="29"/>
      <c r="J45" s="65"/>
      <c r="K45" s="68" t="s">
        <v>612</v>
      </c>
      <c r="L45" s="65" t="s">
        <v>87</v>
      </c>
      <c r="M45" s="68"/>
      <c r="N45" s="68" t="s">
        <v>25</v>
      </c>
      <c r="O45" s="68" t="s">
        <v>25</v>
      </c>
      <c r="P45" s="68" t="s">
        <v>25</v>
      </c>
      <c r="Q45" s="71"/>
      <c r="R45" s="65" t="s">
        <v>11</v>
      </c>
      <c r="S45" s="68" t="s">
        <v>207</v>
      </c>
      <c r="T45" s="65" t="s">
        <v>208</v>
      </c>
      <c r="U45" s="68"/>
      <c r="V45" s="68"/>
      <c r="W45" s="12"/>
    </row>
    <row r="46" spans="1:23" s="7" customFormat="1" x14ac:dyDescent="0.7">
      <c r="A46" s="78"/>
      <c r="B46" s="84"/>
      <c r="C46" s="32" t="s">
        <v>5</v>
      </c>
      <c r="D46" s="19">
        <f t="shared" ref="D46:E46" si="7">SUM(D47:D50)</f>
        <v>117.51082999999994</v>
      </c>
      <c r="E46" s="13">
        <f t="shared" si="7"/>
        <v>117.51082999999994</v>
      </c>
      <c r="F46" s="13"/>
      <c r="G46" s="13"/>
      <c r="H46" s="13"/>
      <c r="I46" s="13"/>
      <c r="J46" s="66"/>
      <c r="K46" s="69"/>
      <c r="L46" s="66"/>
      <c r="M46" s="69"/>
      <c r="N46" s="69"/>
      <c r="O46" s="69"/>
      <c r="P46" s="69"/>
      <c r="Q46" s="72"/>
      <c r="R46" s="66"/>
      <c r="S46" s="69"/>
      <c r="T46" s="66"/>
      <c r="U46" s="69"/>
      <c r="V46" s="69"/>
      <c r="W46" s="12"/>
    </row>
    <row r="47" spans="1:23" s="7" customFormat="1" ht="91.5" x14ac:dyDescent="0.7">
      <c r="A47" s="78"/>
      <c r="B47" s="84"/>
      <c r="C47" s="32" t="s">
        <v>0</v>
      </c>
      <c r="D47" s="19"/>
      <c r="E47" s="13"/>
      <c r="F47" s="13"/>
      <c r="G47" s="13"/>
      <c r="H47" s="13"/>
      <c r="I47" s="13"/>
      <c r="J47" s="66"/>
      <c r="K47" s="69"/>
      <c r="L47" s="66"/>
      <c r="M47" s="69"/>
      <c r="N47" s="69"/>
      <c r="O47" s="69"/>
      <c r="P47" s="69"/>
      <c r="Q47" s="72"/>
      <c r="R47" s="66"/>
      <c r="S47" s="69"/>
      <c r="T47" s="66"/>
      <c r="U47" s="69"/>
      <c r="V47" s="69"/>
      <c r="W47" s="12"/>
    </row>
    <row r="48" spans="1:23" s="7" customFormat="1" ht="91.5" x14ac:dyDescent="0.7">
      <c r="A48" s="78"/>
      <c r="B48" s="84"/>
      <c r="C48" s="32" t="s">
        <v>1</v>
      </c>
      <c r="D48" s="19">
        <f>SUM(E48:H48)</f>
        <v>117.51082999999994</v>
      </c>
      <c r="E48" s="13">
        <f>3846.38-2296.38-1432.48917</f>
        <v>117.51082999999994</v>
      </c>
      <c r="F48" s="13"/>
      <c r="G48" s="13"/>
      <c r="H48" s="13"/>
      <c r="I48" s="13"/>
      <c r="J48" s="66"/>
      <c r="K48" s="69"/>
      <c r="L48" s="66"/>
      <c r="M48" s="69"/>
      <c r="N48" s="69"/>
      <c r="O48" s="69"/>
      <c r="P48" s="69"/>
      <c r="Q48" s="72"/>
      <c r="R48" s="66"/>
      <c r="S48" s="69"/>
      <c r="T48" s="66"/>
      <c r="U48" s="69"/>
      <c r="V48" s="69"/>
      <c r="W48" s="12"/>
    </row>
    <row r="49" spans="1:23" s="7" customFormat="1" ht="94.5" customHeight="1" x14ac:dyDescent="0.7">
      <c r="A49" s="78"/>
      <c r="B49" s="84"/>
      <c r="C49" s="32" t="s">
        <v>2</v>
      </c>
      <c r="D49" s="19"/>
      <c r="E49" s="13"/>
      <c r="F49" s="13"/>
      <c r="G49" s="13"/>
      <c r="H49" s="13"/>
      <c r="I49" s="13"/>
      <c r="J49" s="66"/>
      <c r="K49" s="69"/>
      <c r="L49" s="66"/>
      <c r="M49" s="69"/>
      <c r="N49" s="69"/>
      <c r="O49" s="69"/>
      <c r="P49" s="69"/>
      <c r="Q49" s="72"/>
      <c r="R49" s="66"/>
      <c r="S49" s="69"/>
      <c r="T49" s="66"/>
      <c r="U49" s="69"/>
      <c r="V49" s="69"/>
      <c r="W49" s="12"/>
    </row>
    <row r="50" spans="1:23" s="7" customFormat="1" ht="91.5" x14ac:dyDescent="0.7">
      <c r="A50" s="79"/>
      <c r="B50" s="85"/>
      <c r="C50" s="32" t="s">
        <v>3</v>
      </c>
      <c r="D50" s="19"/>
      <c r="E50" s="13"/>
      <c r="F50" s="13"/>
      <c r="G50" s="13"/>
      <c r="H50" s="13"/>
      <c r="I50" s="13"/>
      <c r="J50" s="67"/>
      <c r="K50" s="70"/>
      <c r="L50" s="67"/>
      <c r="M50" s="70"/>
      <c r="N50" s="70"/>
      <c r="O50" s="70"/>
      <c r="P50" s="70"/>
      <c r="Q50" s="73"/>
      <c r="R50" s="67"/>
      <c r="S50" s="70"/>
      <c r="T50" s="67"/>
      <c r="U50" s="70"/>
      <c r="V50" s="70"/>
      <c r="W50" s="12"/>
    </row>
    <row r="51" spans="1:23" s="7" customFormat="1" x14ac:dyDescent="0.7">
      <c r="A51" s="74" t="s">
        <v>25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6"/>
      <c r="W51" s="12"/>
    </row>
    <row r="52" spans="1:23" s="7" customFormat="1" x14ac:dyDescent="0.7">
      <c r="A52" s="77"/>
      <c r="B52" s="80" t="s">
        <v>200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2"/>
      <c r="W52" s="12"/>
    </row>
    <row r="53" spans="1:23" s="7" customFormat="1" ht="100.5" customHeight="1" x14ac:dyDescent="0.7">
      <c r="A53" s="78"/>
      <c r="B53" s="83" t="s">
        <v>36</v>
      </c>
      <c r="C53" s="95" t="s">
        <v>632</v>
      </c>
      <c r="D53" s="96"/>
      <c r="E53" s="96"/>
      <c r="F53" s="96"/>
      <c r="G53" s="96"/>
      <c r="H53" s="97"/>
      <c r="I53" s="29"/>
      <c r="J53" s="65"/>
      <c r="K53" s="65" t="s">
        <v>73</v>
      </c>
      <c r="L53" s="68" t="s">
        <v>87</v>
      </c>
      <c r="M53" s="68"/>
      <c r="N53" s="68" t="s">
        <v>25</v>
      </c>
      <c r="O53" s="68" t="s">
        <v>25</v>
      </c>
      <c r="P53" s="68" t="s">
        <v>25</v>
      </c>
      <c r="Q53" s="71" t="s">
        <v>633</v>
      </c>
      <c r="R53" s="68" t="s">
        <v>11</v>
      </c>
      <c r="S53" s="68" t="s">
        <v>15</v>
      </c>
      <c r="T53" s="65" t="s">
        <v>208</v>
      </c>
      <c r="U53" s="68"/>
      <c r="V53" s="68"/>
      <c r="W53" s="12"/>
    </row>
    <row r="54" spans="1:23" s="7" customFormat="1" x14ac:dyDescent="0.7">
      <c r="A54" s="78"/>
      <c r="B54" s="84"/>
      <c r="C54" s="32" t="s">
        <v>5</v>
      </c>
      <c r="D54" s="19">
        <f t="shared" ref="D54:E54" si="8">SUM(D55:D58)</f>
        <v>325.53399999999999</v>
      </c>
      <c r="E54" s="13">
        <f t="shared" si="8"/>
        <v>325.53399999999999</v>
      </c>
      <c r="F54" s="13"/>
      <c r="G54" s="13"/>
      <c r="H54" s="13"/>
      <c r="I54" s="13"/>
      <c r="J54" s="66"/>
      <c r="K54" s="66"/>
      <c r="L54" s="69"/>
      <c r="M54" s="69"/>
      <c r="N54" s="69"/>
      <c r="O54" s="69"/>
      <c r="P54" s="69"/>
      <c r="Q54" s="72"/>
      <c r="R54" s="69"/>
      <c r="S54" s="69"/>
      <c r="T54" s="66"/>
      <c r="U54" s="69"/>
      <c r="V54" s="69"/>
      <c r="W54" s="12"/>
    </row>
    <row r="55" spans="1:23" s="7" customFormat="1" ht="91.5" x14ac:dyDescent="0.7">
      <c r="A55" s="78"/>
      <c r="B55" s="84"/>
      <c r="C55" s="32" t="s">
        <v>0</v>
      </c>
      <c r="D55" s="19"/>
      <c r="E55" s="13"/>
      <c r="F55" s="13"/>
      <c r="G55" s="13"/>
      <c r="H55" s="13"/>
      <c r="I55" s="13"/>
      <c r="J55" s="66"/>
      <c r="K55" s="66"/>
      <c r="L55" s="69"/>
      <c r="M55" s="69"/>
      <c r="N55" s="69"/>
      <c r="O55" s="69"/>
      <c r="P55" s="69"/>
      <c r="Q55" s="72"/>
      <c r="R55" s="69"/>
      <c r="S55" s="69"/>
      <c r="T55" s="66"/>
      <c r="U55" s="69"/>
      <c r="V55" s="69"/>
      <c r="W55" s="12"/>
    </row>
    <row r="56" spans="1:23" s="7" customFormat="1" ht="91.5" x14ac:dyDescent="0.7">
      <c r="A56" s="78"/>
      <c r="B56" s="84"/>
      <c r="C56" s="32" t="s">
        <v>1</v>
      </c>
      <c r="D56" s="19">
        <f>SUM(E56:H56)</f>
        <v>325.53399999999999</v>
      </c>
      <c r="E56" s="13">
        <f>400-74.466</f>
        <v>325.53399999999999</v>
      </c>
      <c r="F56" s="13"/>
      <c r="G56" s="13"/>
      <c r="H56" s="13"/>
      <c r="I56" s="13"/>
      <c r="J56" s="66"/>
      <c r="K56" s="66"/>
      <c r="L56" s="69"/>
      <c r="M56" s="69"/>
      <c r="N56" s="69"/>
      <c r="O56" s="69"/>
      <c r="P56" s="69"/>
      <c r="Q56" s="72"/>
      <c r="R56" s="69"/>
      <c r="S56" s="69"/>
      <c r="T56" s="66"/>
      <c r="U56" s="69"/>
      <c r="V56" s="69"/>
      <c r="W56" s="12"/>
    </row>
    <row r="57" spans="1:23" s="7" customFormat="1" ht="102.75" customHeight="1" x14ac:dyDescent="0.7">
      <c r="A57" s="78"/>
      <c r="B57" s="84"/>
      <c r="C57" s="32" t="s">
        <v>2</v>
      </c>
      <c r="D57" s="19"/>
      <c r="E57" s="13"/>
      <c r="F57" s="13"/>
      <c r="G57" s="13"/>
      <c r="H57" s="13"/>
      <c r="I57" s="13"/>
      <c r="J57" s="66"/>
      <c r="K57" s="66"/>
      <c r="L57" s="69"/>
      <c r="M57" s="69"/>
      <c r="N57" s="69"/>
      <c r="O57" s="69"/>
      <c r="P57" s="69"/>
      <c r="Q57" s="72"/>
      <c r="R57" s="69"/>
      <c r="S57" s="69"/>
      <c r="T57" s="66"/>
      <c r="U57" s="69"/>
      <c r="V57" s="69"/>
      <c r="W57" s="12"/>
    </row>
    <row r="58" spans="1:23" s="7" customFormat="1" ht="91.5" x14ac:dyDescent="0.7">
      <c r="A58" s="79"/>
      <c r="B58" s="85"/>
      <c r="C58" s="32" t="s">
        <v>3</v>
      </c>
      <c r="D58" s="19"/>
      <c r="E58" s="13"/>
      <c r="F58" s="13"/>
      <c r="G58" s="13"/>
      <c r="H58" s="13"/>
      <c r="I58" s="13"/>
      <c r="J58" s="67"/>
      <c r="K58" s="67"/>
      <c r="L58" s="70"/>
      <c r="M58" s="70"/>
      <c r="N58" s="70"/>
      <c r="O58" s="70"/>
      <c r="P58" s="70"/>
      <c r="Q58" s="73"/>
      <c r="R58" s="70"/>
      <c r="S58" s="70"/>
      <c r="T58" s="67"/>
      <c r="U58" s="70"/>
      <c r="V58" s="70"/>
      <c r="W58" s="12"/>
    </row>
    <row r="59" spans="1:23" s="7" customFormat="1" ht="45.75" customHeight="1" x14ac:dyDescent="0.7">
      <c r="A59" s="74" t="s">
        <v>25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6"/>
      <c r="W59" s="12"/>
    </row>
    <row r="60" spans="1:23" s="7" customFormat="1" ht="45.75" customHeight="1" x14ac:dyDescent="0.7">
      <c r="A60" s="77"/>
      <c r="B60" s="80" t="s">
        <v>200</v>
      </c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2"/>
      <c r="W60" s="12"/>
    </row>
    <row r="61" spans="1:23" s="7" customFormat="1" x14ac:dyDescent="0.7">
      <c r="A61" s="78"/>
      <c r="B61" s="83" t="s">
        <v>37</v>
      </c>
      <c r="C61" s="95" t="s">
        <v>329</v>
      </c>
      <c r="D61" s="96"/>
      <c r="E61" s="96"/>
      <c r="F61" s="96"/>
      <c r="G61" s="96"/>
      <c r="H61" s="97"/>
      <c r="I61" s="29"/>
      <c r="J61" s="65"/>
      <c r="K61" s="68" t="s">
        <v>73</v>
      </c>
      <c r="L61" s="65" t="s">
        <v>87</v>
      </c>
      <c r="M61" s="68" t="s">
        <v>323</v>
      </c>
      <c r="N61" s="68" t="s">
        <v>324</v>
      </c>
      <c r="O61" s="68" t="s">
        <v>25</v>
      </c>
      <c r="P61" s="68" t="s">
        <v>324</v>
      </c>
      <c r="Q61" s="71"/>
      <c r="R61" s="65" t="s">
        <v>11</v>
      </c>
      <c r="S61" s="68" t="s">
        <v>325</v>
      </c>
      <c r="T61" s="65" t="s">
        <v>208</v>
      </c>
      <c r="U61" s="68"/>
      <c r="V61" s="68" t="s">
        <v>326</v>
      </c>
      <c r="W61" s="12"/>
    </row>
    <row r="62" spans="1:23" s="7" customFormat="1" x14ac:dyDescent="0.7">
      <c r="A62" s="78"/>
      <c r="B62" s="84"/>
      <c r="C62" s="32" t="s">
        <v>5</v>
      </c>
      <c r="D62" s="19">
        <f t="shared" ref="D62:E62" si="9">SUM(D63:D66)</f>
        <v>23906.953000000001</v>
      </c>
      <c r="E62" s="13">
        <f t="shared" si="9"/>
        <v>23906.953000000001</v>
      </c>
      <c r="F62" s="13"/>
      <c r="G62" s="13"/>
      <c r="H62" s="13"/>
      <c r="I62" s="13"/>
      <c r="J62" s="66"/>
      <c r="K62" s="69"/>
      <c r="L62" s="66"/>
      <c r="M62" s="69"/>
      <c r="N62" s="69"/>
      <c r="O62" s="69"/>
      <c r="P62" s="69"/>
      <c r="Q62" s="72"/>
      <c r="R62" s="66"/>
      <c r="S62" s="69"/>
      <c r="T62" s="66"/>
      <c r="U62" s="69"/>
      <c r="V62" s="69"/>
      <c r="W62" s="12"/>
    </row>
    <row r="63" spans="1:23" s="7" customFormat="1" ht="91.5" x14ac:dyDescent="0.7">
      <c r="A63" s="78"/>
      <c r="B63" s="84"/>
      <c r="C63" s="32" t="s">
        <v>0</v>
      </c>
      <c r="D63" s="19"/>
      <c r="E63" s="13"/>
      <c r="F63" s="13"/>
      <c r="G63" s="13"/>
      <c r="H63" s="13"/>
      <c r="I63" s="13"/>
      <c r="J63" s="66"/>
      <c r="K63" s="69"/>
      <c r="L63" s="66"/>
      <c r="M63" s="69"/>
      <c r="N63" s="69"/>
      <c r="O63" s="69"/>
      <c r="P63" s="69"/>
      <c r="Q63" s="72"/>
      <c r="R63" s="66"/>
      <c r="S63" s="69"/>
      <c r="T63" s="66"/>
      <c r="U63" s="69"/>
      <c r="V63" s="69"/>
      <c r="W63" s="12"/>
    </row>
    <row r="64" spans="1:23" s="7" customFormat="1" ht="91.5" x14ac:dyDescent="0.7">
      <c r="A64" s="78"/>
      <c r="B64" s="84"/>
      <c r="C64" s="32" t="s">
        <v>1</v>
      </c>
      <c r="D64" s="19">
        <f>SUM(E64:H64)</f>
        <v>23906.953000000001</v>
      </c>
      <c r="E64" s="13">
        <f>25000-1093.047</f>
        <v>23906.953000000001</v>
      </c>
      <c r="F64" s="13"/>
      <c r="G64" s="13"/>
      <c r="H64" s="13"/>
      <c r="I64" s="13"/>
      <c r="J64" s="66"/>
      <c r="K64" s="69"/>
      <c r="L64" s="66"/>
      <c r="M64" s="69"/>
      <c r="N64" s="69"/>
      <c r="O64" s="69"/>
      <c r="P64" s="69"/>
      <c r="Q64" s="72"/>
      <c r="R64" s="66"/>
      <c r="S64" s="69"/>
      <c r="T64" s="66"/>
      <c r="U64" s="69"/>
      <c r="V64" s="69"/>
      <c r="W64" s="12"/>
    </row>
    <row r="65" spans="1:23" s="7" customFormat="1" ht="94.5" customHeight="1" x14ac:dyDescent="0.7">
      <c r="A65" s="78"/>
      <c r="B65" s="84"/>
      <c r="C65" s="32" t="s">
        <v>2</v>
      </c>
      <c r="D65" s="19"/>
      <c r="E65" s="13"/>
      <c r="F65" s="13"/>
      <c r="G65" s="13"/>
      <c r="H65" s="13"/>
      <c r="I65" s="13"/>
      <c r="J65" s="66"/>
      <c r="K65" s="69"/>
      <c r="L65" s="66"/>
      <c r="M65" s="69"/>
      <c r="N65" s="69"/>
      <c r="O65" s="69"/>
      <c r="P65" s="69"/>
      <c r="Q65" s="72"/>
      <c r="R65" s="66"/>
      <c r="S65" s="69"/>
      <c r="T65" s="66"/>
      <c r="U65" s="69"/>
      <c r="V65" s="69"/>
      <c r="W65" s="12"/>
    </row>
    <row r="66" spans="1:23" s="7" customFormat="1" ht="91.5" x14ac:dyDescent="0.7">
      <c r="A66" s="79"/>
      <c r="B66" s="85"/>
      <c r="C66" s="32" t="s">
        <v>3</v>
      </c>
      <c r="D66" s="19"/>
      <c r="E66" s="13"/>
      <c r="F66" s="13"/>
      <c r="G66" s="13"/>
      <c r="H66" s="13"/>
      <c r="I66" s="13"/>
      <c r="J66" s="67"/>
      <c r="K66" s="70"/>
      <c r="L66" s="67"/>
      <c r="M66" s="70"/>
      <c r="N66" s="70"/>
      <c r="O66" s="70"/>
      <c r="P66" s="70"/>
      <c r="Q66" s="73"/>
      <c r="R66" s="67"/>
      <c r="S66" s="70"/>
      <c r="T66" s="67"/>
      <c r="U66" s="70"/>
      <c r="V66" s="70"/>
      <c r="W66" s="12"/>
    </row>
    <row r="67" spans="1:23" s="7" customFormat="1" ht="45.75" customHeight="1" x14ac:dyDescent="0.7">
      <c r="A67" s="74" t="s">
        <v>25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6"/>
      <c r="W67" s="12"/>
    </row>
    <row r="68" spans="1:23" s="7" customFormat="1" ht="45.75" customHeight="1" x14ac:dyDescent="0.7">
      <c r="A68" s="77"/>
      <c r="B68" s="80" t="s">
        <v>200</v>
      </c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2"/>
      <c r="W68" s="12"/>
    </row>
    <row r="69" spans="1:23" s="7" customFormat="1" x14ac:dyDescent="0.7">
      <c r="A69" s="78"/>
      <c r="B69" s="83" t="s">
        <v>327</v>
      </c>
      <c r="C69" s="95" t="s">
        <v>330</v>
      </c>
      <c r="D69" s="96"/>
      <c r="E69" s="96"/>
      <c r="F69" s="96"/>
      <c r="G69" s="96"/>
      <c r="H69" s="97"/>
      <c r="I69" s="29"/>
      <c r="J69" s="65" t="s">
        <v>197</v>
      </c>
      <c r="K69" s="68"/>
      <c r="L69" s="65" t="s">
        <v>87</v>
      </c>
      <c r="M69" s="65" t="s">
        <v>366</v>
      </c>
      <c r="N69" s="68" t="s">
        <v>324</v>
      </c>
      <c r="O69" s="68" t="s">
        <v>25</v>
      </c>
      <c r="P69" s="68" t="s">
        <v>324</v>
      </c>
      <c r="Q69" s="71" t="s">
        <v>365</v>
      </c>
      <c r="R69" s="65" t="s">
        <v>11</v>
      </c>
      <c r="S69" s="68" t="s">
        <v>325</v>
      </c>
      <c r="T69" s="65" t="s">
        <v>7</v>
      </c>
      <c r="U69" s="68"/>
      <c r="V69" s="68" t="s">
        <v>326</v>
      </c>
      <c r="W69" s="12"/>
    </row>
    <row r="70" spans="1:23" s="7" customFormat="1" x14ac:dyDescent="0.7">
      <c r="A70" s="78"/>
      <c r="B70" s="84"/>
      <c r="C70" s="32" t="s">
        <v>5</v>
      </c>
      <c r="D70" s="19">
        <f t="shared" ref="D70:F70" si="10">SUM(D71:D74)</f>
        <v>385799.5</v>
      </c>
      <c r="E70" s="13">
        <f t="shared" si="10"/>
        <v>55699.5</v>
      </c>
      <c r="F70" s="13">
        <f t="shared" si="10"/>
        <v>330100</v>
      </c>
      <c r="G70" s="13"/>
      <c r="H70" s="13"/>
      <c r="I70" s="13"/>
      <c r="J70" s="66"/>
      <c r="K70" s="69"/>
      <c r="L70" s="66"/>
      <c r="M70" s="66"/>
      <c r="N70" s="69"/>
      <c r="O70" s="69"/>
      <c r="P70" s="69"/>
      <c r="Q70" s="72"/>
      <c r="R70" s="66"/>
      <c r="S70" s="69"/>
      <c r="T70" s="66"/>
      <c r="U70" s="69"/>
      <c r="V70" s="69"/>
      <c r="W70" s="12"/>
    </row>
    <row r="71" spans="1:23" s="7" customFormat="1" ht="91.5" x14ac:dyDescent="0.7">
      <c r="A71" s="78"/>
      <c r="B71" s="84"/>
      <c r="C71" s="32" t="s">
        <v>0</v>
      </c>
      <c r="D71" s="19"/>
      <c r="E71" s="13"/>
      <c r="F71" s="18"/>
      <c r="G71" s="13"/>
      <c r="H71" s="13"/>
      <c r="I71" s="13"/>
      <c r="J71" s="66"/>
      <c r="K71" s="69"/>
      <c r="L71" s="66"/>
      <c r="M71" s="66"/>
      <c r="N71" s="69"/>
      <c r="O71" s="69"/>
      <c r="P71" s="69"/>
      <c r="Q71" s="72"/>
      <c r="R71" s="66"/>
      <c r="S71" s="69"/>
      <c r="T71" s="66"/>
      <c r="U71" s="69"/>
      <c r="V71" s="69"/>
      <c r="W71" s="12"/>
    </row>
    <row r="72" spans="1:23" s="7" customFormat="1" ht="91.5" x14ac:dyDescent="0.7">
      <c r="A72" s="78"/>
      <c r="B72" s="84"/>
      <c r="C72" s="32" t="s">
        <v>1</v>
      </c>
      <c r="D72" s="17">
        <f>SUM(E72:H72)</f>
        <v>385799.5</v>
      </c>
      <c r="E72" s="18">
        <f>175000+124300-46500-197100.5</f>
        <v>55699.5</v>
      </c>
      <c r="F72" s="18">
        <f>0+330100</f>
        <v>330100</v>
      </c>
      <c r="G72" s="13"/>
      <c r="H72" s="13"/>
      <c r="I72" s="13"/>
      <c r="J72" s="66"/>
      <c r="K72" s="69"/>
      <c r="L72" s="66"/>
      <c r="M72" s="66"/>
      <c r="N72" s="69"/>
      <c r="O72" s="69"/>
      <c r="P72" s="69"/>
      <c r="Q72" s="72"/>
      <c r="R72" s="66"/>
      <c r="S72" s="69"/>
      <c r="T72" s="66"/>
      <c r="U72" s="69"/>
      <c r="V72" s="69"/>
      <c r="W72" s="12"/>
    </row>
    <row r="73" spans="1:23" s="7" customFormat="1" ht="94.5" customHeight="1" x14ac:dyDescent="0.7">
      <c r="A73" s="78"/>
      <c r="B73" s="84"/>
      <c r="C73" s="32" t="s">
        <v>2</v>
      </c>
      <c r="D73" s="19"/>
      <c r="E73" s="13"/>
      <c r="F73" s="13"/>
      <c r="G73" s="13"/>
      <c r="H73" s="13"/>
      <c r="I73" s="13"/>
      <c r="J73" s="66"/>
      <c r="K73" s="69"/>
      <c r="L73" s="66"/>
      <c r="M73" s="66"/>
      <c r="N73" s="69"/>
      <c r="O73" s="69"/>
      <c r="P73" s="69"/>
      <c r="Q73" s="72"/>
      <c r="R73" s="66"/>
      <c r="S73" s="69"/>
      <c r="T73" s="66"/>
      <c r="U73" s="69"/>
      <c r="V73" s="69"/>
      <c r="W73" s="12"/>
    </row>
    <row r="74" spans="1:23" s="7" customFormat="1" ht="91.5" x14ac:dyDescent="0.7">
      <c r="A74" s="79"/>
      <c r="B74" s="85"/>
      <c r="C74" s="32" t="s">
        <v>3</v>
      </c>
      <c r="D74" s="19"/>
      <c r="E74" s="13"/>
      <c r="F74" s="13"/>
      <c r="G74" s="13"/>
      <c r="H74" s="13"/>
      <c r="I74" s="13"/>
      <c r="J74" s="67"/>
      <c r="K74" s="70"/>
      <c r="L74" s="67"/>
      <c r="M74" s="67"/>
      <c r="N74" s="70"/>
      <c r="O74" s="70"/>
      <c r="P74" s="70"/>
      <c r="Q74" s="73"/>
      <c r="R74" s="67"/>
      <c r="S74" s="70"/>
      <c r="T74" s="67"/>
      <c r="U74" s="70"/>
      <c r="V74" s="70"/>
      <c r="W74" s="12"/>
    </row>
    <row r="75" spans="1:23" s="7" customFormat="1" x14ac:dyDescent="0.7">
      <c r="A75" s="74" t="s">
        <v>16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6"/>
      <c r="W75" s="12"/>
    </row>
    <row r="76" spans="1:23" s="7" customFormat="1" ht="45.75" customHeight="1" x14ac:dyDescent="0.7">
      <c r="A76" s="77"/>
      <c r="B76" s="80" t="s">
        <v>200</v>
      </c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2"/>
      <c r="W76" s="12"/>
    </row>
    <row r="77" spans="1:23" s="7" customFormat="1" ht="243.75" customHeight="1" x14ac:dyDescent="0.7">
      <c r="A77" s="78"/>
      <c r="B77" s="83" t="s">
        <v>328</v>
      </c>
      <c r="C77" s="95" t="s">
        <v>209</v>
      </c>
      <c r="D77" s="96"/>
      <c r="E77" s="96"/>
      <c r="F77" s="96"/>
      <c r="G77" s="96"/>
      <c r="H77" s="97"/>
      <c r="I77" s="29"/>
      <c r="J77" s="65" t="s">
        <v>213</v>
      </c>
      <c r="K77" s="68"/>
      <c r="L77" s="68" t="s">
        <v>87</v>
      </c>
      <c r="M77" s="68" t="s">
        <v>65</v>
      </c>
      <c r="N77" s="68" t="s">
        <v>179</v>
      </c>
      <c r="O77" s="68" t="s">
        <v>16</v>
      </c>
      <c r="P77" s="68" t="s">
        <v>179</v>
      </c>
      <c r="Q77" s="71" t="s">
        <v>210</v>
      </c>
      <c r="R77" s="68" t="s">
        <v>11</v>
      </c>
      <c r="S77" s="68" t="s">
        <v>10</v>
      </c>
      <c r="T77" s="65" t="s">
        <v>19</v>
      </c>
      <c r="U77" s="68"/>
      <c r="V77" s="68" t="s">
        <v>211</v>
      </c>
      <c r="W77" s="12"/>
    </row>
    <row r="78" spans="1:23" s="7" customFormat="1" x14ac:dyDescent="0.7">
      <c r="A78" s="78"/>
      <c r="B78" s="84"/>
      <c r="C78" s="32" t="s">
        <v>5</v>
      </c>
      <c r="D78" s="19">
        <f t="shared" ref="D78" si="11">SUM(D79:D82)</f>
        <v>399102.62</v>
      </c>
      <c r="E78" s="19"/>
      <c r="F78" s="13"/>
      <c r="G78" s="13"/>
      <c r="H78" s="13">
        <f t="shared" ref="H78:I78" si="12">SUM(H79:H82)</f>
        <v>198763.98</v>
      </c>
      <c r="I78" s="13">
        <f t="shared" si="12"/>
        <v>200338.64</v>
      </c>
      <c r="J78" s="66"/>
      <c r="K78" s="69"/>
      <c r="L78" s="69"/>
      <c r="M78" s="69"/>
      <c r="N78" s="69"/>
      <c r="O78" s="69"/>
      <c r="P78" s="69"/>
      <c r="Q78" s="72"/>
      <c r="R78" s="69"/>
      <c r="S78" s="69"/>
      <c r="T78" s="66"/>
      <c r="U78" s="69"/>
      <c r="V78" s="69"/>
      <c r="W78" s="12"/>
    </row>
    <row r="79" spans="1:23" s="7" customFormat="1" ht="91.5" x14ac:dyDescent="0.7">
      <c r="A79" s="78"/>
      <c r="B79" s="84"/>
      <c r="C79" s="32" t="s">
        <v>0</v>
      </c>
      <c r="D79" s="19"/>
      <c r="E79" s="13"/>
      <c r="F79" s="13"/>
      <c r="G79" s="13"/>
      <c r="H79" s="13"/>
      <c r="I79" s="13"/>
      <c r="J79" s="66"/>
      <c r="K79" s="69"/>
      <c r="L79" s="69"/>
      <c r="M79" s="69"/>
      <c r="N79" s="69"/>
      <c r="O79" s="69"/>
      <c r="P79" s="69"/>
      <c r="Q79" s="72"/>
      <c r="R79" s="69"/>
      <c r="S79" s="69"/>
      <c r="T79" s="66"/>
      <c r="U79" s="69"/>
      <c r="V79" s="69"/>
      <c r="W79" s="12"/>
    </row>
    <row r="80" spans="1:23" s="7" customFormat="1" ht="91.5" x14ac:dyDescent="0.7">
      <c r="A80" s="78"/>
      <c r="B80" s="84"/>
      <c r="C80" s="32" t="s">
        <v>1</v>
      </c>
      <c r="D80" s="19">
        <f>SUM(E80:I80)</f>
        <v>399102.62</v>
      </c>
      <c r="E80" s="18"/>
      <c r="F80" s="13"/>
      <c r="G80" s="13"/>
      <c r="H80" s="13">
        <v>198763.98</v>
      </c>
      <c r="I80" s="13">
        <v>200338.64</v>
      </c>
      <c r="J80" s="66"/>
      <c r="K80" s="69"/>
      <c r="L80" s="69"/>
      <c r="M80" s="69"/>
      <c r="N80" s="69"/>
      <c r="O80" s="69"/>
      <c r="P80" s="69"/>
      <c r="Q80" s="72"/>
      <c r="R80" s="69"/>
      <c r="S80" s="69"/>
      <c r="T80" s="66"/>
      <c r="U80" s="69"/>
      <c r="V80" s="69"/>
      <c r="W80" s="12"/>
    </row>
    <row r="81" spans="1:23" s="7" customFormat="1" ht="102" customHeight="1" x14ac:dyDescent="0.7">
      <c r="A81" s="78"/>
      <c r="B81" s="84"/>
      <c r="C81" s="32" t="s">
        <v>2</v>
      </c>
      <c r="D81" s="19"/>
      <c r="E81" s="13"/>
      <c r="F81" s="13"/>
      <c r="G81" s="13"/>
      <c r="H81" s="13"/>
      <c r="I81" s="13"/>
      <c r="J81" s="66"/>
      <c r="K81" s="69"/>
      <c r="L81" s="69"/>
      <c r="M81" s="69"/>
      <c r="N81" s="69"/>
      <c r="O81" s="69"/>
      <c r="P81" s="69"/>
      <c r="Q81" s="72"/>
      <c r="R81" s="69"/>
      <c r="S81" s="69"/>
      <c r="T81" s="66"/>
      <c r="U81" s="69"/>
      <c r="V81" s="69"/>
      <c r="W81" s="12"/>
    </row>
    <row r="82" spans="1:23" s="7" customFormat="1" ht="91.5" x14ac:dyDescent="0.7">
      <c r="A82" s="79"/>
      <c r="B82" s="85"/>
      <c r="C82" s="32" t="s">
        <v>3</v>
      </c>
      <c r="D82" s="19"/>
      <c r="E82" s="13"/>
      <c r="F82" s="13"/>
      <c r="G82" s="13"/>
      <c r="H82" s="13"/>
      <c r="I82" s="13"/>
      <c r="J82" s="67"/>
      <c r="K82" s="70"/>
      <c r="L82" s="70"/>
      <c r="M82" s="70"/>
      <c r="N82" s="70"/>
      <c r="O82" s="70"/>
      <c r="P82" s="70"/>
      <c r="Q82" s="73"/>
      <c r="R82" s="70"/>
      <c r="S82" s="70"/>
      <c r="T82" s="67"/>
      <c r="U82" s="70"/>
      <c r="V82" s="70"/>
      <c r="W82" s="12"/>
    </row>
    <row r="83" spans="1:23" s="7" customFormat="1" x14ac:dyDescent="0.7">
      <c r="A83" s="74" t="s">
        <v>25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6"/>
      <c r="W83" s="12"/>
    </row>
    <row r="84" spans="1:23" s="7" customFormat="1" x14ac:dyDescent="0.7">
      <c r="A84" s="77"/>
      <c r="B84" s="80" t="s">
        <v>200</v>
      </c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2"/>
      <c r="W84" s="12"/>
    </row>
    <row r="85" spans="1:23" s="7" customFormat="1" ht="45" customHeight="1" x14ac:dyDescent="0.7">
      <c r="A85" s="78"/>
      <c r="B85" s="83" t="s">
        <v>522</v>
      </c>
      <c r="C85" s="95" t="s">
        <v>519</v>
      </c>
      <c r="D85" s="96"/>
      <c r="E85" s="96"/>
      <c r="F85" s="96"/>
      <c r="G85" s="96"/>
      <c r="H85" s="97"/>
      <c r="I85" s="29"/>
      <c r="J85" s="65" t="s">
        <v>73</v>
      </c>
      <c r="K85" s="68"/>
      <c r="L85" s="68" t="s">
        <v>87</v>
      </c>
      <c r="M85" s="68"/>
      <c r="N85" s="68" t="s">
        <v>520</v>
      </c>
      <c r="O85" s="68" t="s">
        <v>25</v>
      </c>
      <c r="P85" s="68" t="s">
        <v>520</v>
      </c>
      <c r="Q85" s="71" t="s">
        <v>521</v>
      </c>
      <c r="R85" s="68" t="s">
        <v>11</v>
      </c>
      <c r="S85" s="68" t="s">
        <v>10</v>
      </c>
      <c r="T85" s="65" t="s">
        <v>19</v>
      </c>
      <c r="U85" s="68"/>
      <c r="V85" s="65" t="s">
        <v>246</v>
      </c>
      <c r="W85" s="12"/>
    </row>
    <row r="86" spans="1:23" s="7" customFormat="1" x14ac:dyDescent="0.7">
      <c r="A86" s="78"/>
      <c r="B86" s="84"/>
      <c r="C86" s="32" t="s">
        <v>5</v>
      </c>
      <c r="D86" s="19">
        <f t="shared" ref="D86:E86" si="13">SUM(D87:D90)</f>
        <v>14942.74497</v>
      </c>
      <c r="E86" s="19">
        <f t="shared" si="13"/>
        <v>14942.74497</v>
      </c>
      <c r="F86" s="13"/>
      <c r="G86" s="13"/>
      <c r="H86" s="13"/>
      <c r="I86" s="13"/>
      <c r="J86" s="66"/>
      <c r="K86" s="69"/>
      <c r="L86" s="69"/>
      <c r="M86" s="69"/>
      <c r="N86" s="69"/>
      <c r="O86" s="69"/>
      <c r="P86" s="69"/>
      <c r="Q86" s="72"/>
      <c r="R86" s="69"/>
      <c r="S86" s="69"/>
      <c r="T86" s="66"/>
      <c r="U86" s="69"/>
      <c r="V86" s="66"/>
      <c r="W86" s="12"/>
    </row>
    <row r="87" spans="1:23" s="7" customFormat="1" ht="91.5" x14ac:dyDescent="0.7">
      <c r="A87" s="78"/>
      <c r="B87" s="84"/>
      <c r="C87" s="32" t="s">
        <v>0</v>
      </c>
      <c r="D87" s="19"/>
      <c r="E87" s="13"/>
      <c r="F87" s="13"/>
      <c r="G87" s="13"/>
      <c r="H87" s="13"/>
      <c r="I87" s="13"/>
      <c r="J87" s="66"/>
      <c r="K87" s="69"/>
      <c r="L87" s="69"/>
      <c r="M87" s="69"/>
      <c r="N87" s="69"/>
      <c r="O87" s="69"/>
      <c r="P87" s="69"/>
      <c r="Q87" s="72"/>
      <c r="R87" s="69"/>
      <c r="S87" s="69"/>
      <c r="T87" s="66"/>
      <c r="U87" s="69"/>
      <c r="V87" s="66"/>
      <c r="W87" s="12"/>
    </row>
    <row r="88" spans="1:23" s="7" customFormat="1" ht="91.5" x14ac:dyDescent="0.7">
      <c r="A88" s="78"/>
      <c r="B88" s="84"/>
      <c r="C88" s="32" t="s">
        <v>1</v>
      </c>
      <c r="D88" s="19">
        <f>SUM(E88:I88)</f>
        <v>14942.74497</v>
      </c>
      <c r="E88" s="18">
        <f>15000-57.25503</f>
        <v>14942.74497</v>
      </c>
      <c r="F88" s="13"/>
      <c r="G88" s="13"/>
      <c r="H88" s="13"/>
      <c r="I88" s="13"/>
      <c r="J88" s="66"/>
      <c r="K88" s="69"/>
      <c r="L88" s="69"/>
      <c r="M88" s="69"/>
      <c r="N88" s="69"/>
      <c r="O88" s="69"/>
      <c r="P88" s="69"/>
      <c r="Q88" s="72"/>
      <c r="R88" s="69"/>
      <c r="S88" s="69"/>
      <c r="T88" s="66"/>
      <c r="U88" s="69"/>
      <c r="V88" s="66"/>
      <c r="W88" s="12"/>
    </row>
    <row r="89" spans="1:23" s="7" customFormat="1" ht="94.5" customHeight="1" x14ac:dyDescent="0.7">
      <c r="A89" s="78"/>
      <c r="B89" s="84"/>
      <c r="C89" s="32" t="s">
        <v>2</v>
      </c>
      <c r="D89" s="19"/>
      <c r="E89" s="13"/>
      <c r="F89" s="13"/>
      <c r="G89" s="13"/>
      <c r="H89" s="13"/>
      <c r="I89" s="13"/>
      <c r="J89" s="66"/>
      <c r="K89" s="69"/>
      <c r="L89" s="69"/>
      <c r="M89" s="69"/>
      <c r="N89" s="69"/>
      <c r="O89" s="69"/>
      <c r="P89" s="69"/>
      <c r="Q89" s="72"/>
      <c r="R89" s="69"/>
      <c r="S89" s="69"/>
      <c r="T89" s="66"/>
      <c r="U89" s="69"/>
      <c r="V89" s="66"/>
      <c r="W89" s="12"/>
    </row>
    <row r="90" spans="1:23" s="7" customFormat="1" ht="91.5" x14ac:dyDescent="0.7">
      <c r="A90" s="79"/>
      <c r="B90" s="85"/>
      <c r="C90" s="32" t="s">
        <v>3</v>
      </c>
      <c r="D90" s="19"/>
      <c r="E90" s="13"/>
      <c r="F90" s="13"/>
      <c r="G90" s="13"/>
      <c r="H90" s="13"/>
      <c r="I90" s="13"/>
      <c r="J90" s="67"/>
      <c r="K90" s="70"/>
      <c r="L90" s="70"/>
      <c r="M90" s="70"/>
      <c r="N90" s="70"/>
      <c r="O90" s="70"/>
      <c r="P90" s="70"/>
      <c r="Q90" s="73"/>
      <c r="R90" s="70"/>
      <c r="S90" s="70"/>
      <c r="T90" s="67"/>
      <c r="U90" s="70"/>
      <c r="V90" s="67"/>
      <c r="W90" s="12"/>
    </row>
    <row r="91" spans="1:23" s="7" customFormat="1" x14ac:dyDescent="0.7">
      <c r="A91" s="74" t="s">
        <v>25</v>
      </c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6"/>
      <c r="W91" s="12"/>
    </row>
    <row r="92" spans="1:23" s="7" customFormat="1" x14ac:dyDescent="0.7">
      <c r="A92" s="77"/>
      <c r="B92" s="80" t="s">
        <v>200</v>
      </c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2"/>
      <c r="W92" s="12"/>
    </row>
    <row r="93" spans="1:23" s="7" customFormat="1" ht="110.25" customHeight="1" x14ac:dyDescent="0.7">
      <c r="A93" s="78"/>
      <c r="B93" s="83" t="s">
        <v>544</v>
      </c>
      <c r="C93" s="95" t="s">
        <v>616</v>
      </c>
      <c r="D93" s="96"/>
      <c r="E93" s="96"/>
      <c r="F93" s="96"/>
      <c r="G93" s="96"/>
      <c r="H93" s="97"/>
      <c r="I93" s="29"/>
      <c r="J93" s="65" t="s">
        <v>74</v>
      </c>
      <c r="K93" s="68"/>
      <c r="L93" s="68" t="s">
        <v>87</v>
      </c>
      <c r="M93" s="68"/>
      <c r="N93" s="68" t="s">
        <v>617</v>
      </c>
      <c r="O93" s="68" t="s">
        <v>25</v>
      </c>
      <c r="P93" s="68" t="s">
        <v>618</v>
      </c>
      <c r="Q93" s="71" t="s">
        <v>619</v>
      </c>
      <c r="R93" s="68" t="s">
        <v>11</v>
      </c>
      <c r="S93" s="68" t="s">
        <v>10</v>
      </c>
      <c r="T93" s="65" t="s">
        <v>19</v>
      </c>
      <c r="U93" s="68"/>
      <c r="V93" s="65" t="s">
        <v>246</v>
      </c>
      <c r="W93" s="12"/>
    </row>
    <row r="94" spans="1:23" s="7" customFormat="1" x14ac:dyDescent="0.7">
      <c r="A94" s="78"/>
      <c r="B94" s="84"/>
      <c r="C94" s="32" t="s">
        <v>5</v>
      </c>
      <c r="D94" s="19">
        <f t="shared" ref="D94:E94" si="14">SUM(D95:D98)</f>
        <v>478.81227999999999</v>
      </c>
      <c r="E94" s="19">
        <f t="shared" si="14"/>
        <v>478.81227999999999</v>
      </c>
      <c r="F94" s="13"/>
      <c r="G94" s="13"/>
      <c r="H94" s="13"/>
      <c r="I94" s="13"/>
      <c r="J94" s="66"/>
      <c r="K94" s="69"/>
      <c r="L94" s="69"/>
      <c r="M94" s="69"/>
      <c r="N94" s="69"/>
      <c r="O94" s="69"/>
      <c r="P94" s="69"/>
      <c r="Q94" s="72"/>
      <c r="R94" s="69"/>
      <c r="S94" s="69"/>
      <c r="T94" s="66"/>
      <c r="U94" s="69"/>
      <c r="V94" s="66"/>
      <c r="W94" s="12"/>
    </row>
    <row r="95" spans="1:23" s="7" customFormat="1" ht="91.5" x14ac:dyDescent="0.7">
      <c r="A95" s="78"/>
      <c r="B95" s="84"/>
      <c r="C95" s="32" t="s">
        <v>0</v>
      </c>
      <c r="D95" s="19"/>
      <c r="E95" s="13"/>
      <c r="F95" s="13"/>
      <c r="G95" s="13"/>
      <c r="H95" s="13"/>
      <c r="I95" s="13"/>
      <c r="J95" s="66"/>
      <c r="K95" s="69"/>
      <c r="L95" s="69"/>
      <c r="M95" s="69"/>
      <c r="N95" s="69"/>
      <c r="O95" s="69"/>
      <c r="P95" s="69"/>
      <c r="Q95" s="72"/>
      <c r="R95" s="69"/>
      <c r="S95" s="69"/>
      <c r="T95" s="66"/>
      <c r="U95" s="69"/>
      <c r="V95" s="66"/>
      <c r="W95" s="12"/>
    </row>
    <row r="96" spans="1:23" s="7" customFormat="1" ht="91.5" x14ac:dyDescent="0.7">
      <c r="A96" s="78"/>
      <c r="B96" s="84"/>
      <c r="C96" s="32" t="s">
        <v>1</v>
      </c>
      <c r="D96" s="19">
        <f>SUM(E96:I96)</f>
        <v>478.81227999999999</v>
      </c>
      <c r="E96" s="18">
        <v>478.81227999999999</v>
      </c>
      <c r="F96" s="13"/>
      <c r="G96" s="13"/>
      <c r="H96" s="13"/>
      <c r="I96" s="13"/>
      <c r="J96" s="66"/>
      <c r="K96" s="69"/>
      <c r="L96" s="69"/>
      <c r="M96" s="69"/>
      <c r="N96" s="69"/>
      <c r="O96" s="69"/>
      <c r="P96" s="69"/>
      <c r="Q96" s="72"/>
      <c r="R96" s="69"/>
      <c r="S96" s="69"/>
      <c r="T96" s="66"/>
      <c r="U96" s="69"/>
      <c r="V96" s="66"/>
      <c r="W96" s="12"/>
    </row>
    <row r="97" spans="1:23" s="7" customFormat="1" ht="95.25" customHeight="1" x14ac:dyDescent="0.7">
      <c r="A97" s="78"/>
      <c r="B97" s="84"/>
      <c r="C97" s="32" t="s">
        <v>2</v>
      </c>
      <c r="D97" s="19"/>
      <c r="E97" s="13"/>
      <c r="F97" s="13"/>
      <c r="G97" s="13"/>
      <c r="H97" s="13"/>
      <c r="I97" s="13"/>
      <c r="J97" s="66"/>
      <c r="K97" s="69"/>
      <c r="L97" s="69"/>
      <c r="M97" s="69"/>
      <c r="N97" s="69"/>
      <c r="O97" s="69"/>
      <c r="P97" s="69"/>
      <c r="Q97" s="72"/>
      <c r="R97" s="69"/>
      <c r="S97" s="69"/>
      <c r="T97" s="66"/>
      <c r="U97" s="69"/>
      <c r="V97" s="66"/>
      <c r="W97" s="12"/>
    </row>
    <row r="98" spans="1:23" s="7" customFormat="1" ht="91.5" x14ac:dyDescent="0.7">
      <c r="A98" s="79"/>
      <c r="B98" s="85"/>
      <c r="C98" s="32" t="s">
        <v>3</v>
      </c>
      <c r="D98" s="19"/>
      <c r="E98" s="13"/>
      <c r="F98" s="13"/>
      <c r="G98" s="13"/>
      <c r="H98" s="13"/>
      <c r="I98" s="13"/>
      <c r="J98" s="67"/>
      <c r="K98" s="70"/>
      <c r="L98" s="70"/>
      <c r="M98" s="70"/>
      <c r="N98" s="70"/>
      <c r="O98" s="70"/>
      <c r="P98" s="70"/>
      <c r="Q98" s="73"/>
      <c r="R98" s="70"/>
      <c r="S98" s="70"/>
      <c r="T98" s="67"/>
      <c r="U98" s="70"/>
      <c r="V98" s="67"/>
      <c r="W98" s="12"/>
    </row>
    <row r="99" spans="1:23" s="7" customFormat="1" x14ac:dyDescent="0.7">
      <c r="A99" s="74" t="s">
        <v>25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6"/>
      <c r="W99" s="12"/>
    </row>
    <row r="100" spans="1:23" s="7" customFormat="1" x14ac:dyDescent="0.7">
      <c r="A100" s="77"/>
      <c r="B100" s="80" t="s">
        <v>200</v>
      </c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2"/>
      <c r="W100" s="12"/>
    </row>
    <row r="101" spans="1:23" s="7" customFormat="1" ht="147.75" customHeight="1" x14ac:dyDescent="0.7">
      <c r="A101" s="78"/>
      <c r="B101" s="83" t="s">
        <v>615</v>
      </c>
      <c r="C101" s="86" t="s">
        <v>641</v>
      </c>
      <c r="D101" s="87"/>
      <c r="E101" s="87"/>
      <c r="F101" s="87"/>
      <c r="G101" s="87"/>
      <c r="H101" s="88"/>
      <c r="I101" s="29"/>
      <c r="J101" s="65" t="s">
        <v>74</v>
      </c>
      <c r="K101" s="68"/>
      <c r="L101" s="65" t="s">
        <v>395</v>
      </c>
      <c r="M101" s="68" t="s">
        <v>692</v>
      </c>
      <c r="N101" s="68" t="s">
        <v>691</v>
      </c>
      <c r="O101" s="68" t="s">
        <v>25</v>
      </c>
      <c r="P101" s="68" t="s">
        <v>691</v>
      </c>
      <c r="Q101" s="71" t="s">
        <v>693</v>
      </c>
      <c r="R101" s="68" t="s">
        <v>11</v>
      </c>
      <c r="S101" s="68" t="s">
        <v>10</v>
      </c>
      <c r="T101" s="65" t="s">
        <v>177</v>
      </c>
      <c r="U101" s="68"/>
      <c r="V101" s="65"/>
      <c r="W101" s="12"/>
    </row>
    <row r="102" spans="1:23" s="7" customFormat="1" x14ac:dyDescent="0.7">
      <c r="A102" s="78"/>
      <c r="B102" s="84"/>
      <c r="C102" s="32" t="s">
        <v>5</v>
      </c>
      <c r="D102" s="19">
        <f t="shared" ref="D102:E102" si="15">SUM(D103:D106)</f>
        <v>47041.087</v>
      </c>
      <c r="E102" s="19">
        <f t="shared" si="15"/>
        <v>47041.087</v>
      </c>
      <c r="F102" s="13"/>
      <c r="G102" s="13"/>
      <c r="H102" s="13"/>
      <c r="I102" s="13"/>
      <c r="J102" s="66"/>
      <c r="K102" s="69"/>
      <c r="L102" s="66"/>
      <c r="M102" s="69"/>
      <c r="N102" s="69"/>
      <c r="O102" s="69"/>
      <c r="P102" s="69"/>
      <c r="Q102" s="72"/>
      <c r="R102" s="69"/>
      <c r="S102" s="69"/>
      <c r="T102" s="66"/>
      <c r="U102" s="69"/>
      <c r="V102" s="66"/>
      <c r="W102" s="12"/>
    </row>
    <row r="103" spans="1:23" s="7" customFormat="1" ht="91.5" x14ac:dyDescent="0.7">
      <c r="A103" s="78"/>
      <c r="B103" s="84"/>
      <c r="C103" s="32" t="s">
        <v>0</v>
      </c>
      <c r="D103" s="19"/>
      <c r="E103" s="13"/>
      <c r="F103" s="13"/>
      <c r="G103" s="13"/>
      <c r="H103" s="13"/>
      <c r="I103" s="13"/>
      <c r="J103" s="66"/>
      <c r="K103" s="69"/>
      <c r="L103" s="66"/>
      <c r="M103" s="69"/>
      <c r="N103" s="69"/>
      <c r="O103" s="69"/>
      <c r="P103" s="69"/>
      <c r="Q103" s="72"/>
      <c r="R103" s="69"/>
      <c r="S103" s="69"/>
      <c r="T103" s="66"/>
      <c r="U103" s="69"/>
      <c r="V103" s="66"/>
      <c r="W103" s="12"/>
    </row>
    <row r="104" spans="1:23" s="7" customFormat="1" ht="91.5" x14ac:dyDescent="0.7">
      <c r="A104" s="78"/>
      <c r="B104" s="84"/>
      <c r="C104" s="32" t="s">
        <v>1</v>
      </c>
      <c r="D104" s="19">
        <f>SUM(E104:I104)</f>
        <v>47041.087</v>
      </c>
      <c r="E104" s="18">
        <f>15000+32041.087</f>
        <v>47041.087</v>
      </c>
      <c r="F104" s="13"/>
      <c r="G104" s="13"/>
      <c r="H104" s="13"/>
      <c r="I104" s="13"/>
      <c r="J104" s="66"/>
      <c r="K104" s="69"/>
      <c r="L104" s="66"/>
      <c r="M104" s="69"/>
      <c r="N104" s="69"/>
      <c r="O104" s="69"/>
      <c r="P104" s="69"/>
      <c r="Q104" s="72"/>
      <c r="R104" s="69"/>
      <c r="S104" s="69"/>
      <c r="T104" s="66"/>
      <c r="U104" s="69"/>
      <c r="V104" s="66"/>
      <c r="W104" s="12"/>
    </row>
    <row r="105" spans="1:23" s="7" customFormat="1" ht="99" customHeight="1" x14ac:dyDescent="0.7">
      <c r="A105" s="78"/>
      <c r="B105" s="84"/>
      <c r="C105" s="32" t="s">
        <v>2</v>
      </c>
      <c r="D105" s="19"/>
      <c r="E105" s="13"/>
      <c r="F105" s="13"/>
      <c r="G105" s="13"/>
      <c r="H105" s="13"/>
      <c r="I105" s="13"/>
      <c r="J105" s="66"/>
      <c r="K105" s="69"/>
      <c r="L105" s="66"/>
      <c r="M105" s="69"/>
      <c r="N105" s="69"/>
      <c r="O105" s="69"/>
      <c r="P105" s="69"/>
      <c r="Q105" s="72"/>
      <c r="R105" s="69"/>
      <c r="S105" s="69"/>
      <c r="T105" s="66"/>
      <c r="U105" s="69"/>
      <c r="V105" s="66"/>
      <c r="W105" s="36"/>
    </row>
    <row r="106" spans="1:23" s="7" customFormat="1" ht="91.5" x14ac:dyDescent="0.7">
      <c r="A106" s="79"/>
      <c r="B106" s="85"/>
      <c r="C106" s="32" t="s">
        <v>3</v>
      </c>
      <c r="D106" s="19"/>
      <c r="E106" s="13"/>
      <c r="F106" s="13"/>
      <c r="G106" s="13"/>
      <c r="H106" s="13"/>
      <c r="I106" s="13"/>
      <c r="J106" s="67"/>
      <c r="K106" s="70"/>
      <c r="L106" s="67"/>
      <c r="M106" s="70"/>
      <c r="N106" s="70"/>
      <c r="O106" s="70"/>
      <c r="P106" s="70"/>
      <c r="Q106" s="73"/>
      <c r="R106" s="70"/>
      <c r="S106" s="70"/>
      <c r="T106" s="67"/>
      <c r="U106" s="70"/>
      <c r="V106" s="67"/>
      <c r="W106" s="36"/>
    </row>
    <row r="107" spans="1:23" s="7" customFormat="1" x14ac:dyDescent="0.7">
      <c r="A107" s="74" t="s">
        <v>25</v>
      </c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6"/>
      <c r="W107" s="36"/>
    </row>
    <row r="108" spans="1:23" s="7" customFormat="1" x14ac:dyDescent="0.7">
      <c r="A108" s="77"/>
      <c r="B108" s="80" t="s">
        <v>200</v>
      </c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2"/>
      <c r="W108" s="36"/>
    </row>
    <row r="109" spans="1:23" s="7" customFormat="1" ht="117.75" customHeight="1" x14ac:dyDescent="0.7">
      <c r="A109" s="78"/>
      <c r="B109" s="83" t="s">
        <v>668</v>
      </c>
      <c r="C109" s="86" t="s">
        <v>694</v>
      </c>
      <c r="D109" s="87"/>
      <c r="E109" s="87"/>
      <c r="F109" s="87"/>
      <c r="G109" s="87"/>
      <c r="H109" s="88"/>
      <c r="I109" s="29"/>
      <c r="J109" s="65" t="s">
        <v>72</v>
      </c>
      <c r="K109" s="68"/>
      <c r="L109" s="68" t="s">
        <v>87</v>
      </c>
      <c r="M109" s="68"/>
      <c r="N109" s="68" t="s">
        <v>25</v>
      </c>
      <c r="O109" s="68" t="s">
        <v>25</v>
      </c>
      <c r="P109" s="68" t="s">
        <v>25</v>
      </c>
      <c r="Q109" s="71" t="s">
        <v>695</v>
      </c>
      <c r="R109" s="68" t="s">
        <v>11</v>
      </c>
      <c r="S109" s="68" t="s">
        <v>696</v>
      </c>
      <c r="T109" s="65" t="s">
        <v>7</v>
      </c>
      <c r="U109" s="68"/>
      <c r="V109" s="68" t="s">
        <v>697</v>
      </c>
      <c r="W109" s="36"/>
    </row>
    <row r="110" spans="1:23" s="7" customFormat="1" x14ac:dyDescent="0.7">
      <c r="A110" s="78"/>
      <c r="B110" s="84"/>
      <c r="C110" s="32" t="s">
        <v>5</v>
      </c>
      <c r="D110" s="19">
        <f t="shared" ref="D110:E110" si="16">SUM(D111:D114)</f>
        <v>3944.7469700000001</v>
      </c>
      <c r="E110" s="19">
        <f t="shared" si="16"/>
        <v>3944.7469700000001</v>
      </c>
      <c r="F110" s="13"/>
      <c r="G110" s="13"/>
      <c r="H110" s="13"/>
      <c r="I110" s="13"/>
      <c r="J110" s="66"/>
      <c r="K110" s="69"/>
      <c r="L110" s="69"/>
      <c r="M110" s="69"/>
      <c r="N110" s="69"/>
      <c r="O110" s="69"/>
      <c r="P110" s="69"/>
      <c r="Q110" s="72"/>
      <c r="R110" s="69"/>
      <c r="S110" s="69"/>
      <c r="T110" s="66"/>
      <c r="U110" s="69"/>
      <c r="V110" s="69"/>
      <c r="W110" s="36"/>
    </row>
    <row r="111" spans="1:23" s="7" customFormat="1" ht="91.5" x14ac:dyDescent="0.7">
      <c r="A111" s="78"/>
      <c r="B111" s="84"/>
      <c r="C111" s="32" t="s">
        <v>0</v>
      </c>
      <c r="D111" s="19"/>
      <c r="E111" s="13"/>
      <c r="F111" s="13"/>
      <c r="G111" s="13"/>
      <c r="H111" s="13"/>
      <c r="I111" s="13"/>
      <c r="J111" s="66"/>
      <c r="K111" s="69"/>
      <c r="L111" s="69"/>
      <c r="M111" s="69"/>
      <c r="N111" s="69"/>
      <c r="O111" s="69"/>
      <c r="P111" s="69"/>
      <c r="Q111" s="72"/>
      <c r="R111" s="69"/>
      <c r="S111" s="69"/>
      <c r="T111" s="66"/>
      <c r="U111" s="69"/>
      <c r="V111" s="69"/>
      <c r="W111" s="36"/>
    </row>
    <row r="112" spans="1:23" s="7" customFormat="1" ht="91.5" x14ac:dyDescent="0.7">
      <c r="A112" s="78"/>
      <c r="B112" s="84"/>
      <c r="C112" s="32" t="s">
        <v>1</v>
      </c>
      <c r="D112" s="19">
        <f>SUM(E112:I112)</f>
        <v>3944.7469700000001</v>
      </c>
      <c r="E112" s="18">
        <v>3944.7469700000001</v>
      </c>
      <c r="F112" s="13"/>
      <c r="G112" s="13"/>
      <c r="H112" s="13"/>
      <c r="I112" s="13"/>
      <c r="J112" s="66"/>
      <c r="K112" s="69"/>
      <c r="L112" s="69"/>
      <c r="M112" s="69"/>
      <c r="N112" s="69"/>
      <c r="O112" s="69"/>
      <c r="P112" s="69"/>
      <c r="Q112" s="72"/>
      <c r="R112" s="69"/>
      <c r="S112" s="69"/>
      <c r="T112" s="66"/>
      <c r="U112" s="69"/>
      <c r="V112" s="69"/>
      <c r="W112" s="36"/>
    </row>
    <row r="113" spans="1:23" s="7" customFormat="1" ht="91.5" x14ac:dyDescent="0.7">
      <c r="A113" s="78"/>
      <c r="B113" s="84"/>
      <c r="C113" s="32" t="s">
        <v>2</v>
      </c>
      <c r="D113" s="19"/>
      <c r="E113" s="13"/>
      <c r="F113" s="13"/>
      <c r="G113" s="13"/>
      <c r="H113" s="13"/>
      <c r="I113" s="13"/>
      <c r="J113" s="66"/>
      <c r="K113" s="69"/>
      <c r="L113" s="69"/>
      <c r="M113" s="69"/>
      <c r="N113" s="69"/>
      <c r="O113" s="69"/>
      <c r="P113" s="69"/>
      <c r="Q113" s="72"/>
      <c r="R113" s="69"/>
      <c r="S113" s="69"/>
      <c r="T113" s="66"/>
      <c r="U113" s="69"/>
      <c r="V113" s="69"/>
      <c r="W113" s="36"/>
    </row>
    <row r="114" spans="1:23" s="7" customFormat="1" ht="91.5" x14ac:dyDescent="0.7">
      <c r="A114" s="79"/>
      <c r="B114" s="85"/>
      <c r="C114" s="32" t="s">
        <v>3</v>
      </c>
      <c r="D114" s="19"/>
      <c r="E114" s="13"/>
      <c r="F114" s="13"/>
      <c r="G114" s="13"/>
      <c r="H114" s="13"/>
      <c r="I114" s="13"/>
      <c r="J114" s="67"/>
      <c r="K114" s="70"/>
      <c r="L114" s="70"/>
      <c r="M114" s="70"/>
      <c r="N114" s="70"/>
      <c r="O114" s="70"/>
      <c r="P114" s="70"/>
      <c r="Q114" s="73"/>
      <c r="R114" s="70"/>
      <c r="S114" s="70"/>
      <c r="T114" s="67"/>
      <c r="U114" s="70"/>
      <c r="V114" s="70"/>
      <c r="W114" s="36"/>
    </row>
    <row r="115" spans="1:23" s="7" customFormat="1" x14ac:dyDescent="0.7">
      <c r="A115" s="115" t="s">
        <v>38</v>
      </c>
      <c r="B115" s="118" t="s">
        <v>214</v>
      </c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20"/>
      <c r="W115" s="36"/>
    </row>
    <row r="116" spans="1:23" s="7" customFormat="1" ht="64.5" customHeight="1" x14ac:dyDescent="0.7">
      <c r="A116" s="116"/>
      <c r="B116" s="113" t="s">
        <v>5</v>
      </c>
      <c r="C116" s="114"/>
      <c r="D116" s="16">
        <f>SUM(D117:D120)</f>
        <v>2154234.7867055777</v>
      </c>
      <c r="E116" s="16">
        <f>E124+E132+E140+E148+E156+E164+E172+E180+E188+E196+E204+E212+E220+E228+E236</f>
        <v>335002.2773437688</v>
      </c>
      <c r="F116" s="16">
        <f t="shared" ref="F116:I116" si="17">F124+F132+F140+F148+F156+F164+F172+F180+F188+F196+F204+F212+F220+F228+F236</f>
        <v>801167.26596984919</v>
      </c>
      <c r="G116" s="16">
        <f t="shared" si="17"/>
        <v>654646.49139195983</v>
      </c>
      <c r="H116" s="16">
        <f t="shared" si="17"/>
        <v>227602.66899999999</v>
      </c>
      <c r="I116" s="16">
        <f t="shared" si="17"/>
        <v>135816.08300000001</v>
      </c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36"/>
    </row>
    <row r="117" spans="1:23" s="7" customFormat="1" x14ac:dyDescent="0.7">
      <c r="A117" s="116"/>
      <c r="B117" s="113" t="s">
        <v>0</v>
      </c>
      <c r="C117" s="114"/>
      <c r="D117" s="16"/>
      <c r="E117" s="16"/>
      <c r="F117" s="16"/>
      <c r="G117" s="16"/>
      <c r="H117" s="16"/>
      <c r="I117" s="16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36"/>
    </row>
    <row r="118" spans="1:23" s="7" customFormat="1" x14ac:dyDescent="0.7">
      <c r="A118" s="116"/>
      <c r="B118" s="113" t="s">
        <v>1</v>
      </c>
      <c r="C118" s="114"/>
      <c r="D118" s="16">
        <f>SUM(E118:I118)</f>
        <v>2149923.0954899997</v>
      </c>
      <c r="E118" s="16">
        <f>E126+E134+E142+E150+E158+E166+E174+E182+E190+E198+E206+E214+E222+E230+E238</f>
        <v>334796.17848999996</v>
      </c>
      <c r="F118" s="16">
        <f t="shared" ref="F118:I118" si="18">F126+F134+F142+F150+F158+F166+F174+F182+F190+F198+F206+F214+F222+F230+F238</f>
        <v>799408.47199999983</v>
      </c>
      <c r="G118" s="16">
        <f t="shared" si="18"/>
        <v>652299.69299999997</v>
      </c>
      <c r="H118" s="16">
        <f t="shared" si="18"/>
        <v>227602.66899999999</v>
      </c>
      <c r="I118" s="16">
        <f t="shared" si="18"/>
        <v>135816.08300000001</v>
      </c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36"/>
    </row>
    <row r="119" spans="1:23" s="7" customFormat="1" ht="45.75" customHeight="1" x14ac:dyDescent="0.7">
      <c r="A119" s="116"/>
      <c r="B119" s="113" t="s">
        <v>2</v>
      </c>
      <c r="C119" s="114"/>
      <c r="D119" s="16">
        <f>SUM(E119:I119)</f>
        <v>4311.69121557789</v>
      </c>
      <c r="E119" s="16">
        <f>E127+E135+E143+E151+E159+E167+E175+E183+E191+E199+E207+E215+E223+E231+E239</f>
        <v>206.09885376884421</v>
      </c>
      <c r="F119" s="16">
        <f t="shared" ref="F119:G119" si="19">F127+F135+F143+F151+F159+F167+F175+F183+F191+F199+F207+F215+F223+F231+F239</f>
        <v>1758.7939698492462</v>
      </c>
      <c r="G119" s="16">
        <f t="shared" si="19"/>
        <v>2346.7983919597991</v>
      </c>
      <c r="H119" s="16"/>
      <c r="I119" s="16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36"/>
    </row>
    <row r="120" spans="1:23" s="7" customFormat="1" ht="95.25" customHeight="1" x14ac:dyDescent="0.7">
      <c r="A120" s="117"/>
      <c r="B120" s="113" t="s">
        <v>3</v>
      </c>
      <c r="C120" s="114"/>
      <c r="D120" s="20"/>
      <c r="E120" s="16"/>
      <c r="F120" s="16"/>
      <c r="G120" s="16"/>
      <c r="H120" s="16"/>
      <c r="I120" s="16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36"/>
    </row>
    <row r="121" spans="1:23" s="7" customFormat="1" x14ac:dyDescent="0.7">
      <c r="A121" s="74" t="s">
        <v>16</v>
      </c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6"/>
      <c r="W121" s="12"/>
    </row>
    <row r="122" spans="1:23" s="7" customFormat="1" ht="45.75" customHeight="1" x14ac:dyDescent="0.7">
      <c r="A122" s="77"/>
      <c r="B122" s="80" t="s">
        <v>215</v>
      </c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2"/>
      <c r="W122" s="12"/>
    </row>
    <row r="123" spans="1:23" s="7" customFormat="1" ht="109.5" customHeight="1" x14ac:dyDescent="0.7">
      <c r="A123" s="78"/>
      <c r="B123" s="83" t="s">
        <v>40</v>
      </c>
      <c r="C123" s="95" t="s">
        <v>125</v>
      </c>
      <c r="D123" s="96"/>
      <c r="E123" s="96"/>
      <c r="F123" s="96"/>
      <c r="G123" s="96"/>
      <c r="H123" s="97"/>
      <c r="I123" s="29"/>
      <c r="J123" s="65" t="s">
        <v>74</v>
      </c>
      <c r="K123" s="68" t="s">
        <v>586</v>
      </c>
      <c r="L123" s="68" t="s">
        <v>87</v>
      </c>
      <c r="M123" s="68" t="s">
        <v>28</v>
      </c>
      <c r="N123" s="68" t="s">
        <v>179</v>
      </c>
      <c r="O123" s="68" t="s">
        <v>626</v>
      </c>
      <c r="P123" s="65" t="s">
        <v>179</v>
      </c>
      <c r="Q123" s="71" t="s">
        <v>216</v>
      </c>
      <c r="R123" s="68" t="s">
        <v>11</v>
      </c>
      <c r="S123" s="68" t="s">
        <v>14</v>
      </c>
      <c r="T123" s="65" t="s">
        <v>19</v>
      </c>
      <c r="U123" s="68"/>
      <c r="V123" s="68" t="s">
        <v>172</v>
      </c>
      <c r="W123" s="12"/>
    </row>
    <row r="124" spans="1:23" s="7" customFormat="1" x14ac:dyDescent="0.7">
      <c r="A124" s="78"/>
      <c r="B124" s="84"/>
      <c r="C124" s="32" t="s">
        <v>5</v>
      </c>
      <c r="D124" s="19">
        <f t="shared" ref="D124:F124" si="20">SUM(D125:D128)</f>
        <v>120049.36584</v>
      </c>
      <c r="E124" s="13">
        <f t="shared" si="20"/>
        <v>16128.245840000001</v>
      </c>
      <c r="F124" s="13">
        <f t="shared" si="20"/>
        <v>103921.12</v>
      </c>
      <c r="G124" s="13"/>
      <c r="H124" s="13"/>
      <c r="I124" s="13"/>
      <c r="J124" s="66"/>
      <c r="K124" s="69"/>
      <c r="L124" s="69"/>
      <c r="M124" s="69"/>
      <c r="N124" s="69"/>
      <c r="O124" s="69"/>
      <c r="P124" s="66"/>
      <c r="Q124" s="72"/>
      <c r="R124" s="69"/>
      <c r="S124" s="69"/>
      <c r="T124" s="66"/>
      <c r="U124" s="69"/>
      <c r="V124" s="69"/>
      <c r="W124" s="12"/>
    </row>
    <row r="125" spans="1:23" s="7" customFormat="1" ht="91.5" x14ac:dyDescent="0.7">
      <c r="A125" s="78"/>
      <c r="B125" s="84"/>
      <c r="C125" s="32" t="s">
        <v>0</v>
      </c>
      <c r="D125" s="19"/>
      <c r="E125" s="18"/>
      <c r="F125" s="13"/>
      <c r="G125" s="13"/>
      <c r="H125" s="13"/>
      <c r="I125" s="13"/>
      <c r="J125" s="66"/>
      <c r="K125" s="69"/>
      <c r="L125" s="69"/>
      <c r="M125" s="69"/>
      <c r="N125" s="69"/>
      <c r="O125" s="69"/>
      <c r="P125" s="66"/>
      <c r="Q125" s="72"/>
      <c r="R125" s="69"/>
      <c r="S125" s="69"/>
      <c r="T125" s="66"/>
      <c r="U125" s="69"/>
      <c r="V125" s="69"/>
      <c r="W125" s="12"/>
    </row>
    <row r="126" spans="1:23" s="7" customFormat="1" ht="91.5" x14ac:dyDescent="0.7">
      <c r="A126" s="78"/>
      <c r="B126" s="84"/>
      <c r="C126" s="32" t="s">
        <v>1</v>
      </c>
      <c r="D126" s="19">
        <f>SUM(E126:H126)</f>
        <v>120049.36584</v>
      </c>
      <c r="E126" s="18">
        <f>112619.4-18026.54133-9076.044-18728.84798-10921.476-2500-35937.721-1300.52385</f>
        <v>16128.245840000001</v>
      </c>
      <c r="F126" s="18">
        <f>167161.12-63240</f>
        <v>103921.12</v>
      </c>
      <c r="G126" s="18"/>
      <c r="H126" s="13"/>
      <c r="I126" s="13"/>
      <c r="J126" s="66"/>
      <c r="K126" s="69"/>
      <c r="L126" s="69"/>
      <c r="M126" s="69"/>
      <c r="N126" s="69"/>
      <c r="O126" s="69"/>
      <c r="P126" s="66"/>
      <c r="Q126" s="72"/>
      <c r="R126" s="69"/>
      <c r="S126" s="69"/>
      <c r="T126" s="66"/>
      <c r="U126" s="69"/>
      <c r="V126" s="69"/>
      <c r="W126" s="12"/>
    </row>
    <row r="127" spans="1:23" s="7" customFormat="1" ht="98.25" customHeight="1" x14ac:dyDescent="0.7">
      <c r="A127" s="78"/>
      <c r="B127" s="84"/>
      <c r="C127" s="32" t="s">
        <v>2</v>
      </c>
      <c r="D127" s="19"/>
      <c r="E127" s="13"/>
      <c r="F127" s="13"/>
      <c r="G127" s="13"/>
      <c r="H127" s="13"/>
      <c r="I127" s="13"/>
      <c r="J127" s="66"/>
      <c r="K127" s="69"/>
      <c r="L127" s="69"/>
      <c r="M127" s="69"/>
      <c r="N127" s="69"/>
      <c r="O127" s="69"/>
      <c r="P127" s="66"/>
      <c r="Q127" s="72"/>
      <c r="R127" s="69"/>
      <c r="S127" s="69"/>
      <c r="T127" s="66"/>
      <c r="U127" s="69"/>
      <c r="V127" s="69"/>
      <c r="W127" s="12"/>
    </row>
    <row r="128" spans="1:23" s="7" customFormat="1" ht="102.75" customHeight="1" x14ac:dyDescent="0.7">
      <c r="A128" s="79"/>
      <c r="B128" s="85"/>
      <c r="C128" s="32" t="s">
        <v>3</v>
      </c>
      <c r="D128" s="19"/>
      <c r="E128" s="13"/>
      <c r="F128" s="13"/>
      <c r="G128" s="13"/>
      <c r="H128" s="13"/>
      <c r="I128" s="13"/>
      <c r="J128" s="67"/>
      <c r="K128" s="70"/>
      <c r="L128" s="70"/>
      <c r="M128" s="70"/>
      <c r="N128" s="70"/>
      <c r="O128" s="70"/>
      <c r="P128" s="67"/>
      <c r="Q128" s="73"/>
      <c r="R128" s="70"/>
      <c r="S128" s="70"/>
      <c r="T128" s="67"/>
      <c r="U128" s="70"/>
      <c r="V128" s="70"/>
      <c r="W128" s="12"/>
    </row>
    <row r="129" spans="1:23" s="7" customFormat="1" ht="45.75" customHeight="1" x14ac:dyDescent="0.7">
      <c r="A129" s="74" t="s">
        <v>16</v>
      </c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6"/>
      <c r="W129" s="12"/>
    </row>
    <row r="130" spans="1:23" s="7" customFormat="1" ht="45.75" customHeight="1" x14ac:dyDescent="0.7">
      <c r="A130" s="77"/>
      <c r="B130" s="80" t="s">
        <v>215</v>
      </c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2"/>
      <c r="W130" s="12"/>
    </row>
    <row r="131" spans="1:23" s="7" customFormat="1" ht="109.5" customHeight="1" x14ac:dyDescent="0.7">
      <c r="A131" s="78"/>
      <c r="B131" s="83" t="s">
        <v>41</v>
      </c>
      <c r="C131" s="95" t="s">
        <v>191</v>
      </c>
      <c r="D131" s="96"/>
      <c r="E131" s="96"/>
      <c r="F131" s="96"/>
      <c r="G131" s="96"/>
      <c r="H131" s="97"/>
      <c r="I131" s="29"/>
      <c r="J131" s="65" t="s">
        <v>173</v>
      </c>
      <c r="K131" s="68" t="s">
        <v>107</v>
      </c>
      <c r="L131" s="68" t="s">
        <v>87</v>
      </c>
      <c r="M131" s="68" t="s">
        <v>29</v>
      </c>
      <c r="N131" s="68" t="s">
        <v>179</v>
      </c>
      <c r="O131" s="68" t="s">
        <v>626</v>
      </c>
      <c r="P131" s="68" t="s">
        <v>179</v>
      </c>
      <c r="Q131" s="71" t="s">
        <v>217</v>
      </c>
      <c r="R131" s="68" t="s">
        <v>11</v>
      </c>
      <c r="S131" s="68" t="s">
        <v>10</v>
      </c>
      <c r="T131" s="65" t="s">
        <v>7</v>
      </c>
      <c r="U131" s="68"/>
      <c r="V131" s="65" t="s">
        <v>218</v>
      </c>
      <c r="W131" s="12"/>
    </row>
    <row r="132" spans="1:23" s="7" customFormat="1" x14ac:dyDescent="0.7">
      <c r="A132" s="78"/>
      <c r="B132" s="84"/>
      <c r="C132" s="32" t="s">
        <v>5</v>
      </c>
      <c r="D132" s="19">
        <f t="shared" ref="D132:F132" si="21">SUM(D133:D136)</f>
        <v>350978.52585999999</v>
      </c>
      <c r="E132" s="13">
        <f t="shared" si="21"/>
        <v>207227.29586000001</v>
      </c>
      <c r="F132" s="13">
        <f t="shared" si="21"/>
        <v>143751.22999999998</v>
      </c>
      <c r="G132" s="13"/>
      <c r="H132" s="13"/>
      <c r="I132" s="13"/>
      <c r="J132" s="66"/>
      <c r="K132" s="69"/>
      <c r="L132" s="69"/>
      <c r="M132" s="69"/>
      <c r="N132" s="69"/>
      <c r="O132" s="69"/>
      <c r="P132" s="69"/>
      <c r="Q132" s="72"/>
      <c r="R132" s="69"/>
      <c r="S132" s="69"/>
      <c r="T132" s="66"/>
      <c r="U132" s="69"/>
      <c r="V132" s="66"/>
      <c r="W132" s="12"/>
    </row>
    <row r="133" spans="1:23" s="7" customFormat="1" ht="91.5" x14ac:dyDescent="0.7">
      <c r="A133" s="78"/>
      <c r="B133" s="84"/>
      <c r="C133" s="32" t="s">
        <v>0</v>
      </c>
      <c r="D133" s="19"/>
      <c r="E133" s="13"/>
      <c r="F133" s="13"/>
      <c r="G133" s="13"/>
      <c r="H133" s="13"/>
      <c r="I133" s="13"/>
      <c r="J133" s="66"/>
      <c r="K133" s="69"/>
      <c r="L133" s="69"/>
      <c r="M133" s="69"/>
      <c r="N133" s="69"/>
      <c r="O133" s="69"/>
      <c r="P133" s="69"/>
      <c r="Q133" s="72"/>
      <c r="R133" s="69"/>
      <c r="S133" s="69"/>
      <c r="T133" s="66"/>
      <c r="U133" s="69"/>
      <c r="V133" s="66"/>
      <c r="W133" s="12"/>
    </row>
    <row r="134" spans="1:23" s="7" customFormat="1" ht="91.5" x14ac:dyDescent="0.7">
      <c r="A134" s="78"/>
      <c r="B134" s="84"/>
      <c r="C134" s="32" t="s">
        <v>1</v>
      </c>
      <c r="D134" s="19">
        <f>SUM(E134:H134)</f>
        <v>350978.52585999999</v>
      </c>
      <c r="E134" s="18">
        <f>173811.51+32000+11415.78586-10000</f>
        <v>207227.29586000001</v>
      </c>
      <c r="F134" s="18">
        <v>143751.22999999998</v>
      </c>
      <c r="G134" s="18"/>
      <c r="H134" s="13"/>
      <c r="I134" s="13"/>
      <c r="J134" s="66"/>
      <c r="K134" s="69"/>
      <c r="L134" s="69"/>
      <c r="M134" s="69"/>
      <c r="N134" s="69"/>
      <c r="O134" s="69"/>
      <c r="P134" s="69"/>
      <c r="Q134" s="72"/>
      <c r="R134" s="69"/>
      <c r="S134" s="69"/>
      <c r="T134" s="66"/>
      <c r="U134" s="69"/>
      <c r="V134" s="66"/>
      <c r="W134" s="12"/>
    </row>
    <row r="135" spans="1:23" s="7" customFormat="1" ht="102" customHeight="1" x14ac:dyDescent="0.7">
      <c r="A135" s="78"/>
      <c r="B135" s="84"/>
      <c r="C135" s="32" t="s">
        <v>2</v>
      </c>
      <c r="D135" s="19"/>
      <c r="E135" s="13"/>
      <c r="F135" s="13"/>
      <c r="G135" s="13"/>
      <c r="H135" s="13"/>
      <c r="I135" s="13"/>
      <c r="J135" s="66"/>
      <c r="K135" s="69"/>
      <c r="L135" s="69"/>
      <c r="M135" s="69"/>
      <c r="N135" s="69"/>
      <c r="O135" s="69"/>
      <c r="P135" s="69"/>
      <c r="Q135" s="72"/>
      <c r="R135" s="69"/>
      <c r="S135" s="69"/>
      <c r="T135" s="66"/>
      <c r="U135" s="69"/>
      <c r="V135" s="66"/>
      <c r="W135" s="12"/>
    </row>
    <row r="136" spans="1:23" s="7" customFormat="1" ht="91.5" x14ac:dyDescent="0.7">
      <c r="A136" s="79"/>
      <c r="B136" s="85"/>
      <c r="C136" s="32" t="s">
        <v>3</v>
      </c>
      <c r="D136" s="19"/>
      <c r="E136" s="13"/>
      <c r="F136" s="13"/>
      <c r="G136" s="13"/>
      <c r="H136" s="13"/>
      <c r="I136" s="13"/>
      <c r="J136" s="67"/>
      <c r="K136" s="70"/>
      <c r="L136" s="70"/>
      <c r="M136" s="70"/>
      <c r="N136" s="70"/>
      <c r="O136" s="70"/>
      <c r="P136" s="70"/>
      <c r="Q136" s="73"/>
      <c r="R136" s="70"/>
      <c r="S136" s="70"/>
      <c r="T136" s="67"/>
      <c r="U136" s="70"/>
      <c r="V136" s="67"/>
      <c r="W136" s="12"/>
    </row>
    <row r="137" spans="1:23" s="7" customFormat="1" ht="45.75" customHeight="1" x14ac:dyDescent="0.7">
      <c r="A137" s="74" t="s">
        <v>16</v>
      </c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6"/>
      <c r="W137" s="12"/>
    </row>
    <row r="138" spans="1:23" s="7" customFormat="1" ht="45.75" customHeight="1" x14ac:dyDescent="0.7">
      <c r="A138" s="77"/>
      <c r="B138" s="80" t="s">
        <v>215</v>
      </c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2"/>
      <c r="W138" s="12"/>
    </row>
    <row r="139" spans="1:23" s="7" customFormat="1" ht="109.5" customHeight="1" x14ac:dyDescent="0.7">
      <c r="A139" s="78"/>
      <c r="B139" s="92" t="s">
        <v>42</v>
      </c>
      <c r="C139" s="86" t="s">
        <v>219</v>
      </c>
      <c r="D139" s="87"/>
      <c r="E139" s="87"/>
      <c r="F139" s="87"/>
      <c r="G139" s="87"/>
      <c r="H139" s="88"/>
      <c r="I139" s="45"/>
      <c r="J139" s="65"/>
      <c r="K139" s="65" t="s">
        <v>223</v>
      </c>
      <c r="L139" s="65" t="s">
        <v>87</v>
      </c>
      <c r="M139" s="65" t="s">
        <v>182</v>
      </c>
      <c r="N139" s="65" t="s">
        <v>16</v>
      </c>
      <c r="O139" s="65" t="s">
        <v>626</v>
      </c>
      <c r="P139" s="65" t="s">
        <v>179</v>
      </c>
      <c r="Q139" s="71" t="s">
        <v>221</v>
      </c>
      <c r="R139" s="65" t="s">
        <v>11</v>
      </c>
      <c r="S139" s="65" t="s">
        <v>17</v>
      </c>
      <c r="T139" s="65" t="s">
        <v>208</v>
      </c>
      <c r="U139" s="65"/>
      <c r="V139" s="65" t="s">
        <v>222</v>
      </c>
      <c r="W139" s="12"/>
    </row>
    <row r="140" spans="1:23" s="7" customFormat="1" x14ac:dyDescent="0.7">
      <c r="A140" s="78"/>
      <c r="B140" s="93"/>
      <c r="C140" s="44" t="s">
        <v>5</v>
      </c>
      <c r="D140" s="17">
        <f t="shared" ref="D140" si="22">SUM(D141:D144)</f>
        <v>2060.7360000000008</v>
      </c>
      <c r="E140" s="18">
        <f>SUM(E141:E143)</f>
        <v>2060.7360000000008</v>
      </c>
      <c r="F140" s="18"/>
      <c r="G140" s="18"/>
      <c r="H140" s="18"/>
      <c r="I140" s="18"/>
      <c r="J140" s="66"/>
      <c r="K140" s="66"/>
      <c r="L140" s="66"/>
      <c r="M140" s="66"/>
      <c r="N140" s="66"/>
      <c r="O140" s="66"/>
      <c r="P140" s="66"/>
      <c r="Q140" s="72"/>
      <c r="R140" s="66"/>
      <c r="S140" s="66"/>
      <c r="T140" s="66"/>
      <c r="U140" s="66"/>
      <c r="V140" s="66"/>
      <c r="W140" s="12"/>
    </row>
    <row r="141" spans="1:23" s="7" customFormat="1" ht="91.5" x14ac:dyDescent="0.7">
      <c r="A141" s="78"/>
      <c r="B141" s="93"/>
      <c r="C141" s="44" t="s">
        <v>0</v>
      </c>
      <c r="D141" s="17"/>
      <c r="E141" s="18"/>
      <c r="F141" s="18"/>
      <c r="G141" s="18"/>
      <c r="H141" s="18"/>
      <c r="I141" s="18"/>
      <c r="J141" s="66"/>
      <c r="K141" s="66"/>
      <c r="L141" s="66"/>
      <c r="M141" s="66"/>
      <c r="N141" s="66"/>
      <c r="O141" s="66"/>
      <c r="P141" s="66"/>
      <c r="Q141" s="72"/>
      <c r="R141" s="66"/>
      <c r="S141" s="66"/>
      <c r="T141" s="66"/>
      <c r="U141" s="66"/>
      <c r="V141" s="66"/>
      <c r="W141" s="12"/>
    </row>
    <row r="142" spans="1:23" s="7" customFormat="1" ht="91.5" x14ac:dyDescent="0.7">
      <c r="A142" s="78"/>
      <c r="B142" s="93"/>
      <c r="C142" s="44" t="s">
        <v>1</v>
      </c>
      <c r="D142" s="17">
        <f>SUM(E142:H142)</f>
        <v>2060.7360000000008</v>
      </c>
      <c r="E142" s="18">
        <f>19000-16939.264</f>
        <v>2060.7360000000008</v>
      </c>
      <c r="F142" s="18"/>
      <c r="G142" s="18"/>
      <c r="H142" s="18"/>
      <c r="I142" s="18"/>
      <c r="J142" s="66"/>
      <c r="K142" s="66"/>
      <c r="L142" s="66"/>
      <c r="M142" s="66"/>
      <c r="N142" s="66"/>
      <c r="O142" s="66"/>
      <c r="P142" s="66"/>
      <c r="Q142" s="72"/>
      <c r="R142" s="66"/>
      <c r="S142" s="66"/>
      <c r="T142" s="66"/>
      <c r="U142" s="66"/>
      <c r="V142" s="66"/>
      <c r="W142" s="12"/>
    </row>
    <row r="143" spans="1:23" s="7" customFormat="1" ht="94.5" customHeight="1" x14ac:dyDescent="0.7">
      <c r="A143" s="78"/>
      <c r="B143" s="93"/>
      <c r="C143" s="44" t="s">
        <v>2</v>
      </c>
      <c r="D143" s="17"/>
      <c r="E143" s="18"/>
      <c r="F143" s="18"/>
      <c r="G143" s="18"/>
      <c r="H143" s="18"/>
      <c r="I143" s="18"/>
      <c r="J143" s="66"/>
      <c r="K143" s="66"/>
      <c r="L143" s="66"/>
      <c r="M143" s="66"/>
      <c r="N143" s="66"/>
      <c r="O143" s="66"/>
      <c r="P143" s="66"/>
      <c r="Q143" s="72"/>
      <c r="R143" s="66"/>
      <c r="S143" s="66"/>
      <c r="T143" s="66"/>
      <c r="U143" s="66"/>
      <c r="V143" s="66"/>
      <c r="W143" s="12"/>
    </row>
    <row r="144" spans="1:23" s="7" customFormat="1" ht="91.5" x14ac:dyDescent="0.7">
      <c r="A144" s="79"/>
      <c r="B144" s="94"/>
      <c r="C144" s="44" t="s">
        <v>3</v>
      </c>
      <c r="D144" s="17"/>
      <c r="E144" s="18"/>
      <c r="F144" s="18"/>
      <c r="G144" s="18"/>
      <c r="H144" s="18"/>
      <c r="I144" s="18"/>
      <c r="J144" s="67"/>
      <c r="K144" s="67"/>
      <c r="L144" s="67"/>
      <c r="M144" s="67"/>
      <c r="N144" s="67"/>
      <c r="O144" s="67"/>
      <c r="P144" s="67"/>
      <c r="Q144" s="73"/>
      <c r="R144" s="67"/>
      <c r="S144" s="67"/>
      <c r="T144" s="67"/>
      <c r="U144" s="67"/>
      <c r="V144" s="67"/>
      <c r="W144" s="12"/>
    </row>
    <row r="145" spans="1:23" s="7" customFormat="1" ht="45.75" customHeight="1" x14ac:dyDescent="0.7">
      <c r="A145" s="74" t="s">
        <v>16</v>
      </c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6"/>
      <c r="W145" s="12"/>
    </row>
    <row r="146" spans="1:23" s="7" customFormat="1" ht="45.75" customHeight="1" x14ac:dyDescent="0.7">
      <c r="A146" s="77"/>
      <c r="B146" s="80" t="s">
        <v>215</v>
      </c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2"/>
      <c r="W146" s="12"/>
    </row>
    <row r="147" spans="1:23" s="7" customFormat="1" x14ac:dyDescent="0.7">
      <c r="A147" s="78"/>
      <c r="B147" s="92" t="s">
        <v>43</v>
      </c>
      <c r="C147" s="86" t="s">
        <v>224</v>
      </c>
      <c r="D147" s="87"/>
      <c r="E147" s="87"/>
      <c r="F147" s="87"/>
      <c r="G147" s="87"/>
      <c r="H147" s="88"/>
      <c r="I147" s="45"/>
      <c r="J147" s="65" t="s">
        <v>220</v>
      </c>
      <c r="K147" s="65" t="s">
        <v>223</v>
      </c>
      <c r="L147" s="65" t="s">
        <v>87</v>
      </c>
      <c r="M147" s="65" t="s">
        <v>182</v>
      </c>
      <c r="N147" s="65" t="s">
        <v>179</v>
      </c>
      <c r="O147" s="65" t="s">
        <v>626</v>
      </c>
      <c r="P147" s="65" t="s">
        <v>179</v>
      </c>
      <c r="Q147" s="71" t="s">
        <v>221</v>
      </c>
      <c r="R147" s="65" t="s">
        <v>11</v>
      </c>
      <c r="S147" s="65" t="s">
        <v>17</v>
      </c>
      <c r="T147" s="65" t="s">
        <v>208</v>
      </c>
      <c r="U147" s="65"/>
      <c r="V147" s="65" t="s">
        <v>222</v>
      </c>
      <c r="W147" s="12"/>
    </row>
    <row r="148" spans="1:23" s="7" customFormat="1" x14ac:dyDescent="0.7">
      <c r="A148" s="78"/>
      <c r="B148" s="93"/>
      <c r="C148" s="44" t="s">
        <v>5</v>
      </c>
      <c r="D148" s="17">
        <f t="shared" ref="D148" si="23">SUM(D149:D152)</f>
        <v>157709.83200000011</v>
      </c>
      <c r="E148" s="18"/>
      <c r="F148" s="18"/>
      <c r="G148" s="18"/>
      <c r="H148" s="18">
        <f t="shared" ref="H148:I148" si="24">SUM(H149:H151)</f>
        <v>21893.749000000098</v>
      </c>
      <c r="I148" s="18">
        <f t="shared" si="24"/>
        <v>135816.08300000001</v>
      </c>
      <c r="J148" s="66"/>
      <c r="K148" s="66"/>
      <c r="L148" s="66"/>
      <c r="M148" s="66"/>
      <c r="N148" s="66"/>
      <c r="O148" s="66"/>
      <c r="P148" s="66"/>
      <c r="Q148" s="72"/>
      <c r="R148" s="66"/>
      <c r="S148" s="66"/>
      <c r="T148" s="66"/>
      <c r="U148" s="66"/>
      <c r="V148" s="66"/>
      <c r="W148" s="12"/>
    </row>
    <row r="149" spans="1:23" s="7" customFormat="1" ht="91.5" x14ac:dyDescent="0.7">
      <c r="A149" s="78"/>
      <c r="B149" s="93"/>
      <c r="C149" s="44" t="s">
        <v>0</v>
      </c>
      <c r="D149" s="17"/>
      <c r="E149" s="18"/>
      <c r="F149" s="18"/>
      <c r="G149" s="18"/>
      <c r="H149" s="18"/>
      <c r="I149" s="18"/>
      <c r="J149" s="66"/>
      <c r="K149" s="66"/>
      <c r="L149" s="66"/>
      <c r="M149" s="66"/>
      <c r="N149" s="66"/>
      <c r="O149" s="66"/>
      <c r="P149" s="66"/>
      <c r="Q149" s="72"/>
      <c r="R149" s="66"/>
      <c r="S149" s="66"/>
      <c r="T149" s="66"/>
      <c r="U149" s="66"/>
      <c r="V149" s="66"/>
      <c r="W149" s="12"/>
    </row>
    <row r="150" spans="1:23" s="7" customFormat="1" ht="91.5" x14ac:dyDescent="0.7">
      <c r="A150" s="78"/>
      <c r="B150" s="93"/>
      <c r="C150" s="44" t="s">
        <v>1</v>
      </c>
      <c r="D150" s="17">
        <f>SUM(E150:I150)</f>
        <v>157709.83200000011</v>
      </c>
      <c r="E150" s="18"/>
      <c r="F150" s="18"/>
      <c r="G150" s="18"/>
      <c r="H150" s="18">
        <f>64850.972-42957.2229999999</f>
        <v>21893.749000000098</v>
      </c>
      <c r="I150" s="18">
        <v>135816.08300000001</v>
      </c>
      <c r="J150" s="66"/>
      <c r="K150" s="66"/>
      <c r="L150" s="66"/>
      <c r="M150" s="66"/>
      <c r="N150" s="66"/>
      <c r="O150" s="66"/>
      <c r="P150" s="66"/>
      <c r="Q150" s="72"/>
      <c r="R150" s="66"/>
      <c r="S150" s="66"/>
      <c r="T150" s="66"/>
      <c r="U150" s="66"/>
      <c r="V150" s="66"/>
      <c r="W150" s="12"/>
    </row>
    <row r="151" spans="1:23" s="7" customFormat="1" ht="95.25" customHeight="1" x14ac:dyDescent="0.7">
      <c r="A151" s="78"/>
      <c r="B151" s="93"/>
      <c r="C151" s="44" t="s">
        <v>2</v>
      </c>
      <c r="D151" s="17"/>
      <c r="E151" s="18"/>
      <c r="F151" s="18"/>
      <c r="G151" s="18"/>
      <c r="H151" s="18"/>
      <c r="I151" s="18"/>
      <c r="J151" s="66"/>
      <c r="K151" s="66"/>
      <c r="L151" s="66"/>
      <c r="M151" s="66"/>
      <c r="N151" s="66"/>
      <c r="O151" s="66"/>
      <c r="P151" s="66"/>
      <c r="Q151" s="72"/>
      <c r="R151" s="66"/>
      <c r="S151" s="66"/>
      <c r="T151" s="66"/>
      <c r="U151" s="66"/>
      <c r="V151" s="66"/>
      <c r="W151" s="12"/>
    </row>
    <row r="152" spans="1:23" s="7" customFormat="1" ht="102.75" customHeight="1" x14ac:dyDescent="0.7">
      <c r="A152" s="79"/>
      <c r="B152" s="94"/>
      <c r="C152" s="44" t="s">
        <v>3</v>
      </c>
      <c r="D152" s="17"/>
      <c r="E152" s="18"/>
      <c r="F152" s="18"/>
      <c r="G152" s="18"/>
      <c r="H152" s="18"/>
      <c r="I152" s="18"/>
      <c r="J152" s="67"/>
      <c r="K152" s="67"/>
      <c r="L152" s="67"/>
      <c r="M152" s="67"/>
      <c r="N152" s="67"/>
      <c r="O152" s="67"/>
      <c r="P152" s="67"/>
      <c r="Q152" s="73"/>
      <c r="R152" s="67"/>
      <c r="S152" s="67"/>
      <c r="T152" s="67"/>
      <c r="U152" s="67"/>
      <c r="V152" s="67"/>
      <c r="W152" s="12"/>
    </row>
    <row r="153" spans="1:23" s="7" customFormat="1" x14ac:dyDescent="0.7">
      <c r="A153" s="74" t="s">
        <v>16</v>
      </c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6"/>
      <c r="W153" s="12"/>
    </row>
    <row r="154" spans="1:23" s="7" customFormat="1" ht="45.75" customHeight="1" x14ac:dyDescent="0.7">
      <c r="A154" s="77"/>
      <c r="B154" s="80" t="s">
        <v>215</v>
      </c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2"/>
      <c r="W154" s="12"/>
    </row>
    <row r="155" spans="1:23" s="7" customFormat="1" ht="284.25" customHeight="1" x14ac:dyDescent="0.7">
      <c r="A155" s="78"/>
      <c r="B155" s="92" t="s">
        <v>333</v>
      </c>
      <c r="C155" s="86" t="s">
        <v>517</v>
      </c>
      <c r="D155" s="87"/>
      <c r="E155" s="87"/>
      <c r="F155" s="87"/>
      <c r="G155" s="87"/>
      <c r="H155" s="88"/>
      <c r="I155" s="45"/>
      <c r="J155" s="65" t="s">
        <v>340</v>
      </c>
      <c r="K155" s="65" t="s">
        <v>72</v>
      </c>
      <c r="L155" s="65" t="s">
        <v>87</v>
      </c>
      <c r="M155" s="65" t="s">
        <v>335</v>
      </c>
      <c r="N155" s="65" t="s">
        <v>179</v>
      </c>
      <c r="O155" s="65" t="s">
        <v>626</v>
      </c>
      <c r="P155" s="65" t="s">
        <v>179</v>
      </c>
      <c r="Q155" s="71" t="s">
        <v>336</v>
      </c>
      <c r="R155" s="65" t="s">
        <v>11</v>
      </c>
      <c r="S155" s="65" t="s">
        <v>17</v>
      </c>
      <c r="T155" s="65" t="s">
        <v>19</v>
      </c>
      <c r="U155" s="65"/>
      <c r="V155" s="65" t="s">
        <v>334</v>
      </c>
      <c r="W155" s="12"/>
    </row>
    <row r="156" spans="1:23" s="7" customFormat="1" x14ac:dyDescent="0.7">
      <c r="A156" s="78"/>
      <c r="B156" s="93"/>
      <c r="C156" s="44" t="s">
        <v>5</v>
      </c>
      <c r="D156" s="17">
        <f t="shared" ref="D156" si="25">SUM(D157:D160)</f>
        <v>331827.86499999987</v>
      </c>
      <c r="E156" s="18"/>
      <c r="F156" s="18">
        <f t="shared" ref="F156:H156" si="26">SUM(F157:F159)</f>
        <v>40642.952000000005</v>
      </c>
      <c r="G156" s="18">
        <f t="shared" si="26"/>
        <v>85475.992999999988</v>
      </c>
      <c r="H156" s="18">
        <f t="shared" si="26"/>
        <v>205708.9199999999</v>
      </c>
      <c r="I156" s="18"/>
      <c r="J156" s="66"/>
      <c r="K156" s="66"/>
      <c r="L156" s="66"/>
      <c r="M156" s="66"/>
      <c r="N156" s="66"/>
      <c r="O156" s="66"/>
      <c r="P156" s="66"/>
      <c r="Q156" s="72"/>
      <c r="R156" s="66"/>
      <c r="S156" s="66"/>
      <c r="T156" s="66"/>
      <c r="U156" s="66"/>
      <c r="V156" s="66"/>
      <c r="W156" s="12"/>
    </row>
    <row r="157" spans="1:23" s="7" customFormat="1" ht="91.5" x14ac:dyDescent="0.7">
      <c r="A157" s="78"/>
      <c r="B157" s="93"/>
      <c r="C157" s="44" t="s">
        <v>0</v>
      </c>
      <c r="D157" s="17"/>
      <c r="E157" s="18"/>
      <c r="F157" s="18"/>
      <c r="G157" s="18"/>
      <c r="H157" s="18"/>
      <c r="I157" s="18"/>
      <c r="J157" s="66"/>
      <c r="K157" s="66"/>
      <c r="L157" s="66"/>
      <c r="M157" s="66"/>
      <c r="N157" s="66"/>
      <c r="O157" s="66"/>
      <c r="P157" s="66"/>
      <c r="Q157" s="72"/>
      <c r="R157" s="66"/>
      <c r="S157" s="66"/>
      <c r="T157" s="66"/>
      <c r="U157" s="66"/>
      <c r="V157" s="66"/>
      <c r="W157" s="12"/>
    </row>
    <row r="158" spans="1:23" s="7" customFormat="1" ht="91.5" x14ac:dyDescent="0.7">
      <c r="A158" s="78"/>
      <c r="B158" s="93"/>
      <c r="C158" s="44" t="s">
        <v>1</v>
      </c>
      <c r="D158" s="17">
        <f>SUM(E158:I158)</f>
        <v>331827.86499999987</v>
      </c>
      <c r="E158" s="18"/>
      <c r="F158" s="18">
        <f>153496.122-104535.72-8317.45</f>
        <v>40642.952000000005</v>
      </c>
      <c r="G158" s="18">
        <f>185286.813-99810.82</f>
        <v>85475.992999999988</v>
      </c>
      <c r="H158" s="18">
        <f>162751.697+42957.2229999999</f>
        <v>205708.9199999999</v>
      </c>
      <c r="I158" s="18"/>
      <c r="J158" s="66"/>
      <c r="K158" s="66"/>
      <c r="L158" s="66"/>
      <c r="M158" s="66"/>
      <c r="N158" s="66"/>
      <c r="O158" s="66"/>
      <c r="P158" s="66"/>
      <c r="Q158" s="72"/>
      <c r="R158" s="66"/>
      <c r="S158" s="66"/>
      <c r="T158" s="66"/>
      <c r="U158" s="66"/>
      <c r="V158" s="66"/>
      <c r="W158" s="12"/>
    </row>
    <row r="159" spans="1:23" s="7" customFormat="1" ht="102" customHeight="1" x14ac:dyDescent="0.7">
      <c r="A159" s="78"/>
      <c r="B159" s="93"/>
      <c r="C159" s="44" t="s">
        <v>2</v>
      </c>
      <c r="D159" s="17"/>
      <c r="E159" s="18"/>
      <c r="F159" s="18"/>
      <c r="G159" s="18"/>
      <c r="H159" s="18"/>
      <c r="I159" s="18"/>
      <c r="J159" s="66"/>
      <c r="K159" s="66"/>
      <c r="L159" s="66"/>
      <c r="M159" s="66"/>
      <c r="N159" s="66"/>
      <c r="O159" s="66"/>
      <c r="P159" s="66"/>
      <c r="Q159" s="72"/>
      <c r="R159" s="66"/>
      <c r="S159" s="66"/>
      <c r="T159" s="66"/>
      <c r="U159" s="66"/>
      <c r="V159" s="66"/>
      <c r="W159" s="12"/>
    </row>
    <row r="160" spans="1:23" s="7" customFormat="1" ht="91.5" x14ac:dyDescent="0.7">
      <c r="A160" s="79"/>
      <c r="B160" s="94"/>
      <c r="C160" s="44" t="s">
        <v>3</v>
      </c>
      <c r="D160" s="17"/>
      <c r="E160" s="18"/>
      <c r="F160" s="18"/>
      <c r="G160" s="18"/>
      <c r="H160" s="18"/>
      <c r="I160" s="18"/>
      <c r="J160" s="67"/>
      <c r="K160" s="67"/>
      <c r="L160" s="67"/>
      <c r="M160" s="67"/>
      <c r="N160" s="67"/>
      <c r="O160" s="67"/>
      <c r="P160" s="67"/>
      <c r="Q160" s="73"/>
      <c r="R160" s="67"/>
      <c r="S160" s="67"/>
      <c r="T160" s="67"/>
      <c r="U160" s="67"/>
      <c r="V160" s="67"/>
      <c r="W160" s="12"/>
    </row>
    <row r="161" spans="1:23" s="7" customFormat="1" ht="45" customHeight="1" x14ac:dyDescent="0.7">
      <c r="A161" s="74" t="s">
        <v>16</v>
      </c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6"/>
      <c r="W161" s="12"/>
    </row>
    <row r="162" spans="1:23" s="7" customFormat="1" ht="45.75" customHeight="1" x14ac:dyDescent="0.7">
      <c r="A162" s="77"/>
      <c r="B162" s="80" t="s">
        <v>215</v>
      </c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2"/>
      <c r="W162" s="12"/>
    </row>
    <row r="163" spans="1:23" s="7" customFormat="1" x14ac:dyDescent="0.7">
      <c r="A163" s="78"/>
      <c r="B163" s="83" t="s">
        <v>369</v>
      </c>
      <c r="C163" s="86" t="s">
        <v>552</v>
      </c>
      <c r="D163" s="87"/>
      <c r="E163" s="87"/>
      <c r="F163" s="87"/>
      <c r="G163" s="87"/>
      <c r="H163" s="88"/>
      <c r="I163" s="29"/>
      <c r="J163" s="65" t="s">
        <v>96</v>
      </c>
      <c r="K163" s="65" t="s">
        <v>73</v>
      </c>
      <c r="L163" s="65" t="s">
        <v>88</v>
      </c>
      <c r="M163" s="65" t="s">
        <v>638</v>
      </c>
      <c r="N163" s="65" t="s">
        <v>367</v>
      </c>
      <c r="O163" s="65" t="s">
        <v>626</v>
      </c>
      <c r="P163" s="65" t="s">
        <v>367</v>
      </c>
      <c r="Q163" s="71" t="s">
        <v>368</v>
      </c>
      <c r="R163" s="65" t="s">
        <v>9</v>
      </c>
      <c r="S163" s="65" t="s">
        <v>12</v>
      </c>
      <c r="T163" s="65" t="s">
        <v>208</v>
      </c>
      <c r="U163" s="68"/>
      <c r="V163" s="68"/>
      <c r="W163" s="12"/>
    </row>
    <row r="164" spans="1:23" s="7" customFormat="1" ht="45" customHeight="1" x14ac:dyDescent="0.7">
      <c r="A164" s="78"/>
      <c r="B164" s="84"/>
      <c r="C164" s="32" t="s">
        <v>5</v>
      </c>
      <c r="D164" s="19">
        <f t="shared" ref="D164" si="27">SUM(D165:D168)</f>
        <v>871221.10311557795</v>
      </c>
      <c r="E164" s="13">
        <f>SUM(E165:E167)</f>
        <v>65102.630753768841</v>
      </c>
      <c r="F164" s="13">
        <f>SUM(F165:F167)</f>
        <v>336758.79396984924</v>
      </c>
      <c r="G164" s="13">
        <f>SUM(G165:G167)</f>
        <v>469359.67839195981</v>
      </c>
      <c r="H164" s="13"/>
      <c r="I164" s="13"/>
      <c r="J164" s="66"/>
      <c r="K164" s="66"/>
      <c r="L164" s="66"/>
      <c r="M164" s="66"/>
      <c r="N164" s="66"/>
      <c r="O164" s="66"/>
      <c r="P164" s="66"/>
      <c r="Q164" s="72"/>
      <c r="R164" s="66"/>
      <c r="S164" s="66"/>
      <c r="T164" s="66"/>
      <c r="U164" s="69"/>
      <c r="V164" s="69"/>
      <c r="W164" s="12"/>
    </row>
    <row r="165" spans="1:23" s="7" customFormat="1" ht="95.25" customHeight="1" x14ac:dyDescent="0.7">
      <c r="A165" s="78"/>
      <c r="B165" s="84"/>
      <c r="C165" s="32" t="s">
        <v>0</v>
      </c>
      <c r="D165" s="19"/>
      <c r="E165" s="18"/>
      <c r="F165" s="13"/>
      <c r="G165" s="13"/>
      <c r="H165" s="13"/>
      <c r="I165" s="13"/>
      <c r="J165" s="66"/>
      <c r="K165" s="66"/>
      <c r="L165" s="66"/>
      <c r="M165" s="66"/>
      <c r="N165" s="66"/>
      <c r="O165" s="66"/>
      <c r="P165" s="66"/>
      <c r="Q165" s="72"/>
      <c r="R165" s="66"/>
      <c r="S165" s="66"/>
      <c r="T165" s="66"/>
      <c r="U165" s="69"/>
      <c r="V165" s="69"/>
      <c r="W165" s="12"/>
    </row>
    <row r="166" spans="1:23" s="7" customFormat="1" ht="45" customHeight="1" x14ac:dyDescent="0.7">
      <c r="A166" s="78"/>
      <c r="B166" s="84"/>
      <c r="C166" s="32" t="s">
        <v>1</v>
      </c>
      <c r="D166" s="19">
        <f>SUM(E166:I166)</f>
        <v>866999.9976</v>
      </c>
      <c r="E166" s="18">
        <f>82987.1176-60000+42000</f>
        <v>64987.117599999998</v>
      </c>
      <c r="F166" s="18">
        <f>350000-15000</f>
        <v>335000</v>
      </c>
      <c r="G166" s="18">
        <v>467012.88</v>
      </c>
      <c r="H166" s="13"/>
      <c r="I166" s="13"/>
      <c r="J166" s="66"/>
      <c r="K166" s="66"/>
      <c r="L166" s="66"/>
      <c r="M166" s="66"/>
      <c r="N166" s="66"/>
      <c r="O166" s="66"/>
      <c r="P166" s="66"/>
      <c r="Q166" s="72"/>
      <c r="R166" s="66"/>
      <c r="S166" s="66"/>
      <c r="T166" s="66"/>
      <c r="U166" s="69"/>
      <c r="V166" s="69"/>
      <c r="W166" s="12"/>
    </row>
    <row r="167" spans="1:23" s="7" customFormat="1" ht="98.25" customHeight="1" x14ac:dyDescent="0.7">
      <c r="A167" s="78"/>
      <c r="B167" s="84"/>
      <c r="C167" s="32" t="s">
        <v>2</v>
      </c>
      <c r="D167" s="19">
        <f>SUM(E167:I167)</f>
        <v>4221.1055155778895</v>
      </c>
      <c r="E167" s="18">
        <v>115.51315376884421</v>
      </c>
      <c r="F167" s="18">
        <v>1758.7939698492462</v>
      </c>
      <c r="G167" s="18">
        <v>2346.7983919597991</v>
      </c>
      <c r="H167" s="13"/>
      <c r="I167" s="13"/>
      <c r="J167" s="66"/>
      <c r="K167" s="66"/>
      <c r="L167" s="66"/>
      <c r="M167" s="66"/>
      <c r="N167" s="66"/>
      <c r="O167" s="66"/>
      <c r="P167" s="66"/>
      <c r="Q167" s="72"/>
      <c r="R167" s="66"/>
      <c r="S167" s="66"/>
      <c r="T167" s="66"/>
      <c r="U167" s="69"/>
      <c r="V167" s="69"/>
      <c r="W167" s="12"/>
    </row>
    <row r="168" spans="1:23" s="7" customFormat="1" ht="93.75" customHeight="1" x14ac:dyDescent="0.7">
      <c r="A168" s="79"/>
      <c r="B168" s="85"/>
      <c r="C168" s="32" t="s">
        <v>3</v>
      </c>
      <c r="D168" s="19"/>
      <c r="E168" s="13"/>
      <c r="F168" s="13"/>
      <c r="G168" s="13"/>
      <c r="H168" s="13"/>
      <c r="I168" s="13"/>
      <c r="J168" s="67"/>
      <c r="K168" s="67"/>
      <c r="L168" s="67"/>
      <c r="M168" s="67"/>
      <c r="N168" s="67"/>
      <c r="O168" s="67"/>
      <c r="P168" s="67"/>
      <c r="Q168" s="73"/>
      <c r="R168" s="67"/>
      <c r="S168" s="67"/>
      <c r="T168" s="67"/>
      <c r="U168" s="70"/>
      <c r="V168" s="70"/>
      <c r="W168" s="12"/>
    </row>
    <row r="169" spans="1:23" s="7" customFormat="1" x14ac:dyDescent="0.7">
      <c r="A169" s="74" t="s">
        <v>16</v>
      </c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6"/>
      <c r="W169" s="12"/>
    </row>
    <row r="170" spans="1:23" s="8" customFormat="1" ht="45.75" customHeight="1" x14ac:dyDescent="0.7">
      <c r="A170" s="77"/>
      <c r="B170" s="80" t="s">
        <v>215</v>
      </c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2"/>
      <c r="W170" s="12"/>
    </row>
    <row r="171" spans="1:23" s="7" customFormat="1" ht="97.5" customHeight="1" x14ac:dyDescent="0.7">
      <c r="A171" s="78"/>
      <c r="B171" s="83" t="s">
        <v>433</v>
      </c>
      <c r="C171" s="95" t="s">
        <v>431</v>
      </c>
      <c r="D171" s="96"/>
      <c r="E171" s="96"/>
      <c r="F171" s="96"/>
      <c r="G171" s="96"/>
      <c r="H171" s="97"/>
      <c r="I171" s="29"/>
      <c r="J171" s="65"/>
      <c r="K171" s="68" t="s">
        <v>73</v>
      </c>
      <c r="L171" s="65" t="s">
        <v>88</v>
      </c>
      <c r="M171" s="65" t="s">
        <v>438</v>
      </c>
      <c r="N171" s="65" t="s">
        <v>94</v>
      </c>
      <c r="O171" s="65" t="s">
        <v>626</v>
      </c>
      <c r="P171" s="65" t="s">
        <v>94</v>
      </c>
      <c r="Q171" s="71" t="s">
        <v>435</v>
      </c>
      <c r="R171" s="65" t="s">
        <v>9</v>
      </c>
      <c r="S171" s="65" t="s">
        <v>10</v>
      </c>
      <c r="T171" s="65" t="s">
        <v>208</v>
      </c>
      <c r="U171" s="68"/>
      <c r="V171" s="68"/>
      <c r="W171" s="12"/>
    </row>
    <row r="172" spans="1:23" s="7" customFormat="1" x14ac:dyDescent="0.7">
      <c r="A172" s="78"/>
      <c r="B172" s="84"/>
      <c r="C172" s="32" t="s">
        <v>5</v>
      </c>
      <c r="D172" s="19">
        <f>D174</f>
        <v>9266.3649999999998</v>
      </c>
      <c r="E172" s="13">
        <f>SUM(E173:E176)</f>
        <v>9312.9297000000006</v>
      </c>
      <c r="F172" s="13"/>
      <c r="G172" s="13"/>
      <c r="H172" s="13"/>
      <c r="I172" s="13"/>
      <c r="J172" s="66"/>
      <c r="K172" s="69"/>
      <c r="L172" s="66"/>
      <c r="M172" s="66"/>
      <c r="N172" s="66"/>
      <c r="O172" s="66"/>
      <c r="P172" s="66"/>
      <c r="Q172" s="72"/>
      <c r="R172" s="66"/>
      <c r="S172" s="66"/>
      <c r="T172" s="66"/>
      <c r="U172" s="69"/>
      <c r="V172" s="69"/>
      <c r="W172" s="12"/>
    </row>
    <row r="173" spans="1:23" s="7" customFormat="1" ht="91.5" x14ac:dyDescent="0.7">
      <c r="A173" s="78"/>
      <c r="B173" s="84"/>
      <c r="C173" s="32" t="s">
        <v>0</v>
      </c>
      <c r="D173" s="19"/>
      <c r="E173" s="13"/>
      <c r="F173" s="13"/>
      <c r="G173" s="13"/>
      <c r="H173" s="13"/>
      <c r="I173" s="13"/>
      <c r="J173" s="66"/>
      <c r="K173" s="69"/>
      <c r="L173" s="66"/>
      <c r="M173" s="66"/>
      <c r="N173" s="66"/>
      <c r="O173" s="66"/>
      <c r="P173" s="66"/>
      <c r="Q173" s="72"/>
      <c r="R173" s="66"/>
      <c r="S173" s="66"/>
      <c r="T173" s="66"/>
      <c r="U173" s="69"/>
      <c r="V173" s="69"/>
      <c r="W173" s="12"/>
    </row>
    <row r="174" spans="1:23" s="7" customFormat="1" ht="91.5" x14ac:dyDescent="0.7">
      <c r="A174" s="78"/>
      <c r="B174" s="84"/>
      <c r="C174" s="32" t="s">
        <v>1</v>
      </c>
      <c r="D174" s="19">
        <f>SUM(E174:H174)</f>
        <v>9266.3649999999998</v>
      </c>
      <c r="E174" s="13">
        <v>9266.3649999999998</v>
      </c>
      <c r="F174" s="13"/>
      <c r="G174" s="13"/>
      <c r="H174" s="13"/>
      <c r="I174" s="13"/>
      <c r="J174" s="66"/>
      <c r="K174" s="69"/>
      <c r="L174" s="66"/>
      <c r="M174" s="66"/>
      <c r="N174" s="66"/>
      <c r="O174" s="66"/>
      <c r="P174" s="66"/>
      <c r="Q174" s="72"/>
      <c r="R174" s="66"/>
      <c r="S174" s="66"/>
      <c r="T174" s="66"/>
      <c r="U174" s="69"/>
      <c r="V174" s="69"/>
      <c r="W174" s="12"/>
    </row>
    <row r="175" spans="1:23" s="7" customFormat="1" ht="99" customHeight="1" x14ac:dyDescent="0.7">
      <c r="A175" s="78"/>
      <c r="B175" s="84"/>
      <c r="C175" s="32" t="s">
        <v>2</v>
      </c>
      <c r="D175" s="19">
        <f>SUM(E175:I175)</f>
        <v>46.564700000000002</v>
      </c>
      <c r="E175" s="18">
        <v>46.564700000000002</v>
      </c>
      <c r="F175" s="13"/>
      <c r="G175" s="13"/>
      <c r="H175" s="13"/>
      <c r="I175" s="13"/>
      <c r="J175" s="66"/>
      <c r="K175" s="69"/>
      <c r="L175" s="66"/>
      <c r="M175" s="66"/>
      <c r="N175" s="66"/>
      <c r="O175" s="66"/>
      <c r="P175" s="66"/>
      <c r="Q175" s="72"/>
      <c r="R175" s="66"/>
      <c r="S175" s="66"/>
      <c r="T175" s="66"/>
      <c r="U175" s="69"/>
      <c r="V175" s="69"/>
      <c r="W175" s="12"/>
    </row>
    <row r="176" spans="1:23" s="7" customFormat="1" ht="91.5" x14ac:dyDescent="0.7">
      <c r="A176" s="79"/>
      <c r="B176" s="85"/>
      <c r="C176" s="32" t="s">
        <v>3</v>
      </c>
      <c r="D176" s="19"/>
      <c r="E176" s="13"/>
      <c r="F176" s="13"/>
      <c r="G176" s="13"/>
      <c r="H176" s="13"/>
      <c r="I176" s="13"/>
      <c r="J176" s="67"/>
      <c r="K176" s="70"/>
      <c r="L176" s="67"/>
      <c r="M176" s="67"/>
      <c r="N176" s="67"/>
      <c r="O176" s="67"/>
      <c r="P176" s="67"/>
      <c r="Q176" s="73"/>
      <c r="R176" s="67"/>
      <c r="S176" s="67"/>
      <c r="T176" s="67"/>
      <c r="U176" s="70"/>
      <c r="V176" s="70"/>
      <c r="W176" s="12"/>
    </row>
    <row r="177" spans="1:23" s="7" customFormat="1" x14ac:dyDescent="0.7">
      <c r="A177" s="74" t="s">
        <v>16</v>
      </c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6"/>
      <c r="W177" s="12"/>
    </row>
    <row r="178" spans="1:23" s="7" customFormat="1" x14ac:dyDescent="0.7">
      <c r="A178" s="77"/>
      <c r="B178" s="80" t="s">
        <v>215</v>
      </c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2"/>
      <c r="W178" s="12"/>
    </row>
    <row r="179" spans="1:23" s="7" customFormat="1" ht="99" customHeight="1" x14ac:dyDescent="0.7">
      <c r="A179" s="78"/>
      <c r="B179" s="83" t="s">
        <v>434</v>
      </c>
      <c r="C179" s="95" t="s">
        <v>432</v>
      </c>
      <c r="D179" s="96"/>
      <c r="E179" s="96"/>
      <c r="F179" s="96"/>
      <c r="G179" s="96"/>
      <c r="H179" s="97"/>
      <c r="I179" s="29"/>
      <c r="J179" s="65"/>
      <c r="K179" s="68" t="s">
        <v>73</v>
      </c>
      <c r="L179" s="65" t="s">
        <v>88</v>
      </c>
      <c r="M179" s="65" t="s">
        <v>437</v>
      </c>
      <c r="N179" s="65" t="s">
        <v>94</v>
      </c>
      <c r="O179" s="65" t="s">
        <v>626</v>
      </c>
      <c r="P179" s="65" t="s">
        <v>94</v>
      </c>
      <c r="Q179" s="71" t="s">
        <v>436</v>
      </c>
      <c r="R179" s="65" t="s">
        <v>9</v>
      </c>
      <c r="S179" s="65" t="s">
        <v>10</v>
      </c>
      <c r="T179" s="65" t="s">
        <v>208</v>
      </c>
      <c r="U179" s="68"/>
      <c r="V179" s="68"/>
      <c r="W179" s="12"/>
    </row>
    <row r="180" spans="1:23" s="7" customFormat="1" x14ac:dyDescent="0.7">
      <c r="A180" s="78"/>
      <c r="B180" s="84"/>
      <c r="C180" s="32" t="s">
        <v>5</v>
      </c>
      <c r="D180" s="19">
        <f>SUM(E180:H180)</f>
        <v>8804.1973300000009</v>
      </c>
      <c r="E180" s="13">
        <f>SUM(E181:E184)</f>
        <v>8804.1973300000009</v>
      </c>
      <c r="F180" s="13"/>
      <c r="G180" s="13"/>
      <c r="H180" s="13"/>
      <c r="I180" s="13"/>
      <c r="J180" s="66"/>
      <c r="K180" s="69"/>
      <c r="L180" s="66"/>
      <c r="M180" s="66"/>
      <c r="N180" s="66"/>
      <c r="O180" s="66"/>
      <c r="P180" s="66"/>
      <c r="Q180" s="72"/>
      <c r="R180" s="66"/>
      <c r="S180" s="66"/>
      <c r="T180" s="66"/>
      <c r="U180" s="69"/>
      <c r="V180" s="69"/>
      <c r="W180" s="12"/>
    </row>
    <row r="181" spans="1:23" s="7" customFormat="1" ht="99" customHeight="1" x14ac:dyDescent="0.7">
      <c r="A181" s="78"/>
      <c r="B181" s="84"/>
      <c r="C181" s="32" t="s">
        <v>0</v>
      </c>
      <c r="D181" s="19"/>
      <c r="E181" s="13"/>
      <c r="F181" s="13"/>
      <c r="G181" s="13"/>
      <c r="H181" s="13"/>
      <c r="I181" s="13"/>
      <c r="J181" s="66"/>
      <c r="K181" s="69"/>
      <c r="L181" s="66"/>
      <c r="M181" s="66"/>
      <c r="N181" s="66"/>
      <c r="O181" s="66"/>
      <c r="P181" s="66"/>
      <c r="Q181" s="72"/>
      <c r="R181" s="66"/>
      <c r="S181" s="66"/>
      <c r="T181" s="66"/>
      <c r="U181" s="69"/>
      <c r="V181" s="69"/>
      <c r="W181" s="12"/>
    </row>
    <row r="182" spans="1:23" s="7" customFormat="1" ht="91.5" x14ac:dyDescent="0.7">
      <c r="A182" s="78"/>
      <c r="B182" s="84"/>
      <c r="C182" s="32" t="s">
        <v>1</v>
      </c>
      <c r="D182" s="19">
        <f>SUM(E182:H182)</f>
        <v>8760.1763300000002</v>
      </c>
      <c r="E182" s="13">
        <v>8760.1763300000002</v>
      </c>
      <c r="F182" s="13"/>
      <c r="G182" s="13"/>
      <c r="H182" s="13"/>
      <c r="I182" s="13"/>
      <c r="J182" s="66"/>
      <c r="K182" s="69"/>
      <c r="L182" s="66"/>
      <c r="M182" s="66"/>
      <c r="N182" s="66"/>
      <c r="O182" s="66"/>
      <c r="P182" s="66"/>
      <c r="Q182" s="72"/>
      <c r="R182" s="66"/>
      <c r="S182" s="66"/>
      <c r="T182" s="66"/>
      <c r="U182" s="69"/>
      <c r="V182" s="69"/>
      <c r="W182" s="12"/>
    </row>
    <row r="183" spans="1:23" s="7" customFormat="1" ht="99" customHeight="1" x14ac:dyDescent="0.7">
      <c r="A183" s="78"/>
      <c r="B183" s="84"/>
      <c r="C183" s="32" t="s">
        <v>2</v>
      </c>
      <c r="D183" s="19">
        <f>SUM(E183:H183)</f>
        <v>44.021000000000001</v>
      </c>
      <c r="E183" s="13">
        <v>44.021000000000001</v>
      </c>
      <c r="F183" s="13"/>
      <c r="G183" s="13"/>
      <c r="H183" s="13"/>
      <c r="I183" s="13"/>
      <c r="J183" s="66"/>
      <c r="K183" s="69"/>
      <c r="L183" s="66"/>
      <c r="M183" s="66"/>
      <c r="N183" s="66"/>
      <c r="O183" s="66"/>
      <c r="P183" s="66"/>
      <c r="Q183" s="72"/>
      <c r="R183" s="66"/>
      <c r="S183" s="66"/>
      <c r="T183" s="66"/>
      <c r="U183" s="69"/>
      <c r="V183" s="69"/>
      <c r="W183" s="12"/>
    </row>
    <row r="184" spans="1:23" s="7" customFormat="1" ht="99" customHeight="1" x14ac:dyDescent="0.7">
      <c r="A184" s="79"/>
      <c r="B184" s="85"/>
      <c r="C184" s="32" t="s">
        <v>3</v>
      </c>
      <c r="D184" s="19"/>
      <c r="E184" s="13"/>
      <c r="F184" s="13"/>
      <c r="G184" s="13"/>
      <c r="H184" s="13"/>
      <c r="I184" s="13"/>
      <c r="J184" s="67"/>
      <c r="K184" s="70"/>
      <c r="L184" s="67"/>
      <c r="M184" s="67"/>
      <c r="N184" s="67"/>
      <c r="O184" s="67"/>
      <c r="P184" s="67"/>
      <c r="Q184" s="73"/>
      <c r="R184" s="67"/>
      <c r="S184" s="67"/>
      <c r="T184" s="67"/>
      <c r="U184" s="70"/>
      <c r="V184" s="70"/>
      <c r="W184" s="12"/>
    </row>
    <row r="185" spans="1:23" s="7" customFormat="1" x14ac:dyDescent="0.7">
      <c r="A185" s="74" t="s">
        <v>16</v>
      </c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6"/>
      <c r="W185" s="12"/>
    </row>
    <row r="186" spans="1:23" s="7" customFormat="1" x14ac:dyDescent="0.7">
      <c r="A186" s="77"/>
      <c r="B186" s="80" t="s">
        <v>215</v>
      </c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2"/>
      <c r="W186" s="12"/>
    </row>
    <row r="187" spans="1:23" s="7" customFormat="1" ht="155.25" customHeight="1" x14ac:dyDescent="0.7">
      <c r="A187" s="78"/>
      <c r="B187" s="83" t="s">
        <v>494</v>
      </c>
      <c r="C187" s="95" t="s">
        <v>621</v>
      </c>
      <c r="D187" s="96"/>
      <c r="E187" s="96"/>
      <c r="F187" s="96"/>
      <c r="G187" s="96"/>
      <c r="H187" s="97"/>
      <c r="I187" s="29"/>
      <c r="J187" s="65" t="s">
        <v>119</v>
      </c>
      <c r="K187" s="68"/>
      <c r="L187" s="68" t="s">
        <v>87</v>
      </c>
      <c r="M187" s="68" t="s">
        <v>498</v>
      </c>
      <c r="N187" s="68" t="s">
        <v>179</v>
      </c>
      <c r="O187" s="68" t="s">
        <v>626</v>
      </c>
      <c r="P187" s="68" t="s">
        <v>179</v>
      </c>
      <c r="Q187" s="71" t="s">
        <v>622</v>
      </c>
      <c r="R187" s="68" t="s">
        <v>11</v>
      </c>
      <c r="S187" s="68" t="s">
        <v>499</v>
      </c>
      <c r="T187" s="65" t="s">
        <v>19</v>
      </c>
      <c r="U187" s="68"/>
      <c r="V187" s="68" t="s">
        <v>623</v>
      </c>
      <c r="W187" s="12"/>
    </row>
    <row r="188" spans="1:23" s="7" customFormat="1" x14ac:dyDescent="0.7">
      <c r="A188" s="78"/>
      <c r="B188" s="84"/>
      <c r="C188" s="32" t="s">
        <v>5</v>
      </c>
      <c r="D188" s="19">
        <f>SUM(E188:H188)</f>
        <v>275903.99</v>
      </c>
      <c r="E188" s="13"/>
      <c r="F188" s="13">
        <f t="shared" ref="F188:G188" si="28">SUM(F189:F192)</f>
        <v>176093.16999999998</v>
      </c>
      <c r="G188" s="13">
        <f t="shared" si="28"/>
        <v>99810.82</v>
      </c>
      <c r="H188" s="13"/>
      <c r="I188" s="13"/>
      <c r="J188" s="66"/>
      <c r="K188" s="69"/>
      <c r="L188" s="69"/>
      <c r="M188" s="69"/>
      <c r="N188" s="69"/>
      <c r="O188" s="69"/>
      <c r="P188" s="69"/>
      <c r="Q188" s="72"/>
      <c r="R188" s="69"/>
      <c r="S188" s="69"/>
      <c r="T188" s="66"/>
      <c r="U188" s="69"/>
      <c r="V188" s="69"/>
      <c r="W188" s="12"/>
    </row>
    <row r="189" spans="1:23" s="7" customFormat="1" ht="99" customHeight="1" x14ac:dyDescent="0.7">
      <c r="A189" s="78"/>
      <c r="B189" s="84"/>
      <c r="C189" s="32" t="s">
        <v>0</v>
      </c>
      <c r="D189" s="19"/>
      <c r="E189" s="13"/>
      <c r="F189" s="13"/>
      <c r="G189" s="13"/>
      <c r="H189" s="13"/>
      <c r="I189" s="13"/>
      <c r="J189" s="66"/>
      <c r="K189" s="69"/>
      <c r="L189" s="69"/>
      <c r="M189" s="69"/>
      <c r="N189" s="69"/>
      <c r="O189" s="69"/>
      <c r="P189" s="69"/>
      <c r="Q189" s="72"/>
      <c r="R189" s="69"/>
      <c r="S189" s="69"/>
      <c r="T189" s="66"/>
      <c r="U189" s="69"/>
      <c r="V189" s="69"/>
      <c r="W189" s="12"/>
    </row>
    <row r="190" spans="1:23" s="7" customFormat="1" ht="91.5" x14ac:dyDescent="0.7">
      <c r="A190" s="78"/>
      <c r="B190" s="84"/>
      <c r="C190" s="32" t="s">
        <v>1</v>
      </c>
      <c r="D190" s="19">
        <f>SUM(E190:H190)</f>
        <v>275903.99</v>
      </c>
      <c r="E190" s="13"/>
      <c r="F190" s="18">
        <f>104535.72+8317.45+63240</f>
        <v>176093.16999999998</v>
      </c>
      <c r="G190" s="13">
        <v>99810.82</v>
      </c>
      <c r="H190" s="13"/>
      <c r="I190" s="13"/>
      <c r="J190" s="66"/>
      <c r="K190" s="69"/>
      <c r="L190" s="69"/>
      <c r="M190" s="69"/>
      <c r="N190" s="69"/>
      <c r="O190" s="69"/>
      <c r="P190" s="69"/>
      <c r="Q190" s="72"/>
      <c r="R190" s="69"/>
      <c r="S190" s="69"/>
      <c r="T190" s="66"/>
      <c r="U190" s="69"/>
      <c r="V190" s="69"/>
      <c r="W190" s="12"/>
    </row>
    <row r="191" spans="1:23" s="7" customFormat="1" ht="99" customHeight="1" x14ac:dyDescent="0.7">
      <c r="A191" s="78"/>
      <c r="B191" s="84"/>
      <c r="C191" s="32" t="s">
        <v>2</v>
      </c>
      <c r="D191" s="19"/>
      <c r="E191" s="13"/>
      <c r="F191" s="13"/>
      <c r="G191" s="13"/>
      <c r="H191" s="13"/>
      <c r="I191" s="13"/>
      <c r="J191" s="66"/>
      <c r="K191" s="69"/>
      <c r="L191" s="69"/>
      <c r="M191" s="69"/>
      <c r="N191" s="69"/>
      <c r="O191" s="69"/>
      <c r="P191" s="69"/>
      <c r="Q191" s="72"/>
      <c r="R191" s="69"/>
      <c r="S191" s="69"/>
      <c r="T191" s="66"/>
      <c r="U191" s="69"/>
      <c r="V191" s="69"/>
      <c r="W191" s="12"/>
    </row>
    <row r="192" spans="1:23" s="7" customFormat="1" ht="99" customHeight="1" x14ac:dyDescent="0.7">
      <c r="A192" s="79"/>
      <c r="B192" s="85"/>
      <c r="C192" s="32" t="s">
        <v>3</v>
      </c>
      <c r="D192" s="19"/>
      <c r="E192" s="13"/>
      <c r="F192" s="13"/>
      <c r="G192" s="13"/>
      <c r="H192" s="13"/>
      <c r="I192" s="13"/>
      <c r="J192" s="67"/>
      <c r="K192" s="70"/>
      <c r="L192" s="70"/>
      <c r="M192" s="70"/>
      <c r="N192" s="70"/>
      <c r="O192" s="70"/>
      <c r="P192" s="70"/>
      <c r="Q192" s="73"/>
      <c r="R192" s="70"/>
      <c r="S192" s="70"/>
      <c r="T192" s="67"/>
      <c r="U192" s="70"/>
      <c r="V192" s="70"/>
      <c r="W192" s="12"/>
    </row>
    <row r="193" spans="1:23" s="7" customFormat="1" x14ac:dyDescent="0.7">
      <c r="A193" s="74" t="s">
        <v>16</v>
      </c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6"/>
      <c r="W193" s="12"/>
    </row>
    <row r="194" spans="1:23" s="7" customFormat="1" x14ac:dyDescent="0.7">
      <c r="A194" s="77"/>
      <c r="B194" s="80" t="s">
        <v>215</v>
      </c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2"/>
      <c r="W194" s="12"/>
    </row>
    <row r="195" spans="1:23" s="7" customFormat="1" ht="187.5" customHeight="1" x14ac:dyDescent="0.7">
      <c r="A195" s="78"/>
      <c r="B195" s="83" t="s">
        <v>495</v>
      </c>
      <c r="C195" s="95" t="s">
        <v>614</v>
      </c>
      <c r="D195" s="96"/>
      <c r="E195" s="96"/>
      <c r="F195" s="96"/>
      <c r="G195" s="96"/>
      <c r="H195" s="97"/>
      <c r="I195" s="29"/>
      <c r="J195" s="65"/>
      <c r="K195" s="68" t="s">
        <v>73</v>
      </c>
      <c r="L195" s="68" t="s">
        <v>87</v>
      </c>
      <c r="M195" s="68" t="s">
        <v>498</v>
      </c>
      <c r="N195" s="68" t="s">
        <v>16</v>
      </c>
      <c r="O195" s="68" t="s">
        <v>626</v>
      </c>
      <c r="P195" s="68" t="s">
        <v>179</v>
      </c>
      <c r="Q195" s="71" t="s">
        <v>622</v>
      </c>
      <c r="R195" s="68" t="s">
        <v>11</v>
      </c>
      <c r="S195" s="68" t="s">
        <v>499</v>
      </c>
      <c r="T195" s="65" t="s">
        <v>208</v>
      </c>
      <c r="U195" s="68"/>
      <c r="V195" s="68" t="s">
        <v>623</v>
      </c>
      <c r="W195" s="12"/>
    </row>
    <row r="196" spans="1:23" s="7" customFormat="1" x14ac:dyDescent="0.7">
      <c r="A196" s="78"/>
      <c r="B196" s="84"/>
      <c r="C196" s="32" t="s">
        <v>5</v>
      </c>
      <c r="D196" s="19">
        <f>SUM(E196:H196)</f>
        <v>1047.825</v>
      </c>
      <c r="E196" s="13">
        <f>SUM(E197:E200)</f>
        <v>1047.825</v>
      </c>
      <c r="F196" s="13"/>
      <c r="G196" s="13"/>
      <c r="H196" s="13"/>
      <c r="I196" s="13"/>
      <c r="J196" s="66"/>
      <c r="K196" s="69"/>
      <c r="L196" s="69"/>
      <c r="M196" s="69"/>
      <c r="N196" s="69"/>
      <c r="O196" s="69"/>
      <c r="P196" s="69"/>
      <c r="Q196" s="72"/>
      <c r="R196" s="69"/>
      <c r="S196" s="69"/>
      <c r="T196" s="66"/>
      <c r="U196" s="69"/>
      <c r="V196" s="69"/>
      <c r="W196" s="12"/>
    </row>
    <row r="197" spans="1:23" s="7" customFormat="1" ht="91.5" x14ac:dyDescent="0.7">
      <c r="A197" s="78"/>
      <c r="B197" s="84"/>
      <c r="C197" s="32" t="s">
        <v>0</v>
      </c>
      <c r="D197" s="19"/>
      <c r="E197" s="13"/>
      <c r="F197" s="13"/>
      <c r="G197" s="13"/>
      <c r="H197" s="13"/>
      <c r="I197" s="13"/>
      <c r="J197" s="66"/>
      <c r="K197" s="69"/>
      <c r="L197" s="69"/>
      <c r="M197" s="69"/>
      <c r="N197" s="69"/>
      <c r="O197" s="69"/>
      <c r="P197" s="69"/>
      <c r="Q197" s="72"/>
      <c r="R197" s="69"/>
      <c r="S197" s="69"/>
      <c r="T197" s="66"/>
      <c r="U197" s="69"/>
      <c r="V197" s="69"/>
      <c r="W197" s="12"/>
    </row>
    <row r="198" spans="1:23" s="7" customFormat="1" ht="91.5" x14ac:dyDescent="0.7">
      <c r="A198" s="78"/>
      <c r="B198" s="84"/>
      <c r="C198" s="32" t="s">
        <v>1</v>
      </c>
      <c r="D198" s="19">
        <f>SUM(E198:H198)</f>
        <v>1047.825</v>
      </c>
      <c r="E198" s="13">
        <v>1047.825</v>
      </c>
      <c r="F198" s="13"/>
      <c r="G198" s="13"/>
      <c r="H198" s="13"/>
      <c r="I198" s="13"/>
      <c r="J198" s="66"/>
      <c r="K198" s="69"/>
      <c r="L198" s="69"/>
      <c r="M198" s="69"/>
      <c r="N198" s="69"/>
      <c r="O198" s="69"/>
      <c r="P198" s="69"/>
      <c r="Q198" s="72"/>
      <c r="R198" s="69"/>
      <c r="S198" s="69"/>
      <c r="T198" s="66"/>
      <c r="U198" s="69"/>
      <c r="V198" s="69"/>
      <c r="W198" s="12"/>
    </row>
    <row r="199" spans="1:23" s="7" customFormat="1" ht="108" customHeight="1" x14ac:dyDescent="0.7">
      <c r="A199" s="78"/>
      <c r="B199" s="84"/>
      <c r="C199" s="32" t="s">
        <v>2</v>
      </c>
      <c r="D199" s="19"/>
      <c r="E199" s="13"/>
      <c r="F199" s="13"/>
      <c r="G199" s="13"/>
      <c r="H199" s="13"/>
      <c r="I199" s="13"/>
      <c r="J199" s="66"/>
      <c r="K199" s="69"/>
      <c r="L199" s="69"/>
      <c r="M199" s="69"/>
      <c r="N199" s="69"/>
      <c r="O199" s="69"/>
      <c r="P199" s="69"/>
      <c r="Q199" s="72"/>
      <c r="R199" s="69"/>
      <c r="S199" s="69"/>
      <c r="T199" s="66"/>
      <c r="U199" s="69"/>
      <c r="V199" s="69"/>
      <c r="W199" s="12"/>
    </row>
    <row r="200" spans="1:23" s="7" customFormat="1" ht="91.5" x14ac:dyDescent="0.7">
      <c r="A200" s="79"/>
      <c r="B200" s="85"/>
      <c r="C200" s="32" t="s">
        <v>3</v>
      </c>
      <c r="D200" s="19"/>
      <c r="E200" s="13"/>
      <c r="F200" s="13"/>
      <c r="G200" s="13"/>
      <c r="H200" s="13"/>
      <c r="I200" s="13"/>
      <c r="J200" s="67"/>
      <c r="K200" s="70"/>
      <c r="L200" s="70"/>
      <c r="M200" s="70"/>
      <c r="N200" s="70"/>
      <c r="O200" s="70"/>
      <c r="P200" s="70"/>
      <c r="Q200" s="73"/>
      <c r="R200" s="70"/>
      <c r="S200" s="70"/>
      <c r="T200" s="67"/>
      <c r="U200" s="70"/>
      <c r="V200" s="70"/>
      <c r="W200" s="12"/>
    </row>
    <row r="201" spans="1:23" s="7" customFormat="1" x14ac:dyDescent="0.7">
      <c r="A201" s="74" t="s">
        <v>16</v>
      </c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6"/>
      <c r="W201" s="42"/>
    </row>
    <row r="202" spans="1:23" s="7" customFormat="1" x14ac:dyDescent="0.7">
      <c r="A202" s="77"/>
      <c r="B202" s="80" t="s">
        <v>215</v>
      </c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2"/>
      <c r="W202" s="42"/>
    </row>
    <row r="203" spans="1:23" s="7" customFormat="1" x14ac:dyDescent="0.7">
      <c r="A203" s="78"/>
      <c r="B203" s="83" t="s">
        <v>496</v>
      </c>
      <c r="C203" s="95" t="s">
        <v>500</v>
      </c>
      <c r="D203" s="96"/>
      <c r="E203" s="96"/>
      <c r="F203" s="96"/>
      <c r="G203" s="96"/>
      <c r="H203" s="97"/>
      <c r="I203" s="29"/>
      <c r="J203" s="65"/>
      <c r="K203" s="68" t="s">
        <v>73</v>
      </c>
      <c r="L203" s="68" t="s">
        <v>87</v>
      </c>
      <c r="M203" s="68" t="s">
        <v>498</v>
      </c>
      <c r="N203" s="68" t="s">
        <v>179</v>
      </c>
      <c r="O203" s="68" t="s">
        <v>626</v>
      </c>
      <c r="P203" s="68" t="s">
        <v>179</v>
      </c>
      <c r="Q203" s="71" t="s">
        <v>501</v>
      </c>
      <c r="R203" s="68" t="s">
        <v>11</v>
      </c>
      <c r="S203" s="68" t="s">
        <v>502</v>
      </c>
      <c r="T203" s="65" t="s">
        <v>208</v>
      </c>
      <c r="U203" s="68"/>
      <c r="V203" s="65" t="s">
        <v>222</v>
      </c>
      <c r="W203" s="42"/>
    </row>
    <row r="204" spans="1:23" s="7" customFormat="1" x14ac:dyDescent="0.7">
      <c r="A204" s="78"/>
      <c r="B204" s="84"/>
      <c r="C204" s="32" t="s">
        <v>5</v>
      </c>
      <c r="D204" s="19">
        <f>SUM(E204:H204)</f>
        <v>697.1475999999999</v>
      </c>
      <c r="E204" s="13">
        <f>SUM(E205:E208)</f>
        <v>697.1475999999999</v>
      </c>
      <c r="F204" s="13"/>
      <c r="G204" s="13"/>
      <c r="H204" s="13"/>
      <c r="I204" s="13"/>
      <c r="J204" s="66"/>
      <c r="K204" s="69"/>
      <c r="L204" s="69"/>
      <c r="M204" s="69"/>
      <c r="N204" s="69"/>
      <c r="O204" s="69"/>
      <c r="P204" s="69"/>
      <c r="Q204" s="72"/>
      <c r="R204" s="69"/>
      <c r="S204" s="69"/>
      <c r="T204" s="66"/>
      <c r="U204" s="69"/>
      <c r="V204" s="66"/>
      <c r="W204" s="42"/>
    </row>
    <row r="205" spans="1:23" s="7" customFormat="1" ht="91.5" x14ac:dyDescent="0.7">
      <c r="A205" s="78"/>
      <c r="B205" s="84"/>
      <c r="C205" s="32" t="s">
        <v>0</v>
      </c>
      <c r="D205" s="19"/>
      <c r="E205" s="13"/>
      <c r="F205" s="13"/>
      <c r="G205" s="13"/>
      <c r="H205" s="13"/>
      <c r="I205" s="13"/>
      <c r="J205" s="66"/>
      <c r="K205" s="69"/>
      <c r="L205" s="69"/>
      <c r="M205" s="69"/>
      <c r="N205" s="69"/>
      <c r="O205" s="69"/>
      <c r="P205" s="69"/>
      <c r="Q205" s="72"/>
      <c r="R205" s="69"/>
      <c r="S205" s="69"/>
      <c r="T205" s="66"/>
      <c r="U205" s="69"/>
      <c r="V205" s="66"/>
      <c r="W205" s="42"/>
    </row>
    <row r="206" spans="1:23" s="7" customFormat="1" ht="91.5" x14ac:dyDescent="0.7">
      <c r="A206" s="78"/>
      <c r="B206" s="84"/>
      <c r="C206" s="32" t="s">
        <v>1</v>
      </c>
      <c r="D206" s="19">
        <f>SUM(E206:H206)</f>
        <v>697.1475999999999</v>
      </c>
      <c r="E206" s="18">
        <f>1800+10921.476-12023.887-0.4414</f>
        <v>697.1475999999999</v>
      </c>
      <c r="F206" s="13"/>
      <c r="G206" s="13"/>
      <c r="H206" s="13"/>
      <c r="I206" s="13"/>
      <c r="J206" s="66"/>
      <c r="K206" s="69"/>
      <c r="L206" s="69"/>
      <c r="M206" s="69"/>
      <c r="N206" s="69"/>
      <c r="O206" s="69"/>
      <c r="P206" s="69"/>
      <c r="Q206" s="72"/>
      <c r="R206" s="69"/>
      <c r="S206" s="69"/>
      <c r="T206" s="66"/>
      <c r="U206" s="69"/>
      <c r="V206" s="66"/>
      <c r="W206" s="42"/>
    </row>
    <row r="207" spans="1:23" s="7" customFormat="1" ht="99.75" customHeight="1" x14ac:dyDescent="0.7">
      <c r="A207" s="78"/>
      <c r="B207" s="84"/>
      <c r="C207" s="32" t="s">
        <v>2</v>
      </c>
      <c r="D207" s="19"/>
      <c r="E207" s="13"/>
      <c r="F207" s="13"/>
      <c r="G207" s="13"/>
      <c r="H207" s="13"/>
      <c r="I207" s="13"/>
      <c r="J207" s="66"/>
      <c r="K207" s="69"/>
      <c r="L207" s="69"/>
      <c r="M207" s="69"/>
      <c r="N207" s="69"/>
      <c r="O207" s="69"/>
      <c r="P207" s="69"/>
      <c r="Q207" s="72"/>
      <c r="R207" s="69"/>
      <c r="S207" s="69"/>
      <c r="T207" s="66"/>
      <c r="U207" s="69"/>
      <c r="V207" s="66"/>
      <c r="W207" s="42"/>
    </row>
    <row r="208" spans="1:23" s="7" customFormat="1" ht="91.5" x14ac:dyDescent="0.7">
      <c r="A208" s="79"/>
      <c r="B208" s="85"/>
      <c r="C208" s="32" t="s">
        <v>3</v>
      </c>
      <c r="D208" s="19"/>
      <c r="E208" s="13"/>
      <c r="F208" s="13"/>
      <c r="G208" s="13"/>
      <c r="H208" s="13"/>
      <c r="I208" s="13"/>
      <c r="J208" s="67"/>
      <c r="K208" s="70"/>
      <c r="L208" s="70"/>
      <c r="M208" s="70"/>
      <c r="N208" s="70"/>
      <c r="O208" s="70"/>
      <c r="P208" s="70"/>
      <c r="Q208" s="73"/>
      <c r="R208" s="70"/>
      <c r="S208" s="70"/>
      <c r="T208" s="67"/>
      <c r="U208" s="70"/>
      <c r="V208" s="67"/>
      <c r="W208" s="42"/>
    </row>
    <row r="209" spans="1:24" s="7" customFormat="1" x14ac:dyDescent="0.7">
      <c r="A209" s="74" t="s">
        <v>16</v>
      </c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6"/>
      <c r="W209" s="12"/>
    </row>
    <row r="210" spans="1:24" s="7" customFormat="1" x14ac:dyDescent="0.7">
      <c r="A210" s="77"/>
      <c r="B210" s="80" t="s">
        <v>215</v>
      </c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2"/>
      <c r="W210" s="12"/>
    </row>
    <row r="211" spans="1:24" s="7" customFormat="1" x14ac:dyDescent="0.7">
      <c r="A211" s="78"/>
      <c r="B211" s="83" t="s">
        <v>497</v>
      </c>
      <c r="C211" s="95" t="s">
        <v>503</v>
      </c>
      <c r="D211" s="96"/>
      <c r="E211" s="96"/>
      <c r="F211" s="96"/>
      <c r="G211" s="96"/>
      <c r="H211" s="97"/>
      <c r="I211" s="29"/>
      <c r="J211" s="65"/>
      <c r="K211" s="68" t="s">
        <v>73</v>
      </c>
      <c r="L211" s="65" t="s">
        <v>87</v>
      </c>
      <c r="M211" s="65" t="s">
        <v>504</v>
      </c>
      <c r="N211" s="65" t="s">
        <v>16</v>
      </c>
      <c r="O211" s="65" t="s">
        <v>626</v>
      </c>
      <c r="P211" s="65" t="s">
        <v>16</v>
      </c>
      <c r="Q211" s="71" t="s">
        <v>505</v>
      </c>
      <c r="R211" s="65" t="s">
        <v>11</v>
      </c>
      <c r="S211" s="65" t="s">
        <v>499</v>
      </c>
      <c r="T211" s="65" t="s">
        <v>208</v>
      </c>
      <c r="U211" s="68"/>
      <c r="V211" s="68" t="s">
        <v>222</v>
      </c>
      <c r="W211" s="12"/>
    </row>
    <row r="212" spans="1:24" s="7" customFormat="1" x14ac:dyDescent="0.7">
      <c r="A212" s="78"/>
      <c r="B212" s="84"/>
      <c r="C212" s="32" t="s">
        <v>5</v>
      </c>
      <c r="D212" s="19">
        <f>SUM(E212:H212)</f>
        <v>671.71794</v>
      </c>
      <c r="E212" s="13">
        <f>SUM(E213:E216)</f>
        <v>671.71794</v>
      </c>
      <c r="F212" s="13"/>
      <c r="G212" s="13"/>
      <c r="H212" s="13"/>
      <c r="I212" s="13"/>
      <c r="J212" s="66"/>
      <c r="K212" s="69"/>
      <c r="L212" s="66"/>
      <c r="M212" s="66"/>
      <c r="N212" s="66"/>
      <c r="O212" s="66"/>
      <c r="P212" s="66"/>
      <c r="Q212" s="72"/>
      <c r="R212" s="66"/>
      <c r="S212" s="66"/>
      <c r="T212" s="66"/>
      <c r="U212" s="69"/>
      <c r="V212" s="69"/>
      <c r="W212" s="12"/>
    </row>
    <row r="213" spans="1:24" s="7" customFormat="1" ht="91.5" x14ac:dyDescent="0.7">
      <c r="A213" s="78"/>
      <c r="B213" s="84"/>
      <c r="C213" s="32" t="s">
        <v>0</v>
      </c>
      <c r="D213" s="19"/>
      <c r="E213" s="13"/>
      <c r="F213" s="13"/>
      <c r="G213" s="13"/>
      <c r="H213" s="13"/>
      <c r="I213" s="13"/>
      <c r="J213" s="66"/>
      <c r="K213" s="69"/>
      <c r="L213" s="66"/>
      <c r="M213" s="66"/>
      <c r="N213" s="66"/>
      <c r="O213" s="66"/>
      <c r="P213" s="66"/>
      <c r="Q213" s="72"/>
      <c r="R213" s="66"/>
      <c r="S213" s="66"/>
      <c r="T213" s="66"/>
      <c r="U213" s="69"/>
      <c r="V213" s="69"/>
      <c r="W213" s="12"/>
    </row>
    <row r="214" spans="1:24" s="7" customFormat="1" ht="91.5" x14ac:dyDescent="0.7">
      <c r="A214" s="78"/>
      <c r="B214" s="84"/>
      <c r="C214" s="32" t="s">
        <v>1</v>
      </c>
      <c r="D214" s="19">
        <f>SUM(E214:H214)</f>
        <v>671.71794</v>
      </c>
      <c r="E214" s="13">
        <f>20+2500-1848.28206</f>
        <v>671.71794</v>
      </c>
      <c r="F214" s="13"/>
      <c r="G214" s="13"/>
      <c r="H214" s="13"/>
      <c r="I214" s="13"/>
      <c r="J214" s="66"/>
      <c r="K214" s="69"/>
      <c r="L214" s="66"/>
      <c r="M214" s="66"/>
      <c r="N214" s="66"/>
      <c r="O214" s="66"/>
      <c r="P214" s="66"/>
      <c r="Q214" s="72"/>
      <c r="R214" s="66"/>
      <c r="S214" s="66"/>
      <c r="T214" s="66"/>
      <c r="U214" s="69"/>
      <c r="V214" s="69"/>
      <c r="W214" s="12"/>
    </row>
    <row r="215" spans="1:24" s="7" customFormat="1" ht="94.5" customHeight="1" x14ac:dyDescent="0.7">
      <c r="A215" s="78"/>
      <c r="B215" s="84"/>
      <c r="C215" s="32" t="s">
        <v>2</v>
      </c>
      <c r="D215" s="19"/>
      <c r="E215" s="13"/>
      <c r="F215" s="13"/>
      <c r="G215" s="13"/>
      <c r="H215" s="13"/>
      <c r="I215" s="13"/>
      <c r="J215" s="66"/>
      <c r="K215" s="69"/>
      <c r="L215" s="66"/>
      <c r="M215" s="66"/>
      <c r="N215" s="66"/>
      <c r="O215" s="66"/>
      <c r="P215" s="66"/>
      <c r="Q215" s="72"/>
      <c r="R215" s="66"/>
      <c r="S215" s="66"/>
      <c r="T215" s="66"/>
      <c r="U215" s="69"/>
      <c r="V215" s="69"/>
      <c r="W215" s="12"/>
    </row>
    <row r="216" spans="1:24" s="7" customFormat="1" ht="91.5" x14ac:dyDescent="0.7">
      <c r="A216" s="79"/>
      <c r="B216" s="85"/>
      <c r="C216" s="32" t="s">
        <v>3</v>
      </c>
      <c r="D216" s="19"/>
      <c r="E216" s="13"/>
      <c r="F216" s="13"/>
      <c r="G216" s="13"/>
      <c r="H216" s="13"/>
      <c r="I216" s="13"/>
      <c r="J216" s="67"/>
      <c r="K216" s="70"/>
      <c r="L216" s="67"/>
      <c r="M216" s="67"/>
      <c r="N216" s="67"/>
      <c r="O216" s="67"/>
      <c r="P216" s="67"/>
      <c r="Q216" s="73"/>
      <c r="R216" s="67"/>
      <c r="S216" s="67"/>
      <c r="T216" s="67"/>
      <c r="U216" s="70"/>
      <c r="V216" s="70"/>
      <c r="W216" s="12"/>
    </row>
    <row r="217" spans="1:24" s="7" customFormat="1" x14ac:dyDescent="0.7">
      <c r="A217" s="74" t="s">
        <v>16</v>
      </c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6"/>
      <c r="W217" s="12"/>
      <c r="X217" s="12"/>
    </row>
    <row r="218" spans="1:24" s="7" customFormat="1" x14ac:dyDescent="0.7">
      <c r="A218" s="77"/>
      <c r="B218" s="80" t="s">
        <v>215</v>
      </c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2"/>
      <c r="W218" s="12"/>
      <c r="X218" s="12"/>
    </row>
    <row r="219" spans="1:24" s="7" customFormat="1" ht="59.25" customHeight="1" x14ac:dyDescent="0.7">
      <c r="A219" s="78"/>
      <c r="B219" s="83" t="s">
        <v>587</v>
      </c>
      <c r="C219" s="95" t="s">
        <v>506</v>
      </c>
      <c r="D219" s="96"/>
      <c r="E219" s="96"/>
      <c r="F219" s="96"/>
      <c r="G219" s="96"/>
      <c r="H219" s="97"/>
      <c r="I219" s="29"/>
      <c r="J219" s="65" t="s">
        <v>507</v>
      </c>
      <c r="K219" s="68"/>
      <c r="L219" s="65" t="s">
        <v>87</v>
      </c>
      <c r="M219" s="65" t="s">
        <v>508</v>
      </c>
      <c r="N219" s="65" t="s">
        <v>159</v>
      </c>
      <c r="O219" s="65" t="s">
        <v>626</v>
      </c>
      <c r="P219" s="65" t="s">
        <v>159</v>
      </c>
      <c r="Q219" s="71" t="s">
        <v>509</v>
      </c>
      <c r="R219" s="65" t="s">
        <v>11</v>
      </c>
      <c r="S219" s="65" t="s">
        <v>473</v>
      </c>
      <c r="T219" s="65"/>
      <c r="U219" s="68"/>
      <c r="V219" s="68" t="s">
        <v>510</v>
      </c>
      <c r="W219" s="12"/>
      <c r="X219" s="12"/>
    </row>
    <row r="220" spans="1:24" s="7" customFormat="1" x14ac:dyDescent="0.7">
      <c r="A220" s="78"/>
      <c r="B220" s="84"/>
      <c r="C220" s="32" t="s">
        <v>5</v>
      </c>
      <c r="D220" s="19">
        <f>SUM(E220:H220)</f>
        <v>18204.24064</v>
      </c>
      <c r="E220" s="13">
        <f>SUM(E221:E224)</f>
        <v>18204.24064</v>
      </c>
      <c r="F220" s="13"/>
      <c r="G220" s="13"/>
      <c r="H220" s="13"/>
      <c r="I220" s="13"/>
      <c r="J220" s="66"/>
      <c r="K220" s="69"/>
      <c r="L220" s="66"/>
      <c r="M220" s="66"/>
      <c r="N220" s="66"/>
      <c r="O220" s="66"/>
      <c r="P220" s="66"/>
      <c r="Q220" s="72"/>
      <c r="R220" s="66"/>
      <c r="S220" s="66"/>
      <c r="T220" s="66"/>
      <c r="U220" s="69"/>
      <c r="V220" s="69"/>
      <c r="W220" s="12"/>
      <c r="X220" s="12"/>
    </row>
    <row r="221" spans="1:24" s="7" customFormat="1" ht="91.5" x14ac:dyDescent="0.7">
      <c r="A221" s="78"/>
      <c r="B221" s="84"/>
      <c r="C221" s="32" t="s">
        <v>0</v>
      </c>
      <c r="D221" s="19"/>
      <c r="E221" s="13"/>
      <c r="F221" s="13"/>
      <c r="G221" s="13"/>
      <c r="H221" s="13"/>
      <c r="I221" s="13"/>
      <c r="J221" s="66"/>
      <c r="K221" s="69"/>
      <c r="L221" s="66"/>
      <c r="M221" s="66"/>
      <c r="N221" s="66"/>
      <c r="O221" s="66"/>
      <c r="P221" s="66"/>
      <c r="Q221" s="72"/>
      <c r="R221" s="66"/>
      <c r="S221" s="66"/>
      <c r="T221" s="66"/>
      <c r="U221" s="69"/>
      <c r="V221" s="69"/>
      <c r="W221" s="12"/>
      <c r="X221" s="12"/>
    </row>
    <row r="222" spans="1:24" s="7" customFormat="1" ht="91.5" x14ac:dyDescent="0.7">
      <c r="A222" s="78"/>
      <c r="B222" s="84"/>
      <c r="C222" s="32" t="s">
        <v>1</v>
      </c>
      <c r="D222" s="19">
        <f>SUM(E222:H222)</f>
        <v>18204.24064</v>
      </c>
      <c r="E222" s="18">
        <f>-804.76592+19009.00656</f>
        <v>18204.24064</v>
      </c>
      <c r="F222" s="13"/>
      <c r="G222" s="13"/>
      <c r="H222" s="13"/>
      <c r="I222" s="13"/>
      <c r="J222" s="66"/>
      <c r="K222" s="69"/>
      <c r="L222" s="66"/>
      <c r="M222" s="66"/>
      <c r="N222" s="66"/>
      <c r="O222" s="66"/>
      <c r="P222" s="66"/>
      <c r="Q222" s="72"/>
      <c r="R222" s="66"/>
      <c r="S222" s="66"/>
      <c r="T222" s="66"/>
      <c r="U222" s="69"/>
      <c r="V222" s="69"/>
      <c r="W222" s="12"/>
      <c r="X222" s="12"/>
    </row>
    <row r="223" spans="1:24" s="7" customFormat="1" ht="97.5" customHeight="1" x14ac:dyDescent="0.7">
      <c r="A223" s="78"/>
      <c r="B223" s="84"/>
      <c r="C223" s="32" t="s">
        <v>2</v>
      </c>
      <c r="D223" s="19"/>
      <c r="E223" s="13"/>
      <c r="F223" s="13"/>
      <c r="G223" s="13"/>
      <c r="H223" s="13"/>
      <c r="I223" s="13"/>
      <c r="J223" s="66"/>
      <c r="K223" s="69"/>
      <c r="L223" s="66"/>
      <c r="M223" s="66"/>
      <c r="N223" s="66"/>
      <c r="O223" s="66"/>
      <c r="P223" s="66"/>
      <c r="Q223" s="72"/>
      <c r="R223" s="66"/>
      <c r="S223" s="66"/>
      <c r="T223" s="66"/>
      <c r="U223" s="69"/>
      <c r="V223" s="69"/>
      <c r="W223" s="12"/>
      <c r="X223" s="12"/>
    </row>
    <row r="224" spans="1:24" s="7" customFormat="1" ht="91.5" x14ac:dyDescent="0.7">
      <c r="A224" s="79"/>
      <c r="B224" s="85"/>
      <c r="C224" s="32" t="s">
        <v>3</v>
      </c>
      <c r="D224" s="19"/>
      <c r="E224" s="13"/>
      <c r="F224" s="13"/>
      <c r="G224" s="13"/>
      <c r="H224" s="13"/>
      <c r="I224" s="13"/>
      <c r="J224" s="67"/>
      <c r="K224" s="70"/>
      <c r="L224" s="67"/>
      <c r="M224" s="67"/>
      <c r="N224" s="67"/>
      <c r="O224" s="67"/>
      <c r="P224" s="67"/>
      <c r="Q224" s="73"/>
      <c r="R224" s="67"/>
      <c r="S224" s="67"/>
      <c r="T224" s="67"/>
      <c r="U224" s="70"/>
      <c r="V224" s="70"/>
      <c r="W224" s="12"/>
      <c r="X224" s="12"/>
    </row>
    <row r="225" spans="1:23" s="7" customFormat="1" ht="45" customHeight="1" x14ac:dyDescent="0.7">
      <c r="A225" s="74" t="s">
        <v>16</v>
      </c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6"/>
      <c r="W225" s="12"/>
    </row>
    <row r="226" spans="1:23" s="7" customFormat="1" x14ac:dyDescent="0.7">
      <c r="A226" s="77"/>
      <c r="B226" s="80" t="s">
        <v>215</v>
      </c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2"/>
      <c r="W226" s="12"/>
    </row>
    <row r="227" spans="1:23" s="7" customFormat="1" ht="61.5" customHeight="1" x14ac:dyDescent="0.7">
      <c r="A227" s="78"/>
      <c r="B227" s="83" t="s">
        <v>620</v>
      </c>
      <c r="C227" s="95" t="s">
        <v>588</v>
      </c>
      <c r="D227" s="96"/>
      <c r="E227" s="96"/>
      <c r="F227" s="96"/>
      <c r="G227" s="96"/>
      <c r="H227" s="97"/>
      <c r="I227" s="29"/>
      <c r="J227" s="65" t="s">
        <v>590</v>
      </c>
      <c r="K227" s="68" t="s">
        <v>73</v>
      </c>
      <c r="L227" s="65" t="s">
        <v>87</v>
      </c>
      <c r="M227" s="65" t="s">
        <v>589</v>
      </c>
      <c r="N227" s="68" t="s">
        <v>179</v>
      </c>
      <c r="O227" s="65" t="s">
        <v>626</v>
      </c>
      <c r="P227" s="65" t="s">
        <v>179</v>
      </c>
      <c r="Q227" s="71" t="s">
        <v>591</v>
      </c>
      <c r="R227" s="65" t="s">
        <v>11</v>
      </c>
      <c r="S227" s="65" t="s">
        <v>502</v>
      </c>
      <c r="T227" s="65" t="s">
        <v>208</v>
      </c>
      <c r="U227" s="65"/>
      <c r="V227" s="68"/>
      <c r="W227" s="12"/>
    </row>
    <row r="228" spans="1:23" s="7" customFormat="1" x14ac:dyDescent="0.7">
      <c r="A228" s="78"/>
      <c r="B228" s="84"/>
      <c r="C228" s="32" t="s">
        <v>5</v>
      </c>
      <c r="D228" s="19">
        <f>SUM(E228:H228)</f>
        <v>989.72899999999936</v>
      </c>
      <c r="E228" s="13">
        <f>SUM(E229:E232)</f>
        <v>989.72899999999936</v>
      </c>
      <c r="F228" s="13"/>
      <c r="G228" s="13"/>
      <c r="H228" s="13"/>
      <c r="I228" s="13"/>
      <c r="J228" s="66"/>
      <c r="K228" s="69"/>
      <c r="L228" s="66"/>
      <c r="M228" s="66"/>
      <c r="N228" s="69"/>
      <c r="O228" s="66"/>
      <c r="P228" s="66"/>
      <c r="Q228" s="72"/>
      <c r="R228" s="66"/>
      <c r="S228" s="66"/>
      <c r="T228" s="66"/>
      <c r="U228" s="66"/>
      <c r="V228" s="69"/>
      <c r="W228" s="12"/>
    </row>
    <row r="229" spans="1:23" s="7" customFormat="1" ht="91.5" x14ac:dyDescent="0.7">
      <c r="A229" s="78"/>
      <c r="B229" s="84"/>
      <c r="C229" s="32" t="s">
        <v>0</v>
      </c>
      <c r="D229" s="19"/>
      <c r="E229" s="13"/>
      <c r="F229" s="13"/>
      <c r="G229" s="13"/>
      <c r="H229" s="13"/>
      <c r="I229" s="13"/>
      <c r="J229" s="66"/>
      <c r="K229" s="69"/>
      <c r="L229" s="66"/>
      <c r="M229" s="66"/>
      <c r="N229" s="69"/>
      <c r="O229" s="66"/>
      <c r="P229" s="66"/>
      <c r="Q229" s="72"/>
      <c r="R229" s="66"/>
      <c r="S229" s="66"/>
      <c r="T229" s="66"/>
      <c r="U229" s="66"/>
      <c r="V229" s="69"/>
      <c r="W229" s="12"/>
    </row>
    <row r="230" spans="1:23" s="7" customFormat="1" ht="91.5" x14ac:dyDescent="0.7">
      <c r="A230" s="78"/>
      <c r="B230" s="84"/>
      <c r="C230" s="32" t="s">
        <v>1</v>
      </c>
      <c r="D230" s="19">
        <f>SUM(E230:H230)</f>
        <v>989.72899999999936</v>
      </c>
      <c r="E230" s="13">
        <f>18600.965-15060.736-2550.5</f>
        <v>989.72899999999936</v>
      </c>
      <c r="F230" s="13"/>
      <c r="G230" s="13"/>
      <c r="H230" s="13"/>
      <c r="I230" s="13"/>
      <c r="J230" s="66"/>
      <c r="K230" s="69"/>
      <c r="L230" s="66"/>
      <c r="M230" s="66"/>
      <c r="N230" s="69"/>
      <c r="O230" s="66"/>
      <c r="P230" s="66"/>
      <c r="Q230" s="72"/>
      <c r="R230" s="66"/>
      <c r="S230" s="66"/>
      <c r="T230" s="66"/>
      <c r="U230" s="66"/>
      <c r="V230" s="69"/>
      <c r="W230" s="12"/>
    </row>
    <row r="231" spans="1:23" s="7" customFormat="1" ht="91.5" customHeight="1" x14ac:dyDescent="0.7">
      <c r="A231" s="78"/>
      <c r="B231" s="84"/>
      <c r="C231" s="32" t="s">
        <v>2</v>
      </c>
      <c r="D231" s="19"/>
      <c r="E231" s="13"/>
      <c r="F231" s="13"/>
      <c r="G231" s="13"/>
      <c r="H231" s="13"/>
      <c r="I231" s="13"/>
      <c r="J231" s="66"/>
      <c r="K231" s="69"/>
      <c r="L231" s="66"/>
      <c r="M231" s="66"/>
      <c r="N231" s="69"/>
      <c r="O231" s="66"/>
      <c r="P231" s="66"/>
      <c r="Q231" s="72"/>
      <c r="R231" s="66"/>
      <c r="S231" s="66"/>
      <c r="T231" s="66"/>
      <c r="U231" s="66"/>
      <c r="V231" s="69"/>
      <c r="W231" s="12"/>
    </row>
    <row r="232" spans="1:23" s="7" customFormat="1" ht="91.5" x14ac:dyDescent="0.7">
      <c r="A232" s="79"/>
      <c r="B232" s="85"/>
      <c r="C232" s="32" t="s">
        <v>3</v>
      </c>
      <c r="D232" s="19"/>
      <c r="E232" s="13"/>
      <c r="F232" s="13"/>
      <c r="G232" s="13"/>
      <c r="H232" s="13"/>
      <c r="I232" s="13"/>
      <c r="J232" s="67"/>
      <c r="K232" s="70"/>
      <c r="L232" s="67"/>
      <c r="M232" s="67"/>
      <c r="N232" s="70"/>
      <c r="O232" s="67"/>
      <c r="P232" s="67"/>
      <c r="Q232" s="73"/>
      <c r="R232" s="67"/>
      <c r="S232" s="67"/>
      <c r="T232" s="67"/>
      <c r="U232" s="67"/>
      <c r="V232" s="70"/>
      <c r="W232" s="12"/>
    </row>
    <row r="233" spans="1:23" s="7" customFormat="1" ht="56.25" customHeight="1" x14ac:dyDescent="0.7">
      <c r="A233" s="74" t="s">
        <v>16</v>
      </c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6"/>
      <c r="W233" s="12"/>
    </row>
    <row r="234" spans="1:23" s="7" customFormat="1" x14ac:dyDescent="0.7">
      <c r="A234" s="77"/>
      <c r="B234" s="80" t="s">
        <v>215</v>
      </c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2"/>
      <c r="W234" s="12"/>
    </row>
    <row r="235" spans="1:23" s="7" customFormat="1" ht="46.5" customHeight="1" x14ac:dyDescent="0.7">
      <c r="A235" s="78"/>
      <c r="B235" s="83" t="s">
        <v>666</v>
      </c>
      <c r="C235" s="95" t="s">
        <v>654</v>
      </c>
      <c r="D235" s="96"/>
      <c r="E235" s="96"/>
      <c r="F235" s="96"/>
      <c r="G235" s="96"/>
      <c r="H235" s="97"/>
      <c r="I235" s="29"/>
      <c r="J235" s="65"/>
      <c r="K235" s="68"/>
      <c r="L235" s="65" t="s">
        <v>87</v>
      </c>
      <c r="M235" s="65"/>
      <c r="N235" s="65" t="s">
        <v>159</v>
      </c>
      <c r="O235" s="65" t="s">
        <v>626</v>
      </c>
      <c r="P235" s="65" t="s">
        <v>159</v>
      </c>
      <c r="Q235" s="71"/>
      <c r="R235" s="65"/>
      <c r="S235" s="65"/>
      <c r="T235" s="65"/>
      <c r="U235" s="68"/>
      <c r="V235" s="68"/>
      <c r="W235" s="12"/>
    </row>
    <row r="236" spans="1:23" s="7" customFormat="1" x14ac:dyDescent="0.7">
      <c r="A236" s="78"/>
      <c r="B236" s="84"/>
      <c r="C236" s="32" t="s">
        <v>5</v>
      </c>
      <c r="D236" s="19">
        <f>SUM(E236:H236)</f>
        <v>4755.5816800000002</v>
      </c>
      <c r="E236" s="13">
        <f>SUM(E237:E240)</f>
        <v>4755.5816800000002</v>
      </c>
      <c r="F236" s="13"/>
      <c r="G236" s="13"/>
      <c r="H236" s="13"/>
      <c r="I236" s="13"/>
      <c r="J236" s="66"/>
      <c r="K236" s="69"/>
      <c r="L236" s="66"/>
      <c r="M236" s="66"/>
      <c r="N236" s="66"/>
      <c r="O236" s="66"/>
      <c r="P236" s="66"/>
      <c r="Q236" s="72"/>
      <c r="R236" s="66"/>
      <c r="S236" s="66"/>
      <c r="T236" s="66"/>
      <c r="U236" s="69"/>
      <c r="V236" s="69"/>
      <c r="W236" s="12"/>
    </row>
    <row r="237" spans="1:23" s="7" customFormat="1" ht="45.75" customHeight="1" x14ac:dyDescent="0.7">
      <c r="A237" s="78"/>
      <c r="B237" s="84"/>
      <c r="C237" s="32" t="s">
        <v>0</v>
      </c>
      <c r="D237" s="19"/>
      <c r="E237" s="13"/>
      <c r="F237" s="13"/>
      <c r="G237" s="13"/>
      <c r="H237" s="13"/>
      <c r="I237" s="13"/>
      <c r="J237" s="66"/>
      <c r="K237" s="69"/>
      <c r="L237" s="66"/>
      <c r="M237" s="66"/>
      <c r="N237" s="66"/>
      <c r="O237" s="66"/>
      <c r="P237" s="66"/>
      <c r="Q237" s="72"/>
      <c r="R237" s="66"/>
      <c r="S237" s="66"/>
      <c r="T237" s="66"/>
      <c r="U237" s="69"/>
      <c r="V237" s="69"/>
      <c r="W237" s="12"/>
    </row>
    <row r="238" spans="1:23" s="7" customFormat="1" ht="91.5" x14ac:dyDescent="0.7">
      <c r="A238" s="78"/>
      <c r="B238" s="84"/>
      <c r="C238" s="32" t="s">
        <v>1</v>
      </c>
      <c r="D238" s="19">
        <f>SUM(E238:H238)</f>
        <v>4755.5816800000002</v>
      </c>
      <c r="E238" s="13">
        <v>4755.5816800000002</v>
      </c>
      <c r="F238" s="13"/>
      <c r="G238" s="13"/>
      <c r="H238" s="13"/>
      <c r="I238" s="13"/>
      <c r="J238" s="66"/>
      <c r="K238" s="69"/>
      <c r="L238" s="66"/>
      <c r="M238" s="66"/>
      <c r="N238" s="66"/>
      <c r="O238" s="66"/>
      <c r="P238" s="66"/>
      <c r="Q238" s="72"/>
      <c r="R238" s="66"/>
      <c r="S238" s="66"/>
      <c r="T238" s="66"/>
      <c r="U238" s="69"/>
      <c r="V238" s="69"/>
      <c r="W238" s="12"/>
    </row>
    <row r="239" spans="1:23" s="7" customFormat="1" ht="91.5" customHeight="1" x14ac:dyDescent="0.7">
      <c r="A239" s="78"/>
      <c r="B239" s="84"/>
      <c r="C239" s="32" t="s">
        <v>2</v>
      </c>
      <c r="D239" s="19"/>
      <c r="E239" s="13"/>
      <c r="F239" s="13"/>
      <c r="G239" s="13"/>
      <c r="H239" s="13"/>
      <c r="I239" s="13"/>
      <c r="J239" s="66"/>
      <c r="K239" s="69"/>
      <c r="L239" s="66"/>
      <c r="M239" s="66"/>
      <c r="N239" s="66"/>
      <c r="O239" s="66"/>
      <c r="P239" s="66"/>
      <c r="Q239" s="72"/>
      <c r="R239" s="66"/>
      <c r="S239" s="66"/>
      <c r="T239" s="66"/>
      <c r="U239" s="69"/>
      <c r="V239" s="69"/>
      <c r="W239" s="12"/>
    </row>
    <row r="240" spans="1:23" s="7" customFormat="1" ht="98.25" customHeight="1" x14ac:dyDescent="0.7">
      <c r="A240" s="79"/>
      <c r="B240" s="85"/>
      <c r="C240" s="32" t="s">
        <v>3</v>
      </c>
      <c r="D240" s="19"/>
      <c r="E240" s="13"/>
      <c r="F240" s="13"/>
      <c r="G240" s="13"/>
      <c r="H240" s="13"/>
      <c r="I240" s="13"/>
      <c r="J240" s="67"/>
      <c r="K240" s="70"/>
      <c r="L240" s="67"/>
      <c r="M240" s="67"/>
      <c r="N240" s="67"/>
      <c r="O240" s="67"/>
      <c r="P240" s="67"/>
      <c r="Q240" s="73"/>
      <c r="R240" s="67"/>
      <c r="S240" s="67"/>
      <c r="T240" s="67"/>
      <c r="U240" s="70"/>
      <c r="V240" s="70"/>
      <c r="W240" s="12"/>
    </row>
    <row r="241" spans="1:23" s="7" customFormat="1" x14ac:dyDescent="0.7">
      <c r="A241" s="115" t="s">
        <v>39</v>
      </c>
      <c r="B241" s="118" t="s">
        <v>225</v>
      </c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20"/>
      <c r="W241" s="12"/>
    </row>
    <row r="242" spans="1:23" s="7" customFormat="1" x14ac:dyDescent="0.7">
      <c r="A242" s="116"/>
      <c r="B242" s="113" t="s">
        <v>5</v>
      </c>
      <c r="C242" s="114"/>
      <c r="D242" s="16">
        <f t="shared" ref="D242" si="29">SUM(D243:D246)</f>
        <v>29116.590199999999</v>
      </c>
      <c r="E242" s="16">
        <f>E250+E258</f>
        <v>29116.590199999999</v>
      </c>
      <c r="F242" s="16"/>
      <c r="G242" s="16"/>
      <c r="H242" s="16"/>
      <c r="I242" s="16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12"/>
    </row>
    <row r="243" spans="1:23" s="7" customFormat="1" x14ac:dyDescent="0.7">
      <c r="A243" s="116"/>
      <c r="B243" s="113" t="s">
        <v>0</v>
      </c>
      <c r="C243" s="114"/>
      <c r="D243" s="16"/>
      <c r="E243" s="16"/>
      <c r="F243" s="16"/>
      <c r="G243" s="16"/>
      <c r="H243" s="16"/>
      <c r="I243" s="16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12"/>
    </row>
    <row r="244" spans="1:23" s="7" customFormat="1" x14ac:dyDescent="0.7">
      <c r="A244" s="116"/>
      <c r="B244" s="113" t="s">
        <v>1</v>
      </c>
      <c r="C244" s="114"/>
      <c r="D244" s="16">
        <f>SUM(E244:I244)</f>
        <v>29116.590199999999</v>
      </c>
      <c r="E244" s="16">
        <f>E252+E260</f>
        <v>29116.590199999999</v>
      </c>
      <c r="F244" s="16"/>
      <c r="G244" s="16"/>
      <c r="H244" s="16"/>
      <c r="I244" s="16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12"/>
    </row>
    <row r="245" spans="1:23" s="7" customFormat="1" x14ac:dyDescent="0.7">
      <c r="A245" s="116"/>
      <c r="B245" s="113" t="s">
        <v>2</v>
      </c>
      <c r="C245" s="114"/>
      <c r="D245" s="16"/>
      <c r="E245" s="16"/>
      <c r="F245" s="16"/>
      <c r="G245" s="16"/>
      <c r="H245" s="16"/>
      <c r="I245" s="16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12"/>
    </row>
    <row r="246" spans="1:23" s="7" customFormat="1" ht="91.5" customHeight="1" x14ac:dyDescent="0.7">
      <c r="A246" s="117"/>
      <c r="B246" s="113" t="s">
        <v>3</v>
      </c>
      <c r="C246" s="114"/>
      <c r="D246" s="20"/>
      <c r="E246" s="16"/>
      <c r="F246" s="16"/>
      <c r="G246" s="16"/>
      <c r="H246" s="16"/>
      <c r="I246" s="16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12"/>
    </row>
    <row r="247" spans="1:23" s="7" customFormat="1" x14ac:dyDescent="0.7">
      <c r="A247" s="74" t="s">
        <v>16</v>
      </c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6"/>
      <c r="W247" s="12"/>
    </row>
    <row r="248" spans="1:23" s="7" customFormat="1" x14ac:dyDescent="0.7">
      <c r="A248" s="77"/>
      <c r="B248" s="89" t="s">
        <v>627</v>
      </c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1"/>
      <c r="W248" s="12"/>
    </row>
    <row r="249" spans="1:23" s="7" customFormat="1" x14ac:dyDescent="0.7">
      <c r="A249" s="78"/>
      <c r="B249" s="92" t="s">
        <v>44</v>
      </c>
      <c r="C249" s="86" t="s">
        <v>354</v>
      </c>
      <c r="D249" s="87"/>
      <c r="E249" s="87"/>
      <c r="F249" s="87"/>
      <c r="G249" s="87"/>
      <c r="H249" s="88"/>
      <c r="I249" s="45"/>
      <c r="J249" s="65"/>
      <c r="K249" s="65" t="s">
        <v>73</v>
      </c>
      <c r="L249" s="65" t="s">
        <v>87</v>
      </c>
      <c r="M249" s="65" t="s">
        <v>181</v>
      </c>
      <c r="N249" s="65" t="s">
        <v>179</v>
      </c>
      <c r="O249" s="65" t="s">
        <v>30</v>
      </c>
      <c r="P249" s="65" t="s">
        <v>179</v>
      </c>
      <c r="Q249" s="71" t="s">
        <v>126</v>
      </c>
      <c r="R249" s="65" t="s">
        <v>11</v>
      </c>
      <c r="S249" s="65" t="s">
        <v>12</v>
      </c>
      <c r="T249" s="65" t="s">
        <v>208</v>
      </c>
      <c r="U249" s="65"/>
      <c r="V249" s="65"/>
      <c r="W249" s="12"/>
    </row>
    <row r="250" spans="1:23" s="7" customFormat="1" x14ac:dyDescent="0.7">
      <c r="A250" s="78"/>
      <c r="B250" s="93"/>
      <c r="C250" s="44" t="s">
        <v>5</v>
      </c>
      <c r="D250" s="17">
        <f>SUM(D251:D254)</f>
        <v>5683.4539999999997</v>
      </c>
      <c r="E250" s="18">
        <f t="shared" ref="E250" si="30">SUM(E251:E254)</f>
        <v>5683.4539999999997</v>
      </c>
      <c r="F250" s="18"/>
      <c r="G250" s="18"/>
      <c r="H250" s="18"/>
      <c r="I250" s="18"/>
      <c r="J250" s="66"/>
      <c r="K250" s="66"/>
      <c r="L250" s="66"/>
      <c r="M250" s="66"/>
      <c r="N250" s="66"/>
      <c r="O250" s="66"/>
      <c r="P250" s="66"/>
      <c r="Q250" s="72"/>
      <c r="R250" s="66"/>
      <c r="S250" s="66"/>
      <c r="T250" s="66"/>
      <c r="U250" s="66"/>
      <c r="V250" s="66"/>
      <c r="W250" s="12"/>
    </row>
    <row r="251" spans="1:23" s="7" customFormat="1" ht="57.75" customHeight="1" x14ac:dyDescent="0.7">
      <c r="A251" s="78"/>
      <c r="B251" s="93"/>
      <c r="C251" s="44" t="s">
        <v>0</v>
      </c>
      <c r="D251" s="17"/>
      <c r="E251" s="18"/>
      <c r="F251" s="18"/>
      <c r="G251" s="18"/>
      <c r="H251" s="18"/>
      <c r="I251" s="18"/>
      <c r="J251" s="66"/>
      <c r="K251" s="66"/>
      <c r="L251" s="66"/>
      <c r="M251" s="66"/>
      <c r="N251" s="66"/>
      <c r="O251" s="66"/>
      <c r="P251" s="66"/>
      <c r="Q251" s="72"/>
      <c r="R251" s="66"/>
      <c r="S251" s="66"/>
      <c r="T251" s="66"/>
      <c r="U251" s="66"/>
      <c r="V251" s="66"/>
      <c r="W251" s="12"/>
    </row>
    <row r="252" spans="1:23" s="7" customFormat="1" ht="91.5" x14ac:dyDescent="0.7">
      <c r="A252" s="78"/>
      <c r="B252" s="93"/>
      <c r="C252" s="44" t="s">
        <v>1</v>
      </c>
      <c r="D252" s="17">
        <f>SUM(E252:H252)</f>
        <v>5683.4539999999997</v>
      </c>
      <c r="E252" s="18">
        <f>5000+727.489-44.035</f>
        <v>5683.4539999999997</v>
      </c>
      <c r="F252" s="18"/>
      <c r="G252" s="18"/>
      <c r="H252" s="18"/>
      <c r="I252" s="18"/>
      <c r="J252" s="66"/>
      <c r="K252" s="66"/>
      <c r="L252" s="66"/>
      <c r="M252" s="66"/>
      <c r="N252" s="66"/>
      <c r="O252" s="66"/>
      <c r="P252" s="66"/>
      <c r="Q252" s="72"/>
      <c r="R252" s="66"/>
      <c r="S252" s="66"/>
      <c r="T252" s="66"/>
      <c r="U252" s="66"/>
      <c r="V252" s="66"/>
      <c r="W252" s="12"/>
    </row>
    <row r="253" spans="1:23" s="7" customFormat="1" ht="95.25" customHeight="1" x14ac:dyDescent="0.7">
      <c r="A253" s="78"/>
      <c r="B253" s="93"/>
      <c r="C253" s="44" t="s">
        <v>2</v>
      </c>
      <c r="D253" s="17"/>
      <c r="E253" s="18"/>
      <c r="F253" s="18"/>
      <c r="G253" s="18"/>
      <c r="H253" s="18"/>
      <c r="I253" s="18"/>
      <c r="J253" s="66"/>
      <c r="K253" s="66"/>
      <c r="L253" s="66"/>
      <c r="M253" s="66"/>
      <c r="N253" s="66"/>
      <c r="O253" s="66"/>
      <c r="P253" s="66"/>
      <c r="Q253" s="72"/>
      <c r="R253" s="66"/>
      <c r="S253" s="66"/>
      <c r="T253" s="66"/>
      <c r="U253" s="66"/>
      <c r="V253" s="66"/>
      <c r="W253" s="12"/>
    </row>
    <row r="254" spans="1:23" s="7" customFormat="1" ht="91.5" x14ac:dyDescent="0.7">
      <c r="A254" s="79"/>
      <c r="B254" s="94"/>
      <c r="C254" s="44" t="s">
        <v>3</v>
      </c>
      <c r="D254" s="17"/>
      <c r="E254" s="18"/>
      <c r="F254" s="18"/>
      <c r="G254" s="18"/>
      <c r="H254" s="18"/>
      <c r="I254" s="18"/>
      <c r="J254" s="67"/>
      <c r="K254" s="67"/>
      <c r="L254" s="67"/>
      <c r="M254" s="67"/>
      <c r="N254" s="67"/>
      <c r="O254" s="67"/>
      <c r="P254" s="67"/>
      <c r="Q254" s="73"/>
      <c r="R254" s="67"/>
      <c r="S254" s="67"/>
      <c r="T254" s="67"/>
      <c r="U254" s="67"/>
      <c r="V254" s="67"/>
      <c r="W254" s="12"/>
    </row>
    <row r="255" spans="1:23" s="7" customFormat="1" x14ac:dyDescent="0.7">
      <c r="A255" s="74" t="s">
        <v>16</v>
      </c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6"/>
      <c r="W255" s="12"/>
    </row>
    <row r="256" spans="1:23" s="7" customFormat="1" x14ac:dyDescent="0.7">
      <c r="A256" s="77"/>
      <c r="B256" s="89" t="s">
        <v>627</v>
      </c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1"/>
      <c r="W256" s="12"/>
    </row>
    <row r="257" spans="1:23" s="7" customFormat="1" ht="73.5" customHeight="1" x14ac:dyDescent="0.7">
      <c r="A257" s="78"/>
      <c r="B257" s="92" t="s">
        <v>353</v>
      </c>
      <c r="C257" s="86" t="s">
        <v>568</v>
      </c>
      <c r="D257" s="87"/>
      <c r="E257" s="87"/>
      <c r="F257" s="87"/>
      <c r="G257" s="87"/>
      <c r="H257" s="88"/>
      <c r="I257" s="45"/>
      <c r="J257" s="65"/>
      <c r="K257" s="65" t="s">
        <v>73</v>
      </c>
      <c r="L257" s="65" t="s">
        <v>87</v>
      </c>
      <c r="M257" s="65" t="s">
        <v>566</v>
      </c>
      <c r="N257" s="65" t="s">
        <v>179</v>
      </c>
      <c r="O257" s="65" t="s">
        <v>30</v>
      </c>
      <c r="P257" s="65" t="s">
        <v>179</v>
      </c>
      <c r="Q257" s="71" t="s">
        <v>567</v>
      </c>
      <c r="R257" s="65" t="s">
        <v>11</v>
      </c>
      <c r="S257" s="65" t="s">
        <v>12</v>
      </c>
      <c r="T257" s="65" t="s">
        <v>208</v>
      </c>
      <c r="U257" s="65"/>
      <c r="V257" s="65"/>
      <c r="W257" s="12"/>
    </row>
    <row r="258" spans="1:23" s="7" customFormat="1" x14ac:dyDescent="0.7">
      <c r="A258" s="78"/>
      <c r="B258" s="93"/>
      <c r="C258" s="44" t="s">
        <v>5</v>
      </c>
      <c r="D258" s="17">
        <f>SUM(D259:D262)</f>
        <v>23433.136200000001</v>
      </c>
      <c r="E258" s="17">
        <f>SUM(E259:E262)</f>
        <v>23433.136200000001</v>
      </c>
      <c r="F258" s="18"/>
      <c r="G258" s="18"/>
      <c r="H258" s="18"/>
      <c r="I258" s="18"/>
      <c r="J258" s="66"/>
      <c r="K258" s="66"/>
      <c r="L258" s="66"/>
      <c r="M258" s="66"/>
      <c r="N258" s="66"/>
      <c r="O258" s="66"/>
      <c r="P258" s="66"/>
      <c r="Q258" s="72"/>
      <c r="R258" s="66"/>
      <c r="S258" s="66"/>
      <c r="T258" s="66"/>
      <c r="U258" s="66"/>
      <c r="V258" s="66"/>
      <c r="W258" s="12"/>
    </row>
    <row r="259" spans="1:23" s="7" customFormat="1" ht="45.75" customHeight="1" x14ac:dyDescent="0.7">
      <c r="A259" s="78"/>
      <c r="B259" s="93"/>
      <c r="C259" s="44" t="s">
        <v>0</v>
      </c>
      <c r="D259" s="17"/>
      <c r="E259" s="18"/>
      <c r="F259" s="18"/>
      <c r="G259" s="18"/>
      <c r="H259" s="18"/>
      <c r="I259" s="18"/>
      <c r="J259" s="66"/>
      <c r="K259" s="66"/>
      <c r="L259" s="66"/>
      <c r="M259" s="66"/>
      <c r="N259" s="66"/>
      <c r="O259" s="66"/>
      <c r="P259" s="66"/>
      <c r="Q259" s="72"/>
      <c r="R259" s="66"/>
      <c r="S259" s="66"/>
      <c r="T259" s="66"/>
      <c r="U259" s="66"/>
      <c r="V259" s="66"/>
      <c r="W259" s="12"/>
    </row>
    <row r="260" spans="1:23" s="7" customFormat="1" ht="91.5" x14ac:dyDescent="0.7">
      <c r="A260" s="78"/>
      <c r="B260" s="93"/>
      <c r="C260" s="44" t="s">
        <v>1</v>
      </c>
      <c r="D260" s="17">
        <f>SUM(E260:I260)</f>
        <v>23433.136200000001</v>
      </c>
      <c r="E260" s="18">
        <f>633.1362+22800</f>
        <v>23433.136200000001</v>
      </c>
      <c r="F260" s="18"/>
      <c r="G260" s="18"/>
      <c r="H260" s="18"/>
      <c r="I260" s="18"/>
      <c r="J260" s="66"/>
      <c r="K260" s="66"/>
      <c r="L260" s="66"/>
      <c r="M260" s="66"/>
      <c r="N260" s="66"/>
      <c r="O260" s="66"/>
      <c r="P260" s="66"/>
      <c r="Q260" s="72"/>
      <c r="R260" s="66"/>
      <c r="S260" s="66"/>
      <c r="T260" s="66"/>
      <c r="U260" s="66"/>
      <c r="V260" s="66"/>
      <c r="W260" s="12"/>
    </row>
    <row r="261" spans="1:23" s="7" customFormat="1" ht="91.5" customHeight="1" x14ac:dyDescent="0.7">
      <c r="A261" s="78"/>
      <c r="B261" s="93"/>
      <c r="C261" s="44" t="s">
        <v>2</v>
      </c>
      <c r="D261" s="17"/>
      <c r="E261" s="18"/>
      <c r="F261" s="18"/>
      <c r="G261" s="18"/>
      <c r="H261" s="18"/>
      <c r="I261" s="18"/>
      <c r="J261" s="66"/>
      <c r="K261" s="66"/>
      <c r="L261" s="66"/>
      <c r="M261" s="66"/>
      <c r="N261" s="66"/>
      <c r="O261" s="66"/>
      <c r="P261" s="66"/>
      <c r="Q261" s="72"/>
      <c r="R261" s="66"/>
      <c r="S261" s="66"/>
      <c r="T261" s="66"/>
      <c r="U261" s="66"/>
      <c r="V261" s="66"/>
      <c r="W261" s="12"/>
    </row>
    <row r="262" spans="1:23" s="7" customFormat="1" ht="91.5" x14ac:dyDescent="0.7">
      <c r="A262" s="79"/>
      <c r="B262" s="94"/>
      <c r="C262" s="44" t="s">
        <v>3</v>
      </c>
      <c r="D262" s="17"/>
      <c r="E262" s="18"/>
      <c r="F262" s="18"/>
      <c r="G262" s="18"/>
      <c r="H262" s="18"/>
      <c r="I262" s="18"/>
      <c r="J262" s="67"/>
      <c r="K262" s="67"/>
      <c r="L262" s="67"/>
      <c r="M262" s="67"/>
      <c r="N262" s="67"/>
      <c r="O262" s="67"/>
      <c r="P262" s="67"/>
      <c r="Q262" s="73"/>
      <c r="R262" s="67"/>
      <c r="S262" s="67"/>
      <c r="T262" s="67"/>
      <c r="U262" s="67"/>
      <c r="V262" s="67"/>
      <c r="W262" s="12"/>
    </row>
    <row r="263" spans="1:23" s="7" customFormat="1" x14ac:dyDescent="0.7">
      <c r="A263" s="115" t="s">
        <v>45</v>
      </c>
      <c r="B263" s="118" t="s">
        <v>226</v>
      </c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20"/>
      <c r="W263" s="12"/>
    </row>
    <row r="264" spans="1:23" s="7" customFormat="1" x14ac:dyDescent="0.7">
      <c r="A264" s="116"/>
      <c r="B264" s="113" t="s">
        <v>5</v>
      </c>
      <c r="C264" s="114"/>
      <c r="D264" s="16">
        <f t="shared" ref="D264" si="31">SUM(D265:D268)</f>
        <v>1814388.4426681818</v>
      </c>
      <c r="E264" s="16">
        <f t="shared" ref="E264:H264" si="32">E272+E280+E288+E296+E304+E312+E320+E328+E336+E344+E352+E360+E368+E376+E384+E392+E400+E408+E416</f>
        <v>1145963.7685267676</v>
      </c>
      <c r="F264" s="16">
        <f t="shared" si="32"/>
        <v>308141.51414141414</v>
      </c>
      <c r="G264" s="16">
        <f t="shared" si="32"/>
        <v>224993.16</v>
      </c>
      <c r="H264" s="16">
        <f t="shared" si="32"/>
        <v>135290</v>
      </c>
      <c r="I264" s="16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12"/>
    </row>
    <row r="265" spans="1:23" s="7" customFormat="1" x14ac:dyDescent="0.7">
      <c r="A265" s="116"/>
      <c r="B265" s="113" t="s">
        <v>0</v>
      </c>
      <c r="C265" s="114"/>
      <c r="D265" s="16">
        <f>SUM(E265:H265)</f>
        <v>238819.8</v>
      </c>
      <c r="E265" s="16">
        <f t="shared" ref="E265:H265" si="33">E273+E281+E289+E297+E305+E313+E321+E329+E337+E345+E353+E361+E369+E377+E385+E393+E401+E409+E417</f>
        <v>238819.8</v>
      </c>
      <c r="F265" s="16">
        <f t="shared" si="33"/>
        <v>0</v>
      </c>
      <c r="G265" s="16">
        <f t="shared" si="33"/>
        <v>0</v>
      </c>
      <c r="H265" s="16">
        <f t="shared" si="33"/>
        <v>0</v>
      </c>
      <c r="I265" s="16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12"/>
    </row>
    <row r="266" spans="1:23" s="7" customFormat="1" x14ac:dyDescent="0.7">
      <c r="A266" s="116"/>
      <c r="B266" s="113" t="s">
        <v>1</v>
      </c>
      <c r="C266" s="114"/>
      <c r="D266" s="16">
        <f>SUM(E266:H266)</f>
        <v>1330583.2457099999</v>
      </c>
      <c r="E266" s="16">
        <f>E274+E282+E290+E298+E306+E314+E322+E330+E338+E346+E354+E362+E370+E378+E386+E394+E402+E410+E418</f>
        <v>664489.99670999998</v>
      </c>
      <c r="F266" s="16">
        <f t="shared" ref="F266:H266" si="34">F274+F282+F290+F298+F306+F314+F322+F330+F338+F346+F354+F362+F370+F378+F386+F394+F402+F410+F418</f>
        <v>305810.08900000004</v>
      </c>
      <c r="G266" s="16">
        <f t="shared" si="34"/>
        <v>224993.16</v>
      </c>
      <c r="H266" s="16">
        <f t="shared" si="34"/>
        <v>135290</v>
      </c>
      <c r="I266" s="16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12"/>
    </row>
    <row r="267" spans="1:23" s="7" customFormat="1" ht="45.75" customHeight="1" x14ac:dyDescent="0.7">
      <c r="A267" s="116"/>
      <c r="B267" s="113" t="s">
        <v>2</v>
      </c>
      <c r="C267" s="114"/>
      <c r="D267" s="16">
        <f>SUM(E267:H267)</f>
        <v>9686.1145181818192</v>
      </c>
      <c r="E267" s="16">
        <f t="shared" ref="E267:H267" si="35">E275+E283+E291+E299+E307+E315+E323+E331+E339+E347+E355+E363+E371+E379+E387+E395+E403+E411+E419</f>
        <v>7354.6893767676775</v>
      </c>
      <c r="F267" s="16">
        <f t="shared" si="35"/>
        <v>2331.4251414141413</v>
      </c>
      <c r="G267" s="16">
        <f t="shared" si="35"/>
        <v>0</v>
      </c>
      <c r="H267" s="16">
        <f t="shared" si="35"/>
        <v>0</v>
      </c>
      <c r="I267" s="16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12"/>
    </row>
    <row r="268" spans="1:23" s="7" customFormat="1" ht="95.25" customHeight="1" x14ac:dyDescent="0.7">
      <c r="A268" s="117"/>
      <c r="B268" s="113" t="s">
        <v>3</v>
      </c>
      <c r="C268" s="114"/>
      <c r="D268" s="16">
        <f>SUM(E268:H268)</f>
        <v>235299.28243999998</v>
      </c>
      <c r="E268" s="16">
        <f t="shared" ref="E268:H268" si="36">E276+E284+E292+E300+E308+E316+E324+E332+E340+E348+E356+E364+E372+E380+E388+E396+E404+E412+E420</f>
        <v>235299.28243999998</v>
      </c>
      <c r="F268" s="16">
        <f t="shared" si="36"/>
        <v>0</v>
      </c>
      <c r="G268" s="16">
        <f t="shared" si="36"/>
        <v>0</v>
      </c>
      <c r="H268" s="16">
        <f t="shared" si="36"/>
        <v>0</v>
      </c>
      <c r="I268" s="16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12"/>
    </row>
    <row r="269" spans="1:23" s="7" customFormat="1" x14ac:dyDescent="0.7">
      <c r="A269" s="74" t="s">
        <v>16</v>
      </c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6"/>
      <c r="W269" s="12"/>
    </row>
    <row r="270" spans="1:23" s="7" customFormat="1" x14ac:dyDescent="0.7">
      <c r="A270" s="77"/>
      <c r="B270" s="80" t="s">
        <v>687</v>
      </c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2"/>
      <c r="W270" s="12"/>
    </row>
    <row r="271" spans="1:23" s="7" customFormat="1" ht="150.75" customHeight="1" x14ac:dyDescent="0.7">
      <c r="A271" s="78"/>
      <c r="B271" s="83" t="s">
        <v>46</v>
      </c>
      <c r="C271" s="95" t="s">
        <v>227</v>
      </c>
      <c r="D271" s="96"/>
      <c r="E271" s="96"/>
      <c r="F271" s="96"/>
      <c r="G271" s="96"/>
      <c r="H271" s="97"/>
      <c r="I271" s="29"/>
      <c r="J271" s="65" t="s">
        <v>73</v>
      </c>
      <c r="K271" s="68" t="s">
        <v>72</v>
      </c>
      <c r="L271" s="68" t="s">
        <v>89</v>
      </c>
      <c r="M271" s="68" t="s">
        <v>228</v>
      </c>
      <c r="N271" s="68" t="s">
        <v>132</v>
      </c>
      <c r="O271" s="68" t="s">
        <v>133</v>
      </c>
      <c r="P271" s="68" t="s">
        <v>133</v>
      </c>
      <c r="Q271" s="71" t="s">
        <v>229</v>
      </c>
      <c r="R271" s="68" t="s">
        <v>18</v>
      </c>
      <c r="S271" s="68" t="s">
        <v>12</v>
      </c>
      <c r="T271" s="65" t="s">
        <v>7</v>
      </c>
      <c r="U271" s="68"/>
      <c r="V271" s="68"/>
      <c r="W271" s="12"/>
    </row>
    <row r="272" spans="1:23" s="7" customFormat="1" x14ac:dyDescent="0.7">
      <c r="A272" s="78"/>
      <c r="B272" s="84"/>
      <c r="C272" s="32" t="s">
        <v>5</v>
      </c>
      <c r="D272" s="19">
        <f t="shared" ref="D272:E272" si="37">SUM(D273:D276)</f>
        <v>9226.0642700000008</v>
      </c>
      <c r="E272" s="19">
        <f t="shared" si="37"/>
        <v>9226.0642700000008</v>
      </c>
      <c r="F272" s="13"/>
      <c r="G272" s="13"/>
      <c r="H272" s="13"/>
      <c r="I272" s="13"/>
      <c r="J272" s="66"/>
      <c r="K272" s="69"/>
      <c r="L272" s="69"/>
      <c r="M272" s="69"/>
      <c r="N272" s="69"/>
      <c r="O272" s="69"/>
      <c r="P272" s="69"/>
      <c r="Q272" s="72"/>
      <c r="R272" s="69"/>
      <c r="S272" s="69"/>
      <c r="T272" s="66"/>
      <c r="U272" s="69"/>
      <c r="V272" s="69"/>
      <c r="W272" s="12"/>
    </row>
    <row r="273" spans="1:23" s="7" customFormat="1" ht="91.5" x14ac:dyDescent="0.7">
      <c r="A273" s="78"/>
      <c r="B273" s="84"/>
      <c r="C273" s="32" t="s">
        <v>0</v>
      </c>
      <c r="D273" s="19"/>
      <c r="E273" s="13"/>
      <c r="F273" s="13"/>
      <c r="G273" s="13"/>
      <c r="H273" s="13"/>
      <c r="I273" s="13"/>
      <c r="J273" s="66"/>
      <c r="K273" s="69"/>
      <c r="L273" s="69"/>
      <c r="M273" s="69"/>
      <c r="N273" s="69"/>
      <c r="O273" s="69"/>
      <c r="P273" s="69"/>
      <c r="Q273" s="72"/>
      <c r="R273" s="69"/>
      <c r="S273" s="69"/>
      <c r="T273" s="66"/>
      <c r="U273" s="69"/>
      <c r="V273" s="69"/>
      <c r="W273" s="12"/>
    </row>
    <row r="274" spans="1:23" s="7" customFormat="1" ht="91.5" x14ac:dyDescent="0.7">
      <c r="A274" s="78"/>
      <c r="B274" s="84"/>
      <c r="C274" s="32" t="s">
        <v>1</v>
      </c>
      <c r="D274" s="19">
        <f>SUM(E274:H274)</f>
        <v>9133.8036300000003</v>
      </c>
      <c r="E274" s="13">
        <f>9700-140-426.19637</f>
        <v>9133.8036300000003</v>
      </c>
      <c r="F274" s="13"/>
      <c r="G274" s="13"/>
      <c r="H274" s="13"/>
      <c r="I274" s="13"/>
      <c r="J274" s="66"/>
      <c r="K274" s="69"/>
      <c r="L274" s="69"/>
      <c r="M274" s="69"/>
      <c r="N274" s="69"/>
      <c r="O274" s="69"/>
      <c r="P274" s="69"/>
      <c r="Q274" s="72"/>
      <c r="R274" s="69"/>
      <c r="S274" s="69"/>
      <c r="T274" s="66"/>
      <c r="U274" s="69"/>
      <c r="V274" s="69"/>
      <c r="W274" s="12"/>
    </row>
    <row r="275" spans="1:23" s="7" customFormat="1" ht="93.75" customHeight="1" x14ac:dyDescent="0.7">
      <c r="A275" s="78"/>
      <c r="B275" s="84"/>
      <c r="C275" s="32" t="s">
        <v>2</v>
      </c>
      <c r="D275" s="19">
        <f>SUM(E275:H275)</f>
        <v>92.260639999999995</v>
      </c>
      <c r="E275" s="13">
        <v>92.260639999999995</v>
      </c>
      <c r="F275" s="13"/>
      <c r="G275" s="13"/>
      <c r="H275" s="13"/>
      <c r="I275" s="13"/>
      <c r="J275" s="66"/>
      <c r="K275" s="69"/>
      <c r="L275" s="69"/>
      <c r="M275" s="69"/>
      <c r="N275" s="69"/>
      <c r="O275" s="69"/>
      <c r="P275" s="69"/>
      <c r="Q275" s="72"/>
      <c r="R275" s="69"/>
      <c r="S275" s="69"/>
      <c r="T275" s="66"/>
      <c r="U275" s="69"/>
      <c r="V275" s="69"/>
      <c r="W275" s="12"/>
    </row>
    <row r="276" spans="1:23" s="7" customFormat="1" ht="91.5" x14ac:dyDescent="0.7">
      <c r="A276" s="79"/>
      <c r="B276" s="85"/>
      <c r="C276" s="32" t="s">
        <v>3</v>
      </c>
      <c r="D276" s="19"/>
      <c r="E276" s="13"/>
      <c r="F276" s="13"/>
      <c r="G276" s="13"/>
      <c r="H276" s="13"/>
      <c r="I276" s="13"/>
      <c r="J276" s="67"/>
      <c r="K276" s="70"/>
      <c r="L276" s="70"/>
      <c r="M276" s="70"/>
      <c r="N276" s="70"/>
      <c r="O276" s="70"/>
      <c r="P276" s="70"/>
      <c r="Q276" s="73"/>
      <c r="R276" s="70"/>
      <c r="S276" s="70"/>
      <c r="T276" s="67"/>
      <c r="U276" s="70"/>
      <c r="V276" s="70"/>
      <c r="W276" s="12"/>
    </row>
    <row r="277" spans="1:23" s="7" customFormat="1" x14ac:dyDescent="0.7">
      <c r="A277" s="74" t="s">
        <v>16</v>
      </c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6"/>
      <c r="W277" s="12"/>
    </row>
    <row r="278" spans="1:23" s="7" customFormat="1" ht="47.25" customHeight="1" x14ac:dyDescent="0.7">
      <c r="A278" s="77"/>
      <c r="B278" s="89" t="s">
        <v>231</v>
      </c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1"/>
      <c r="W278" s="12"/>
    </row>
    <row r="279" spans="1:23" s="7" customFormat="1" ht="103.5" customHeight="1" x14ac:dyDescent="0.7">
      <c r="A279" s="78"/>
      <c r="B279" s="92" t="s">
        <v>47</v>
      </c>
      <c r="C279" s="86" t="s">
        <v>230</v>
      </c>
      <c r="D279" s="87"/>
      <c r="E279" s="87"/>
      <c r="F279" s="87"/>
      <c r="G279" s="87"/>
      <c r="H279" s="88"/>
      <c r="I279" s="45"/>
      <c r="J279" s="65" t="s">
        <v>73</v>
      </c>
      <c r="K279" s="65"/>
      <c r="L279" s="65" t="s">
        <v>88</v>
      </c>
      <c r="M279" s="65"/>
      <c r="N279" s="65"/>
      <c r="O279" s="65"/>
      <c r="P279" s="65" t="s">
        <v>93</v>
      </c>
      <c r="Q279" s="71" t="s">
        <v>174</v>
      </c>
      <c r="R279" s="65" t="s">
        <v>18</v>
      </c>
      <c r="S279" s="65" t="s">
        <v>85</v>
      </c>
      <c r="T279" s="65" t="s">
        <v>7</v>
      </c>
      <c r="U279" s="65"/>
      <c r="V279" s="65"/>
      <c r="W279" s="12"/>
    </row>
    <row r="280" spans="1:23" s="7" customFormat="1" x14ac:dyDescent="0.7">
      <c r="A280" s="78"/>
      <c r="B280" s="93"/>
      <c r="C280" s="44" t="s">
        <v>5</v>
      </c>
      <c r="D280" s="17">
        <f>SUM(D281:D284)</f>
        <v>565715.92269999988</v>
      </c>
      <c r="E280" s="17">
        <f>SUM(E281:E284)</f>
        <v>565715.92269999988</v>
      </c>
      <c r="F280" s="18"/>
      <c r="G280" s="18"/>
      <c r="H280" s="18"/>
      <c r="I280" s="18"/>
      <c r="J280" s="66"/>
      <c r="K280" s="66"/>
      <c r="L280" s="66"/>
      <c r="M280" s="66"/>
      <c r="N280" s="66"/>
      <c r="O280" s="66"/>
      <c r="P280" s="66"/>
      <c r="Q280" s="72"/>
      <c r="R280" s="66"/>
      <c r="S280" s="66"/>
      <c r="T280" s="66"/>
      <c r="U280" s="66"/>
      <c r="V280" s="66"/>
      <c r="W280" s="12"/>
    </row>
    <row r="281" spans="1:23" s="7" customFormat="1" ht="91.5" x14ac:dyDescent="0.7">
      <c r="A281" s="78"/>
      <c r="B281" s="93"/>
      <c r="C281" s="44" t="s">
        <v>0</v>
      </c>
      <c r="D281" s="17"/>
      <c r="E281" s="18"/>
      <c r="F281" s="18"/>
      <c r="G281" s="18"/>
      <c r="H281" s="18"/>
      <c r="I281" s="18"/>
      <c r="J281" s="66"/>
      <c r="K281" s="66"/>
      <c r="L281" s="66"/>
      <c r="M281" s="66"/>
      <c r="N281" s="66"/>
      <c r="O281" s="66"/>
      <c r="P281" s="66"/>
      <c r="Q281" s="72"/>
      <c r="R281" s="66"/>
      <c r="S281" s="66"/>
      <c r="T281" s="66"/>
      <c r="U281" s="66"/>
      <c r="V281" s="66"/>
      <c r="W281" s="12"/>
    </row>
    <row r="282" spans="1:23" s="7" customFormat="1" ht="91.5" x14ac:dyDescent="0.7">
      <c r="A282" s="78"/>
      <c r="B282" s="93"/>
      <c r="C282" s="44" t="s">
        <v>1</v>
      </c>
      <c r="D282" s="17">
        <f>SUM(E282:H282)</f>
        <v>324497.11316999991</v>
      </c>
      <c r="E282" s="18">
        <f>175367.591+182373.8363-891.00003-10228.05252+18180.55666-13263.76823-11983.4536-2559.79178-12498.80463</f>
        <v>324497.11316999991</v>
      </c>
      <c r="F282" s="18"/>
      <c r="G282" s="18"/>
      <c r="H282" s="18"/>
      <c r="I282" s="18"/>
      <c r="J282" s="66"/>
      <c r="K282" s="66"/>
      <c r="L282" s="66"/>
      <c r="M282" s="66"/>
      <c r="N282" s="66"/>
      <c r="O282" s="66"/>
      <c r="P282" s="66"/>
      <c r="Q282" s="72"/>
      <c r="R282" s="66"/>
      <c r="S282" s="66"/>
      <c r="T282" s="66"/>
      <c r="U282" s="66"/>
      <c r="V282" s="66"/>
      <c r="W282" s="12"/>
    </row>
    <row r="283" spans="1:23" s="7" customFormat="1" ht="98.25" customHeight="1" x14ac:dyDescent="0.7">
      <c r="A283" s="78"/>
      <c r="B283" s="93"/>
      <c r="C283" s="44" t="s">
        <v>2</v>
      </c>
      <c r="D283" s="17">
        <f>SUM(E283:H283)</f>
        <v>5919.5270899999996</v>
      </c>
      <c r="E283" s="18">
        <v>5919.5270899999996</v>
      </c>
      <c r="F283" s="18"/>
      <c r="G283" s="18"/>
      <c r="H283" s="18"/>
      <c r="I283" s="18"/>
      <c r="J283" s="66"/>
      <c r="K283" s="66"/>
      <c r="L283" s="66"/>
      <c r="M283" s="66"/>
      <c r="N283" s="66"/>
      <c r="O283" s="66"/>
      <c r="P283" s="66"/>
      <c r="Q283" s="72"/>
      <c r="R283" s="66"/>
      <c r="S283" s="66"/>
      <c r="T283" s="66"/>
      <c r="U283" s="66"/>
      <c r="V283" s="66"/>
      <c r="W283" s="12"/>
    </row>
    <row r="284" spans="1:23" s="7" customFormat="1" ht="91.5" x14ac:dyDescent="0.7">
      <c r="A284" s="79"/>
      <c r="B284" s="94"/>
      <c r="C284" s="44" t="s">
        <v>3</v>
      </c>
      <c r="D284" s="17">
        <f>SUM(E284:H284)</f>
        <v>235299.28243999998</v>
      </c>
      <c r="E284" s="18">
        <f>173149.69527+62149.58717</f>
        <v>235299.28243999998</v>
      </c>
      <c r="F284" s="18"/>
      <c r="G284" s="18"/>
      <c r="H284" s="18"/>
      <c r="I284" s="18"/>
      <c r="J284" s="67"/>
      <c r="K284" s="67"/>
      <c r="L284" s="67"/>
      <c r="M284" s="67"/>
      <c r="N284" s="67"/>
      <c r="O284" s="67"/>
      <c r="P284" s="67"/>
      <c r="Q284" s="73"/>
      <c r="R284" s="67"/>
      <c r="S284" s="67"/>
      <c r="T284" s="67"/>
      <c r="U284" s="67"/>
      <c r="V284" s="67"/>
      <c r="W284" s="12"/>
    </row>
    <row r="285" spans="1:23" s="7" customFormat="1" x14ac:dyDescent="0.7">
      <c r="A285" s="74" t="s">
        <v>16</v>
      </c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6"/>
      <c r="W285" s="12"/>
    </row>
    <row r="286" spans="1:23" s="7" customFormat="1" x14ac:dyDescent="0.7">
      <c r="A286" s="77"/>
      <c r="B286" s="89" t="s">
        <v>232</v>
      </c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1"/>
      <c r="W286" s="12"/>
    </row>
    <row r="287" spans="1:23" s="7" customFormat="1" ht="117" customHeight="1" x14ac:dyDescent="0.7">
      <c r="A287" s="78"/>
      <c r="B287" s="92" t="s">
        <v>48</v>
      </c>
      <c r="C287" s="86" t="s">
        <v>100</v>
      </c>
      <c r="D287" s="87"/>
      <c r="E287" s="87"/>
      <c r="F287" s="87"/>
      <c r="G287" s="87"/>
      <c r="H287" s="88"/>
      <c r="I287" s="45"/>
      <c r="J287" s="65" t="s">
        <v>96</v>
      </c>
      <c r="K287" s="65"/>
      <c r="L287" s="65" t="s">
        <v>88</v>
      </c>
      <c r="M287" s="65"/>
      <c r="N287" s="65"/>
      <c r="O287" s="65"/>
      <c r="P287" s="65" t="s">
        <v>93</v>
      </c>
      <c r="Q287" s="71"/>
      <c r="R287" s="65" t="s">
        <v>9</v>
      </c>
      <c r="S287" s="65" t="s">
        <v>85</v>
      </c>
      <c r="T287" s="65" t="s">
        <v>7</v>
      </c>
      <c r="U287" s="65"/>
      <c r="V287" s="65"/>
      <c r="W287" s="12"/>
    </row>
    <row r="288" spans="1:23" s="7" customFormat="1" x14ac:dyDescent="0.7">
      <c r="A288" s="78"/>
      <c r="B288" s="93"/>
      <c r="C288" s="44" t="s">
        <v>5</v>
      </c>
      <c r="D288" s="17">
        <f>SUM(D289:D292)</f>
        <v>295096.84957141412</v>
      </c>
      <c r="E288" s="17">
        <f t="shared" ref="E288:F288" si="38">SUM(E289:E292)</f>
        <v>111954.33542999999</v>
      </c>
      <c r="F288" s="17">
        <f t="shared" si="38"/>
        <v>183142.51414141414</v>
      </c>
      <c r="G288" s="18"/>
      <c r="H288" s="18"/>
      <c r="I288" s="18"/>
      <c r="J288" s="66"/>
      <c r="K288" s="66"/>
      <c r="L288" s="66"/>
      <c r="M288" s="66"/>
      <c r="N288" s="66"/>
      <c r="O288" s="66"/>
      <c r="P288" s="66"/>
      <c r="Q288" s="72"/>
      <c r="R288" s="66"/>
      <c r="S288" s="66"/>
      <c r="T288" s="66"/>
      <c r="U288" s="66"/>
      <c r="V288" s="66"/>
      <c r="W288" s="12"/>
    </row>
    <row r="289" spans="1:23" s="7" customFormat="1" ht="91.5" x14ac:dyDescent="0.7">
      <c r="A289" s="78"/>
      <c r="B289" s="93"/>
      <c r="C289" s="44" t="s">
        <v>0</v>
      </c>
      <c r="D289" s="17"/>
      <c r="E289" s="18"/>
      <c r="F289" s="18"/>
      <c r="G289" s="18"/>
      <c r="H289" s="18"/>
      <c r="I289" s="18"/>
      <c r="J289" s="66"/>
      <c r="K289" s="66"/>
      <c r="L289" s="66"/>
      <c r="M289" s="66"/>
      <c r="N289" s="66"/>
      <c r="O289" s="66"/>
      <c r="P289" s="66"/>
      <c r="Q289" s="72"/>
      <c r="R289" s="66"/>
      <c r="S289" s="66"/>
      <c r="T289" s="66"/>
      <c r="U289" s="66"/>
      <c r="V289" s="66"/>
      <c r="W289" s="12"/>
    </row>
    <row r="290" spans="1:23" s="7" customFormat="1" ht="91.5" x14ac:dyDescent="0.7">
      <c r="A290" s="78"/>
      <c r="B290" s="93"/>
      <c r="C290" s="44" t="s">
        <v>1</v>
      </c>
      <c r="D290" s="17">
        <f>SUM(E290:H290)</f>
        <v>291714.30046</v>
      </c>
      <c r="E290" s="18">
        <f>14632.409+8101.6+51000+10228.05252+3235.44334+16863.76823+13149.47069+2558.80569-855.33574-6846.46274-1164.53953</f>
        <v>110903.21145999999</v>
      </c>
      <c r="F290" s="18">
        <v>180811.08900000001</v>
      </c>
      <c r="G290" s="18"/>
      <c r="H290" s="18"/>
      <c r="I290" s="18"/>
      <c r="J290" s="66"/>
      <c r="K290" s="66"/>
      <c r="L290" s="66"/>
      <c r="M290" s="66"/>
      <c r="N290" s="66"/>
      <c r="O290" s="66"/>
      <c r="P290" s="66"/>
      <c r="Q290" s="72"/>
      <c r="R290" s="66"/>
      <c r="S290" s="66"/>
      <c r="T290" s="66"/>
      <c r="U290" s="66"/>
      <c r="V290" s="66"/>
      <c r="W290" s="12"/>
    </row>
    <row r="291" spans="1:23" s="7" customFormat="1" ht="98.25" customHeight="1" x14ac:dyDescent="0.7">
      <c r="A291" s="78"/>
      <c r="B291" s="93"/>
      <c r="C291" s="44" t="s">
        <v>2</v>
      </c>
      <c r="D291" s="17">
        <f>SUM(E291:H291)</f>
        <v>3382.5491114141414</v>
      </c>
      <c r="E291" s="18">
        <v>1051.1239700000001</v>
      </c>
      <c r="F291" s="18">
        <v>2331.4251414141413</v>
      </c>
      <c r="G291" s="18"/>
      <c r="H291" s="18"/>
      <c r="I291" s="18"/>
      <c r="J291" s="66"/>
      <c r="K291" s="66"/>
      <c r="L291" s="66"/>
      <c r="M291" s="66"/>
      <c r="N291" s="66"/>
      <c r="O291" s="66"/>
      <c r="P291" s="66"/>
      <c r="Q291" s="72"/>
      <c r="R291" s="66"/>
      <c r="S291" s="66"/>
      <c r="T291" s="66"/>
      <c r="U291" s="66"/>
      <c r="V291" s="66"/>
      <c r="W291" s="12"/>
    </row>
    <row r="292" spans="1:23" s="7" customFormat="1" ht="91.5" x14ac:dyDescent="0.7">
      <c r="A292" s="79"/>
      <c r="B292" s="94"/>
      <c r="C292" s="44" t="s">
        <v>3</v>
      </c>
      <c r="D292" s="17"/>
      <c r="E292" s="18"/>
      <c r="F292" s="18"/>
      <c r="G292" s="18"/>
      <c r="H292" s="18"/>
      <c r="I292" s="18"/>
      <c r="J292" s="67"/>
      <c r="K292" s="67"/>
      <c r="L292" s="67"/>
      <c r="M292" s="67"/>
      <c r="N292" s="67"/>
      <c r="O292" s="67"/>
      <c r="P292" s="67"/>
      <c r="Q292" s="73"/>
      <c r="R292" s="67"/>
      <c r="S292" s="67"/>
      <c r="T292" s="67"/>
      <c r="U292" s="67"/>
      <c r="V292" s="67"/>
      <c r="W292" s="12"/>
    </row>
    <row r="293" spans="1:23" s="7" customFormat="1" x14ac:dyDescent="0.7">
      <c r="A293" s="74" t="s">
        <v>16</v>
      </c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6"/>
      <c r="W293" s="12"/>
    </row>
    <row r="294" spans="1:23" s="7" customFormat="1" x14ac:dyDescent="0.7">
      <c r="A294" s="77"/>
      <c r="B294" s="89" t="s">
        <v>233</v>
      </c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1"/>
      <c r="W294" s="12"/>
    </row>
    <row r="295" spans="1:23" s="7" customFormat="1" ht="69" customHeight="1" x14ac:dyDescent="0.7">
      <c r="A295" s="78"/>
      <c r="B295" s="92" t="s">
        <v>49</v>
      </c>
      <c r="C295" s="86" t="s">
        <v>127</v>
      </c>
      <c r="D295" s="87"/>
      <c r="E295" s="87"/>
      <c r="F295" s="87"/>
      <c r="G295" s="87"/>
      <c r="H295" s="88"/>
      <c r="I295" s="45"/>
      <c r="J295" s="65" t="s">
        <v>73</v>
      </c>
      <c r="K295" s="65"/>
      <c r="L295" s="65" t="s">
        <v>89</v>
      </c>
      <c r="M295" s="65" t="s">
        <v>91</v>
      </c>
      <c r="N295" s="65" t="s">
        <v>67</v>
      </c>
      <c r="O295" s="65" t="s">
        <v>16</v>
      </c>
      <c r="P295" s="65" t="s">
        <v>67</v>
      </c>
      <c r="Q295" s="71" t="s">
        <v>108</v>
      </c>
      <c r="R295" s="65" t="s">
        <v>9</v>
      </c>
      <c r="S295" s="65" t="s">
        <v>14</v>
      </c>
      <c r="T295" s="65" t="s">
        <v>7</v>
      </c>
      <c r="U295" s="65"/>
      <c r="V295" s="65" t="s">
        <v>97</v>
      </c>
      <c r="W295" s="12"/>
    </row>
    <row r="296" spans="1:23" s="7" customFormat="1" x14ac:dyDescent="0.7">
      <c r="A296" s="78"/>
      <c r="B296" s="93"/>
      <c r="C296" s="44" t="s">
        <v>5</v>
      </c>
      <c r="D296" s="17">
        <f>SUM(D297:D300)</f>
        <v>21776.283676767678</v>
      </c>
      <c r="E296" s="17">
        <f>SUM(E297:E300)</f>
        <v>21776.283676767678</v>
      </c>
      <c r="F296" s="18"/>
      <c r="G296" s="18"/>
      <c r="H296" s="18"/>
      <c r="I296" s="18"/>
      <c r="J296" s="66"/>
      <c r="K296" s="66"/>
      <c r="L296" s="66"/>
      <c r="M296" s="66"/>
      <c r="N296" s="66"/>
      <c r="O296" s="66"/>
      <c r="P296" s="66"/>
      <c r="Q296" s="72"/>
      <c r="R296" s="66"/>
      <c r="S296" s="66"/>
      <c r="T296" s="66"/>
      <c r="U296" s="66"/>
      <c r="V296" s="66"/>
      <c r="W296" s="12"/>
    </row>
    <row r="297" spans="1:23" s="7" customFormat="1" ht="91.5" x14ac:dyDescent="0.7">
      <c r="A297" s="78"/>
      <c r="B297" s="93"/>
      <c r="C297" s="44" t="s">
        <v>0</v>
      </c>
      <c r="D297" s="17"/>
      <c r="E297" s="18"/>
      <c r="F297" s="18"/>
      <c r="G297" s="18"/>
      <c r="H297" s="18"/>
      <c r="I297" s="18"/>
      <c r="J297" s="66"/>
      <c r="K297" s="66"/>
      <c r="L297" s="66"/>
      <c r="M297" s="66"/>
      <c r="N297" s="66"/>
      <c r="O297" s="66"/>
      <c r="P297" s="66"/>
      <c r="Q297" s="72"/>
      <c r="R297" s="66"/>
      <c r="S297" s="66"/>
      <c r="T297" s="66"/>
      <c r="U297" s="66"/>
      <c r="V297" s="66"/>
      <c r="W297" s="12"/>
    </row>
    <row r="298" spans="1:23" s="7" customFormat="1" ht="91.5" x14ac:dyDescent="0.7">
      <c r="A298" s="78"/>
      <c r="B298" s="93"/>
      <c r="C298" s="44" t="s">
        <v>1</v>
      </c>
      <c r="D298" s="17">
        <f>SUM(E298:H298)</f>
        <v>21558.520840000001</v>
      </c>
      <c r="E298" s="18">
        <f>21263.15-2000+2300-4.62916</f>
        <v>21558.520840000001</v>
      </c>
      <c r="F298" s="18"/>
      <c r="G298" s="18"/>
      <c r="H298" s="18"/>
      <c r="I298" s="18"/>
      <c r="J298" s="66"/>
      <c r="K298" s="66"/>
      <c r="L298" s="66"/>
      <c r="M298" s="66"/>
      <c r="N298" s="66"/>
      <c r="O298" s="66"/>
      <c r="P298" s="66"/>
      <c r="Q298" s="72"/>
      <c r="R298" s="66"/>
      <c r="S298" s="66"/>
      <c r="T298" s="66"/>
      <c r="U298" s="66"/>
      <c r="V298" s="66"/>
      <c r="W298" s="12"/>
    </row>
    <row r="299" spans="1:23" s="7" customFormat="1" ht="90.75" customHeight="1" x14ac:dyDescent="0.7">
      <c r="A299" s="78"/>
      <c r="B299" s="93"/>
      <c r="C299" s="44" t="s">
        <v>2</v>
      </c>
      <c r="D299" s="17">
        <f>SUM(E299:H299)</f>
        <v>217.76283676767679</v>
      </c>
      <c r="E299" s="18">
        <v>217.76283676767679</v>
      </c>
      <c r="F299" s="18"/>
      <c r="G299" s="18"/>
      <c r="H299" s="18"/>
      <c r="I299" s="18"/>
      <c r="J299" s="66"/>
      <c r="K299" s="66"/>
      <c r="L299" s="66"/>
      <c r="M299" s="66"/>
      <c r="N299" s="66"/>
      <c r="O299" s="66"/>
      <c r="P299" s="66"/>
      <c r="Q299" s="72"/>
      <c r="R299" s="66"/>
      <c r="S299" s="66"/>
      <c r="T299" s="66"/>
      <c r="U299" s="66"/>
      <c r="V299" s="66"/>
      <c r="W299" s="12"/>
    </row>
    <row r="300" spans="1:23" s="7" customFormat="1" ht="91.5" x14ac:dyDescent="0.7">
      <c r="A300" s="79"/>
      <c r="B300" s="94"/>
      <c r="C300" s="44" t="s">
        <v>3</v>
      </c>
      <c r="D300" s="17"/>
      <c r="E300" s="18"/>
      <c r="F300" s="18"/>
      <c r="G300" s="18"/>
      <c r="H300" s="18"/>
      <c r="I300" s="18"/>
      <c r="J300" s="67"/>
      <c r="K300" s="67"/>
      <c r="L300" s="67"/>
      <c r="M300" s="67"/>
      <c r="N300" s="67"/>
      <c r="O300" s="67"/>
      <c r="P300" s="67"/>
      <c r="Q300" s="73"/>
      <c r="R300" s="67"/>
      <c r="S300" s="67"/>
      <c r="T300" s="67"/>
      <c r="U300" s="67"/>
      <c r="V300" s="67"/>
      <c r="W300" s="12"/>
    </row>
    <row r="301" spans="1:23" s="7" customFormat="1" x14ac:dyDescent="0.7">
      <c r="A301" s="74" t="s">
        <v>16</v>
      </c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6"/>
      <c r="W301" s="12"/>
    </row>
    <row r="302" spans="1:23" s="7" customFormat="1" ht="53.25" customHeight="1" x14ac:dyDescent="0.7">
      <c r="A302" s="77"/>
      <c r="B302" s="80" t="s">
        <v>234</v>
      </c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2"/>
      <c r="W302" s="12"/>
    </row>
    <row r="303" spans="1:23" s="7" customFormat="1" ht="120.75" customHeight="1" x14ac:dyDescent="0.7">
      <c r="A303" s="78"/>
      <c r="B303" s="83" t="s">
        <v>50</v>
      </c>
      <c r="C303" s="95" t="s">
        <v>134</v>
      </c>
      <c r="D303" s="96"/>
      <c r="E303" s="96"/>
      <c r="F303" s="96"/>
      <c r="G303" s="96"/>
      <c r="H303" s="97"/>
      <c r="I303" s="29"/>
      <c r="J303" s="65" t="s">
        <v>73</v>
      </c>
      <c r="K303" s="68"/>
      <c r="L303" s="68" t="s">
        <v>87</v>
      </c>
      <c r="M303" s="68" t="s">
        <v>64</v>
      </c>
      <c r="N303" s="68" t="s">
        <v>179</v>
      </c>
      <c r="O303" s="68" t="s">
        <v>16</v>
      </c>
      <c r="P303" s="68" t="s">
        <v>179</v>
      </c>
      <c r="Q303" s="71" t="s">
        <v>98</v>
      </c>
      <c r="R303" s="68" t="s">
        <v>11</v>
      </c>
      <c r="S303" s="68" t="s">
        <v>10</v>
      </c>
      <c r="T303" s="65" t="s">
        <v>7</v>
      </c>
      <c r="U303" s="68"/>
      <c r="V303" s="68" t="s">
        <v>99</v>
      </c>
      <c r="W303" s="12"/>
    </row>
    <row r="304" spans="1:23" s="7" customFormat="1" x14ac:dyDescent="0.7">
      <c r="A304" s="78"/>
      <c r="B304" s="84"/>
      <c r="C304" s="32" t="s">
        <v>5</v>
      </c>
      <c r="D304" s="19">
        <f>SUM(D305:D308)</f>
        <v>6780.0355399999999</v>
      </c>
      <c r="E304" s="13">
        <f>SUM(E305:E308)</f>
        <v>6780.0355399999999</v>
      </c>
      <c r="F304" s="13"/>
      <c r="G304" s="13"/>
      <c r="H304" s="13"/>
      <c r="I304" s="13"/>
      <c r="J304" s="66"/>
      <c r="K304" s="69"/>
      <c r="L304" s="69"/>
      <c r="M304" s="69"/>
      <c r="N304" s="69"/>
      <c r="O304" s="69"/>
      <c r="P304" s="69"/>
      <c r="Q304" s="72"/>
      <c r="R304" s="69"/>
      <c r="S304" s="69"/>
      <c r="T304" s="66"/>
      <c r="U304" s="69"/>
      <c r="V304" s="69"/>
      <c r="W304" s="12"/>
    </row>
    <row r="305" spans="1:23" s="7" customFormat="1" ht="91.5" x14ac:dyDescent="0.7">
      <c r="A305" s="78"/>
      <c r="B305" s="84"/>
      <c r="C305" s="32" t="s">
        <v>0</v>
      </c>
      <c r="D305" s="19"/>
      <c r="E305" s="18"/>
      <c r="F305" s="13"/>
      <c r="G305" s="13"/>
      <c r="H305" s="13"/>
      <c r="I305" s="13"/>
      <c r="J305" s="66"/>
      <c r="K305" s="69"/>
      <c r="L305" s="69"/>
      <c r="M305" s="69"/>
      <c r="N305" s="69"/>
      <c r="O305" s="69"/>
      <c r="P305" s="69"/>
      <c r="Q305" s="72"/>
      <c r="R305" s="69"/>
      <c r="S305" s="69"/>
      <c r="T305" s="66"/>
      <c r="U305" s="69"/>
      <c r="V305" s="69"/>
      <c r="W305" s="12"/>
    </row>
    <row r="306" spans="1:23" s="7" customFormat="1" ht="91.5" x14ac:dyDescent="0.7">
      <c r="A306" s="78"/>
      <c r="B306" s="84"/>
      <c r="C306" s="32" t="s">
        <v>1</v>
      </c>
      <c r="D306" s="19">
        <f>SUM(E306:H306)</f>
        <v>6780.0355399999999</v>
      </c>
      <c r="E306" s="13">
        <f>9500-2719.96446</f>
        <v>6780.0355399999999</v>
      </c>
      <c r="F306" s="13"/>
      <c r="G306" s="13"/>
      <c r="H306" s="13"/>
      <c r="I306" s="13"/>
      <c r="J306" s="66"/>
      <c r="K306" s="69"/>
      <c r="L306" s="69"/>
      <c r="M306" s="69"/>
      <c r="N306" s="69"/>
      <c r="O306" s="69"/>
      <c r="P306" s="69"/>
      <c r="Q306" s="72"/>
      <c r="R306" s="69"/>
      <c r="S306" s="69"/>
      <c r="T306" s="66"/>
      <c r="U306" s="69"/>
      <c r="V306" s="69"/>
      <c r="W306" s="12"/>
    </row>
    <row r="307" spans="1:23" s="7" customFormat="1" ht="94.5" customHeight="1" x14ac:dyDescent="0.7">
      <c r="A307" s="78"/>
      <c r="B307" s="84"/>
      <c r="C307" s="32" t="s">
        <v>2</v>
      </c>
      <c r="D307" s="19"/>
      <c r="E307" s="13"/>
      <c r="F307" s="13"/>
      <c r="G307" s="13"/>
      <c r="H307" s="13"/>
      <c r="I307" s="13"/>
      <c r="J307" s="66"/>
      <c r="K307" s="69"/>
      <c r="L307" s="69"/>
      <c r="M307" s="69"/>
      <c r="N307" s="69"/>
      <c r="O307" s="69"/>
      <c r="P307" s="69"/>
      <c r="Q307" s="72"/>
      <c r="R307" s="69"/>
      <c r="S307" s="69"/>
      <c r="T307" s="66"/>
      <c r="U307" s="69"/>
      <c r="V307" s="69"/>
      <c r="W307" s="12"/>
    </row>
    <row r="308" spans="1:23" s="7" customFormat="1" ht="91.5" x14ac:dyDescent="0.7">
      <c r="A308" s="79"/>
      <c r="B308" s="85"/>
      <c r="C308" s="32" t="s">
        <v>3</v>
      </c>
      <c r="D308" s="19"/>
      <c r="E308" s="13"/>
      <c r="F308" s="13"/>
      <c r="G308" s="13"/>
      <c r="H308" s="13"/>
      <c r="I308" s="13"/>
      <c r="J308" s="67"/>
      <c r="K308" s="70"/>
      <c r="L308" s="70"/>
      <c r="M308" s="70"/>
      <c r="N308" s="70"/>
      <c r="O308" s="70"/>
      <c r="P308" s="70"/>
      <c r="Q308" s="73"/>
      <c r="R308" s="70"/>
      <c r="S308" s="70"/>
      <c r="T308" s="67"/>
      <c r="U308" s="70"/>
      <c r="V308" s="70"/>
      <c r="W308" s="12"/>
    </row>
    <row r="309" spans="1:23" s="7" customFormat="1" ht="45.75" customHeight="1" x14ac:dyDescent="0.7">
      <c r="A309" s="74" t="s">
        <v>16</v>
      </c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6"/>
      <c r="W309" s="12"/>
    </row>
    <row r="310" spans="1:23" s="7" customFormat="1" ht="45.75" customHeight="1" x14ac:dyDescent="0.7">
      <c r="A310" s="77"/>
      <c r="B310" s="89" t="s">
        <v>234</v>
      </c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1"/>
      <c r="W310" s="12"/>
    </row>
    <row r="311" spans="1:23" s="7" customFormat="1" ht="65.25" customHeight="1" x14ac:dyDescent="0.7">
      <c r="A311" s="78"/>
      <c r="B311" s="92" t="s">
        <v>51</v>
      </c>
      <c r="C311" s="86" t="s">
        <v>178</v>
      </c>
      <c r="D311" s="87"/>
      <c r="E311" s="87"/>
      <c r="F311" s="87"/>
      <c r="G311" s="87"/>
      <c r="H311" s="88"/>
      <c r="I311" s="45"/>
      <c r="J311" s="65" t="s">
        <v>235</v>
      </c>
      <c r="K311" s="65"/>
      <c r="L311" s="65" t="s">
        <v>87</v>
      </c>
      <c r="M311" s="65" t="s">
        <v>163</v>
      </c>
      <c r="N311" s="65" t="s">
        <v>179</v>
      </c>
      <c r="O311" s="65" t="s">
        <v>16</v>
      </c>
      <c r="P311" s="65" t="s">
        <v>179</v>
      </c>
      <c r="Q311" s="71" t="s">
        <v>160</v>
      </c>
      <c r="R311" s="65" t="s">
        <v>11</v>
      </c>
      <c r="S311" s="65" t="s">
        <v>12</v>
      </c>
      <c r="T311" s="65" t="s">
        <v>7</v>
      </c>
      <c r="U311" s="65"/>
      <c r="V311" s="65" t="s">
        <v>236</v>
      </c>
      <c r="W311" s="12"/>
    </row>
    <row r="312" spans="1:23" s="7" customFormat="1" x14ac:dyDescent="0.7">
      <c r="A312" s="78"/>
      <c r="B312" s="93"/>
      <c r="C312" s="44" t="s">
        <v>5</v>
      </c>
      <c r="D312" s="17">
        <f>SUM(D313:D316)</f>
        <v>824351.95457000006</v>
      </c>
      <c r="E312" s="18">
        <f>SUM(E313:E316)</f>
        <v>349069.79457000003</v>
      </c>
      <c r="F312" s="18">
        <f>SUM(F313:F316)</f>
        <v>119999</v>
      </c>
      <c r="G312" s="18">
        <f>SUM(G313:G316)</f>
        <v>219993.16</v>
      </c>
      <c r="H312" s="18">
        <f>SUM(H313:H316)</f>
        <v>135290</v>
      </c>
      <c r="I312" s="18"/>
      <c r="J312" s="66"/>
      <c r="K312" s="66"/>
      <c r="L312" s="66"/>
      <c r="M312" s="66"/>
      <c r="N312" s="66"/>
      <c r="O312" s="66"/>
      <c r="P312" s="66"/>
      <c r="Q312" s="72"/>
      <c r="R312" s="66"/>
      <c r="S312" s="66"/>
      <c r="T312" s="66"/>
      <c r="U312" s="66"/>
      <c r="V312" s="66"/>
      <c r="W312" s="12"/>
    </row>
    <row r="313" spans="1:23" s="7" customFormat="1" ht="91.5" x14ac:dyDescent="0.7">
      <c r="A313" s="78"/>
      <c r="B313" s="93"/>
      <c r="C313" s="44" t="s">
        <v>0</v>
      </c>
      <c r="D313" s="17">
        <f>SUM(E313:H313)</f>
        <v>238819.8</v>
      </c>
      <c r="E313" s="18">
        <v>238819.8</v>
      </c>
      <c r="F313" s="18"/>
      <c r="G313" s="18"/>
      <c r="H313" s="18"/>
      <c r="I313" s="18"/>
      <c r="J313" s="66"/>
      <c r="K313" s="66"/>
      <c r="L313" s="66"/>
      <c r="M313" s="66"/>
      <c r="N313" s="66"/>
      <c r="O313" s="66"/>
      <c r="P313" s="66"/>
      <c r="Q313" s="72"/>
      <c r="R313" s="66"/>
      <c r="S313" s="66"/>
      <c r="T313" s="66"/>
      <c r="U313" s="66"/>
      <c r="V313" s="66"/>
      <c r="W313" s="12"/>
    </row>
    <row r="314" spans="1:23" s="7" customFormat="1" ht="91.5" x14ac:dyDescent="0.7">
      <c r="A314" s="78"/>
      <c r="B314" s="93"/>
      <c r="C314" s="44" t="s">
        <v>1</v>
      </c>
      <c r="D314" s="17">
        <f>SUM(E314:H314)</f>
        <v>585532.15457000001</v>
      </c>
      <c r="E314" s="18">
        <f>129876.12-25104.67442+6300+2247.57+5930.97899-9000</f>
        <v>110249.99457000001</v>
      </c>
      <c r="F314" s="18">
        <v>119999</v>
      </c>
      <c r="G314" s="18">
        <v>219993.16</v>
      </c>
      <c r="H314" s="18">
        <v>135290</v>
      </c>
      <c r="I314" s="18"/>
      <c r="J314" s="66"/>
      <c r="K314" s="66"/>
      <c r="L314" s="66"/>
      <c r="M314" s="66"/>
      <c r="N314" s="66"/>
      <c r="O314" s="66"/>
      <c r="P314" s="66"/>
      <c r="Q314" s="72"/>
      <c r="R314" s="66"/>
      <c r="S314" s="66"/>
      <c r="T314" s="66"/>
      <c r="U314" s="66"/>
      <c r="V314" s="66"/>
      <c r="W314" s="12"/>
    </row>
    <row r="315" spans="1:23" s="7" customFormat="1" ht="91.5" customHeight="1" x14ac:dyDescent="0.7">
      <c r="A315" s="78"/>
      <c r="B315" s="93"/>
      <c r="C315" s="44" t="s">
        <v>2</v>
      </c>
      <c r="D315" s="17"/>
      <c r="E315" s="18"/>
      <c r="F315" s="18"/>
      <c r="G315" s="18"/>
      <c r="H315" s="18"/>
      <c r="I315" s="18"/>
      <c r="J315" s="66"/>
      <c r="K315" s="66"/>
      <c r="L315" s="66"/>
      <c r="M315" s="66"/>
      <c r="N315" s="66"/>
      <c r="O315" s="66"/>
      <c r="P315" s="66"/>
      <c r="Q315" s="72"/>
      <c r="R315" s="66"/>
      <c r="S315" s="66"/>
      <c r="T315" s="66"/>
      <c r="U315" s="66"/>
      <c r="V315" s="66"/>
      <c r="W315" s="12"/>
    </row>
    <row r="316" spans="1:23" s="7" customFormat="1" ht="91.5" x14ac:dyDescent="0.7">
      <c r="A316" s="79"/>
      <c r="B316" s="94"/>
      <c r="C316" s="44" t="s">
        <v>3</v>
      </c>
      <c r="D316" s="17"/>
      <c r="E316" s="18"/>
      <c r="F316" s="18"/>
      <c r="G316" s="18"/>
      <c r="H316" s="18"/>
      <c r="I316" s="18"/>
      <c r="J316" s="67"/>
      <c r="K316" s="67"/>
      <c r="L316" s="67"/>
      <c r="M316" s="67"/>
      <c r="N316" s="67"/>
      <c r="O316" s="67"/>
      <c r="P316" s="67"/>
      <c r="Q316" s="73"/>
      <c r="R316" s="67"/>
      <c r="S316" s="67"/>
      <c r="T316" s="67"/>
      <c r="U316" s="67"/>
      <c r="V316" s="67"/>
      <c r="W316" s="12"/>
    </row>
    <row r="317" spans="1:23" s="7" customFormat="1" x14ac:dyDescent="0.7">
      <c r="A317" s="74" t="s">
        <v>16</v>
      </c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6"/>
      <c r="W317" s="12"/>
    </row>
    <row r="318" spans="1:23" s="7" customFormat="1" x14ac:dyDescent="0.7">
      <c r="A318" s="77"/>
      <c r="B318" s="80" t="s">
        <v>234</v>
      </c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2"/>
      <c r="W318" s="12"/>
    </row>
    <row r="319" spans="1:23" s="7" customFormat="1" ht="99" customHeight="1" x14ac:dyDescent="0.7">
      <c r="A319" s="78"/>
      <c r="B319" s="83" t="s">
        <v>52</v>
      </c>
      <c r="C319" s="95" t="s">
        <v>485</v>
      </c>
      <c r="D319" s="96"/>
      <c r="E319" s="96"/>
      <c r="F319" s="96"/>
      <c r="G319" s="96"/>
      <c r="H319" s="97"/>
      <c r="I319" s="29"/>
      <c r="J319" s="65"/>
      <c r="K319" s="68" t="s">
        <v>73</v>
      </c>
      <c r="L319" s="68" t="s">
        <v>87</v>
      </c>
      <c r="M319" s="68" t="s">
        <v>163</v>
      </c>
      <c r="N319" s="65" t="s">
        <v>16</v>
      </c>
      <c r="O319" s="68" t="s">
        <v>16</v>
      </c>
      <c r="P319" s="65" t="s">
        <v>16</v>
      </c>
      <c r="Q319" s="71" t="s">
        <v>160</v>
      </c>
      <c r="R319" s="65" t="s">
        <v>11</v>
      </c>
      <c r="S319" s="65" t="s">
        <v>12</v>
      </c>
      <c r="T319" s="65" t="s">
        <v>398</v>
      </c>
      <c r="U319" s="65"/>
      <c r="V319" s="65" t="s">
        <v>236</v>
      </c>
      <c r="W319" s="12"/>
    </row>
    <row r="320" spans="1:23" s="7" customFormat="1" x14ac:dyDescent="0.7">
      <c r="A320" s="78"/>
      <c r="B320" s="84"/>
      <c r="C320" s="32" t="s">
        <v>5</v>
      </c>
      <c r="D320" s="19">
        <f>SUM(D321:D324)</f>
        <v>5323.2500099999997</v>
      </c>
      <c r="E320" s="13">
        <f>SUM(E321:E324)</f>
        <v>5323.2500099999997</v>
      </c>
      <c r="F320" s="13"/>
      <c r="G320" s="13"/>
      <c r="H320" s="13"/>
      <c r="I320" s="13"/>
      <c r="J320" s="66"/>
      <c r="K320" s="69"/>
      <c r="L320" s="69"/>
      <c r="M320" s="69"/>
      <c r="N320" s="66"/>
      <c r="O320" s="69"/>
      <c r="P320" s="66"/>
      <c r="Q320" s="72"/>
      <c r="R320" s="66"/>
      <c r="S320" s="66"/>
      <c r="T320" s="66"/>
      <c r="U320" s="66"/>
      <c r="V320" s="66"/>
      <c r="W320" s="12"/>
    </row>
    <row r="321" spans="1:23" s="7" customFormat="1" ht="91.5" x14ac:dyDescent="0.7">
      <c r="A321" s="78"/>
      <c r="B321" s="84"/>
      <c r="C321" s="32" t="s">
        <v>0</v>
      </c>
      <c r="D321" s="19"/>
      <c r="E321" s="18"/>
      <c r="F321" s="18"/>
      <c r="G321" s="18"/>
      <c r="H321" s="13"/>
      <c r="I321" s="13"/>
      <c r="J321" s="66"/>
      <c r="K321" s="69"/>
      <c r="L321" s="69"/>
      <c r="M321" s="69"/>
      <c r="N321" s="66"/>
      <c r="O321" s="69"/>
      <c r="P321" s="66"/>
      <c r="Q321" s="72"/>
      <c r="R321" s="66"/>
      <c r="S321" s="66"/>
      <c r="T321" s="66"/>
      <c r="U321" s="66"/>
      <c r="V321" s="66"/>
      <c r="W321" s="12"/>
    </row>
    <row r="322" spans="1:23" s="7" customFormat="1" ht="91.5" x14ac:dyDescent="0.7">
      <c r="A322" s="78"/>
      <c r="B322" s="84"/>
      <c r="C322" s="32" t="s">
        <v>1</v>
      </c>
      <c r="D322" s="19">
        <f>SUM(E322:H322)</f>
        <v>5323.2500099999997</v>
      </c>
      <c r="E322" s="18">
        <f>5350.00001-26.75</f>
        <v>5323.2500099999997</v>
      </c>
      <c r="F322" s="18"/>
      <c r="G322" s="18"/>
      <c r="H322" s="13"/>
      <c r="I322" s="13"/>
      <c r="J322" s="66"/>
      <c r="K322" s="69"/>
      <c r="L322" s="69"/>
      <c r="M322" s="69"/>
      <c r="N322" s="66"/>
      <c r="O322" s="69"/>
      <c r="P322" s="66"/>
      <c r="Q322" s="72"/>
      <c r="R322" s="66"/>
      <c r="S322" s="66"/>
      <c r="T322" s="66"/>
      <c r="U322" s="66"/>
      <c r="V322" s="66"/>
      <c r="W322" s="12"/>
    </row>
    <row r="323" spans="1:23" s="7" customFormat="1" ht="104.25" customHeight="1" x14ac:dyDescent="0.7">
      <c r="A323" s="78"/>
      <c r="B323" s="84"/>
      <c r="C323" s="32" t="s">
        <v>2</v>
      </c>
      <c r="D323" s="19"/>
      <c r="E323" s="13"/>
      <c r="F323" s="13"/>
      <c r="G323" s="13"/>
      <c r="H323" s="13"/>
      <c r="I323" s="13"/>
      <c r="J323" s="66"/>
      <c r="K323" s="69"/>
      <c r="L323" s="69"/>
      <c r="M323" s="69"/>
      <c r="N323" s="66"/>
      <c r="O323" s="69"/>
      <c r="P323" s="66"/>
      <c r="Q323" s="72"/>
      <c r="R323" s="66"/>
      <c r="S323" s="66"/>
      <c r="T323" s="66"/>
      <c r="U323" s="66"/>
      <c r="V323" s="66"/>
      <c r="W323" s="12"/>
    </row>
    <row r="324" spans="1:23" s="7" customFormat="1" ht="91.5" x14ac:dyDescent="0.7">
      <c r="A324" s="79"/>
      <c r="B324" s="85"/>
      <c r="C324" s="32" t="s">
        <v>3</v>
      </c>
      <c r="D324" s="19"/>
      <c r="E324" s="13"/>
      <c r="F324" s="13"/>
      <c r="G324" s="13"/>
      <c r="H324" s="13"/>
      <c r="I324" s="13"/>
      <c r="J324" s="67"/>
      <c r="K324" s="70"/>
      <c r="L324" s="70"/>
      <c r="M324" s="70"/>
      <c r="N324" s="67"/>
      <c r="O324" s="70"/>
      <c r="P324" s="67"/>
      <c r="Q324" s="73"/>
      <c r="R324" s="67"/>
      <c r="S324" s="67"/>
      <c r="T324" s="67"/>
      <c r="U324" s="67"/>
      <c r="V324" s="67"/>
      <c r="W324" s="12"/>
    </row>
    <row r="325" spans="1:23" s="7" customFormat="1" ht="45.75" customHeight="1" x14ac:dyDescent="0.7">
      <c r="A325" s="74" t="s">
        <v>16</v>
      </c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6"/>
      <c r="W325" s="12"/>
    </row>
    <row r="326" spans="1:23" s="7" customFormat="1" ht="56.25" customHeight="1" x14ac:dyDescent="0.7">
      <c r="A326" s="77"/>
      <c r="B326" s="89" t="s">
        <v>687</v>
      </c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1"/>
      <c r="W326" s="12"/>
    </row>
    <row r="327" spans="1:23" s="7" customFormat="1" ht="61.5" customHeight="1" x14ac:dyDescent="0.7">
      <c r="A327" s="78"/>
      <c r="B327" s="92" t="s">
        <v>372</v>
      </c>
      <c r="C327" s="86" t="s">
        <v>128</v>
      </c>
      <c r="D327" s="87"/>
      <c r="E327" s="87"/>
      <c r="F327" s="87"/>
      <c r="G327" s="87"/>
      <c r="H327" s="88"/>
      <c r="I327" s="45"/>
      <c r="J327" s="65" t="s">
        <v>157</v>
      </c>
      <c r="K327" s="65"/>
      <c r="L327" s="65" t="s">
        <v>89</v>
      </c>
      <c r="M327" s="65"/>
      <c r="N327" s="65" t="s">
        <v>66</v>
      </c>
      <c r="O327" s="65" t="s">
        <v>66</v>
      </c>
      <c r="P327" s="65" t="s">
        <v>66</v>
      </c>
      <c r="Q327" s="71" t="s">
        <v>129</v>
      </c>
      <c r="R327" s="65" t="s">
        <v>9</v>
      </c>
      <c r="S327" s="65" t="s">
        <v>10</v>
      </c>
      <c r="T327" s="65" t="s">
        <v>7</v>
      </c>
      <c r="U327" s="65" t="s">
        <v>130</v>
      </c>
      <c r="V327" s="65" t="s">
        <v>131</v>
      </c>
      <c r="W327" s="12"/>
    </row>
    <row r="328" spans="1:23" s="7" customFormat="1" x14ac:dyDescent="0.7">
      <c r="A328" s="78"/>
      <c r="B328" s="93"/>
      <c r="C328" s="44" t="s">
        <v>5</v>
      </c>
      <c r="D328" s="17">
        <f>SUM(D329:D332)</f>
        <v>5128.225910000001</v>
      </c>
      <c r="E328" s="18">
        <f t="shared" ref="E328" si="39">SUM(E329:E332)</f>
        <v>5128.225910000001</v>
      </c>
      <c r="F328" s="18"/>
      <c r="G328" s="18"/>
      <c r="H328" s="18"/>
      <c r="I328" s="18"/>
      <c r="J328" s="66"/>
      <c r="K328" s="66"/>
      <c r="L328" s="66"/>
      <c r="M328" s="66"/>
      <c r="N328" s="66"/>
      <c r="O328" s="66"/>
      <c r="P328" s="66"/>
      <c r="Q328" s="72"/>
      <c r="R328" s="66"/>
      <c r="S328" s="66"/>
      <c r="T328" s="66"/>
      <c r="U328" s="66"/>
      <c r="V328" s="66"/>
      <c r="W328" s="12"/>
    </row>
    <row r="329" spans="1:23" s="7" customFormat="1" ht="91.5" x14ac:dyDescent="0.7">
      <c r="A329" s="78"/>
      <c r="B329" s="93"/>
      <c r="C329" s="44" t="s">
        <v>0</v>
      </c>
      <c r="D329" s="17"/>
      <c r="E329" s="18"/>
      <c r="F329" s="18"/>
      <c r="G329" s="18"/>
      <c r="H329" s="18"/>
      <c r="I329" s="18"/>
      <c r="J329" s="66"/>
      <c r="K329" s="66"/>
      <c r="L329" s="66"/>
      <c r="M329" s="66"/>
      <c r="N329" s="66"/>
      <c r="O329" s="66"/>
      <c r="P329" s="66"/>
      <c r="Q329" s="72"/>
      <c r="R329" s="66"/>
      <c r="S329" s="66"/>
      <c r="T329" s="66"/>
      <c r="U329" s="66"/>
      <c r="V329" s="66"/>
      <c r="W329" s="12"/>
    </row>
    <row r="330" spans="1:23" s="7" customFormat="1" ht="91.5" x14ac:dyDescent="0.7">
      <c r="A330" s="78"/>
      <c r="B330" s="93"/>
      <c r="C330" s="44" t="s">
        <v>1</v>
      </c>
      <c r="D330" s="17">
        <f>SUM(E330:H330)</f>
        <v>5076.9436500000011</v>
      </c>
      <c r="E330" s="18">
        <f>106757.17-58906.99997-4228-21416-8500-8629.22638</f>
        <v>5076.9436500000011</v>
      </c>
      <c r="F330" s="18"/>
      <c r="G330" s="18"/>
      <c r="H330" s="18"/>
      <c r="I330" s="18"/>
      <c r="J330" s="66"/>
      <c r="K330" s="66"/>
      <c r="L330" s="66"/>
      <c r="M330" s="66"/>
      <c r="N330" s="66"/>
      <c r="O330" s="66"/>
      <c r="P330" s="66"/>
      <c r="Q330" s="72"/>
      <c r="R330" s="66"/>
      <c r="S330" s="66"/>
      <c r="T330" s="66"/>
      <c r="U330" s="66"/>
      <c r="V330" s="66"/>
      <c r="W330" s="12"/>
    </row>
    <row r="331" spans="1:23" s="7" customFormat="1" ht="94.5" customHeight="1" x14ac:dyDescent="0.7">
      <c r="A331" s="78"/>
      <c r="B331" s="93"/>
      <c r="C331" s="44" t="s">
        <v>2</v>
      </c>
      <c r="D331" s="17">
        <f>SUM(E331:H331)</f>
        <v>51.282260000000001</v>
      </c>
      <c r="E331" s="18">
        <v>51.282260000000001</v>
      </c>
      <c r="F331" s="18"/>
      <c r="G331" s="18"/>
      <c r="H331" s="18"/>
      <c r="I331" s="18"/>
      <c r="J331" s="66"/>
      <c r="K331" s="66"/>
      <c r="L331" s="66"/>
      <c r="M331" s="66"/>
      <c r="N331" s="66"/>
      <c r="O331" s="66"/>
      <c r="P331" s="66"/>
      <c r="Q331" s="72"/>
      <c r="R331" s="66"/>
      <c r="S331" s="66"/>
      <c r="T331" s="66"/>
      <c r="U331" s="66"/>
      <c r="V331" s="66"/>
      <c r="W331" s="12"/>
    </row>
    <row r="332" spans="1:23" s="7" customFormat="1" ht="91.5" x14ac:dyDescent="0.7">
      <c r="A332" s="79"/>
      <c r="B332" s="94"/>
      <c r="C332" s="44" t="s">
        <v>3</v>
      </c>
      <c r="D332" s="17"/>
      <c r="E332" s="18"/>
      <c r="F332" s="18"/>
      <c r="G332" s="18"/>
      <c r="H332" s="18"/>
      <c r="I332" s="18"/>
      <c r="J332" s="67"/>
      <c r="K332" s="67"/>
      <c r="L332" s="67"/>
      <c r="M332" s="67"/>
      <c r="N332" s="67"/>
      <c r="O332" s="67"/>
      <c r="P332" s="67"/>
      <c r="Q332" s="73"/>
      <c r="R332" s="67"/>
      <c r="S332" s="67"/>
      <c r="T332" s="67"/>
      <c r="U332" s="67"/>
      <c r="V332" s="67"/>
      <c r="W332" s="12"/>
    </row>
    <row r="333" spans="1:23" s="7" customFormat="1" ht="45.75" customHeight="1" x14ac:dyDescent="0.7">
      <c r="A333" s="74" t="s">
        <v>16</v>
      </c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6"/>
      <c r="W333" s="12"/>
    </row>
    <row r="334" spans="1:23" s="7" customFormat="1" x14ac:dyDescent="0.7">
      <c r="A334" s="77"/>
      <c r="B334" s="80" t="s">
        <v>687</v>
      </c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2"/>
      <c r="W334" s="12"/>
    </row>
    <row r="335" spans="1:23" s="7" customFormat="1" x14ac:dyDescent="0.7">
      <c r="A335" s="78"/>
      <c r="B335" s="83" t="s">
        <v>380</v>
      </c>
      <c r="C335" s="86" t="s">
        <v>370</v>
      </c>
      <c r="D335" s="87"/>
      <c r="E335" s="87"/>
      <c r="F335" s="87"/>
      <c r="G335" s="87"/>
      <c r="H335" s="88"/>
      <c r="I335" s="29"/>
      <c r="J335" s="65"/>
      <c r="K335" s="65" t="s">
        <v>73</v>
      </c>
      <c r="L335" s="65" t="s">
        <v>87</v>
      </c>
      <c r="M335" s="65" t="s">
        <v>371</v>
      </c>
      <c r="N335" s="65" t="s">
        <v>179</v>
      </c>
      <c r="O335" s="65" t="s">
        <v>16</v>
      </c>
      <c r="P335" s="68" t="s">
        <v>179</v>
      </c>
      <c r="Q335" s="71" t="s">
        <v>373</v>
      </c>
      <c r="R335" s="65" t="s">
        <v>11</v>
      </c>
      <c r="S335" s="65" t="s">
        <v>10</v>
      </c>
      <c r="T335" s="65" t="s">
        <v>7</v>
      </c>
      <c r="U335" s="65"/>
      <c r="V335" s="65" t="s">
        <v>374</v>
      </c>
      <c r="W335" s="12"/>
    </row>
    <row r="336" spans="1:23" s="7" customFormat="1" x14ac:dyDescent="0.7">
      <c r="A336" s="78"/>
      <c r="B336" s="84"/>
      <c r="C336" s="44" t="s">
        <v>5</v>
      </c>
      <c r="D336" s="17">
        <f t="shared" ref="D336:E336" si="40">SUM(D337:D340)</f>
        <v>16639.052</v>
      </c>
      <c r="E336" s="18">
        <f t="shared" si="40"/>
        <v>16639.052</v>
      </c>
      <c r="F336" s="18"/>
      <c r="G336" s="18"/>
      <c r="H336" s="18"/>
      <c r="I336" s="13"/>
      <c r="J336" s="66"/>
      <c r="K336" s="66"/>
      <c r="L336" s="66"/>
      <c r="M336" s="66"/>
      <c r="N336" s="66"/>
      <c r="O336" s="66"/>
      <c r="P336" s="69"/>
      <c r="Q336" s="72"/>
      <c r="R336" s="66"/>
      <c r="S336" s="66"/>
      <c r="T336" s="66"/>
      <c r="U336" s="66"/>
      <c r="V336" s="66"/>
      <c r="W336" s="12"/>
    </row>
    <row r="337" spans="1:23" s="7" customFormat="1" ht="91.5" x14ac:dyDescent="0.7">
      <c r="A337" s="78"/>
      <c r="B337" s="84"/>
      <c r="C337" s="44" t="s">
        <v>0</v>
      </c>
      <c r="D337" s="17"/>
      <c r="E337" s="18"/>
      <c r="F337" s="18"/>
      <c r="G337" s="18"/>
      <c r="H337" s="18"/>
      <c r="I337" s="13"/>
      <c r="J337" s="66"/>
      <c r="K337" s="66"/>
      <c r="L337" s="66"/>
      <c r="M337" s="66"/>
      <c r="N337" s="66"/>
      <c r="O337" s="66"/>
      <c r="P337" s="69"/>
      <c r="Q337" s="72"/>
      <c r="R337" s="66"/>
      <c r="S337" s="66"/>
      <c r="T337" s="66"/>
      <c r="U337" s="66"/>
      <c r="V337" s="66"/>
      <c r="W337" s="12"/>
    </row>
    <row r="338" spans="1:23" s="7" customFormat="1" ht="91.5" x14ac:dyDescent="0.7">
      <c r="A338" s="78"/>
      <c r="B338" s="84"/>
      <c r="C338" s="44" t="s">
        <v>1</v>
      </c>
      <c r="D338" s="17">
        <f>SUM(E338:H338)</f>
        <v>16639.052</v>
      </c>
      <c r="E338" s="18">
        <f>16639.052</f>
        <v>16639.052</v>
      </c>
      <c r="F338" s="18"/>
      <c r="G338" s="18"/>
      <c r="H338" s="18"/>
      <c r="I338" s="13"/>
      <c r="J338" s="66"/>
      <c r="K338" s="66"/>
      <c r="L338" s="66"/>
      <c r="M338" s="66"/>
      <c r="N338" s="66"/>
      <c r="O338" s="66"/>
      <c r="P338" s="69"/>
      <c r="Q338" s="72"/>
      <c r="R338" s="66"/>
      <c r="S338" s="66"/>
      <c r="T338" s="66"/>
      <c r="U338" s="66"/>
      <c r="V338" s="66"/>
      <c r="W338" s="12"/>
    </row>
    <row r="339" spans="1:23" s="7" customFormat="1" ht="91.5" customHeight="1" x14ac:dyDescent="0.7">
      <c r="A339" s="78"/>
      <c r="B339" s="84"/>
      <c r="C339" s="32" t="s">
        <v>2</v>
      </c>
      <c r="D339" s="19"/>
      <c r="E339" s="13"/>
      <c r="F339" s="13"/>
      <c r="G339" s="13"/>
      <c r="H339" s="13"/>
      <c r="I339" s="13"/>
      <c r="J339" s="66"/>
      <c r="K339" s="66"/>
      <c r="L339" s="66"/>
      <c r="M339" s="66"/>
      <c r="N339" s="66"/>
      <c r="O339" s="66"/>
      <c r="P339" s="69"/>
      <c r="Q339" s="72"/>
      <c r="R339" s="66"/>
      <c r="S339" s="66"/>
      <c r="T339" s="66"/>
      <c r="U339" s="66"/>
      <c r="V339" s="66"/>
      <c r="W339" s="12"/>
    </row>
    <row r="340" spans="1:23" s="7" customFormat="1" ht="91.5" x14ac:dyDescent="0.7">
      <c r="A340" s="79"/>
      <c r="B340" s="85"/>
      <c r="C340" s="32" t="s">
        <v>3</v>
      </c>
      <c r="D340" s="19"/>
      <c r="E340" s="13"/>
      <c r="F340" s="13"/>
      <c r="G340" s="13"/>
      <c r="H340" s="13"/>
      <c r="I340" s="13"/>
      <c r="J340" s="67"/>
      <c r="K340" s="67"/>
      <c r="L340" s="67"/>
      <c r="M340" s="67"/>
      <c r="N340" s="67"/>
      <c r="O340" s="67"/>
      <c r="P340" s="70"/>
      <c r="Q340" s="73"/>
      <c r="R340" s="67"/>
      <c r="S340" s="67"/>
      <c r="T340" s="67"/>
      <c r="U340" s="67"/>
      <c r="V340" s="67"/>
      <c r="W340" s="12"/>
    </row>
    <row r="341" spans="1:23" s="7" customFormat="1" x14ac:dyDescent="0.7">
      <c r="A341" s="74" t="s">
        <v>16</v>
      </c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6"/>
      <c r="W341" s="12"/>
    </row>
    <row r="342" spans="1:23" s="7" customFormat="1" x14ac:dyDescent="0.7">
      <c r="A342" s="77"/>
      <c r="B342" s="80" t="s">
        <v>687</v>
      </c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2"/>
      <c r="W342" s="12"/>
    </row>
    <row r="343" spans="1:23" s="7" customFormat="1" ht="103.5" customHeight="1" x14ac:dyDescent="0.7">
      <c r="A343" s="78"/>
      <c r="B343" s="83" t="s">
        <v>381</v>
      </c>
      <c r="C343" s="86" t="s">
        <v>490</v>
      </c>
      <c r="D343" s="87"/>
      <c r="E343" s="87"/>
      <c r="F343" s="87"/>
      <c r="G343" s="87"/>
      <c r="H343" s="88"/>
      <c r="I343" s="29"/>
      <c r="J343" s="65"/>
      <c r="K343" s="68" t="s">
        <v>73</v>
      </c>
      <c r="L343" s="68" t="s">
        <v>89</v>
      </c>
      <c r="M343" s="68" t="s">
        <v>491</v>
      </c>
      <c r="N343" s="68" t="s">
        <v>492</v>
      </c>
      <c r="O343" s="68" t="s">
        <v>493</v>
      </c>
      <c r="P343" s="68" t="s">
        <v>493</v>
      </c>
      <c r="Q343" s="71"/>
      <c r="R343" s="68" t="s">
        <v>18</v>
      </c>
      <c r="S343" s="68" t="s">
        <v>12</v>
      </c>
      <c r="T343" s="65" t="s">
        <v>7</v>
      </c>
      <c r="U343" s="68"/>
      <c r="V343" s="68"/>
      <c r="W343" s="12"/>
    </row>
    <row r="344" spans="1:23" s="7" customFormat="1" x14ac:dyDescent="0.7">
      <c r="A344" s="78"/>
      <c r="B344" s="84"/>
      <c r="C344" s="44" t="s">
        <v>5</v>
      </c>
      <c r="D344" s="17">
        <f t="shared" ref="D344:E344" si="41">SUM(D345:D348)</f>
        <v>1493.7325800000001</v>
      </c>
      <c r="E344" s="18">
        <f t="shared" si="41"/>
        <v>1493.7325800000001</v>
      </c>
      <c r="F344" s="18"/>
      <c r="G344" s="18"/>
      <c r="H344" s="18"/>
      <c r="I344" s="13"/>
      <c r="J344" s="66"/>
      <c r="K344" s="69"/>
      <c r="L344" s="69"/>
      <c r="M344" s="69"/>
      <c r="N344" s="69"/>
      <c r="O344" s="69"/>
      <c r="P344" s="69"/>
      <c r="Q344" s="72"/>
      <c r="R344" s="69"/>
      <c r="S344" s="69"/>
      <c r="T344" s="66"/>
      <c r="U344" s="69"/>
      <c r="V344" s="69"/>
      <c r="W344" s="12"/>
    </row>
    <row r="345" spans="1:23" s="7" customFormat="1" ht="91.5" x14ac:dyDescent="0.7">
      <c r="A345" s="78"/>
      <c r="B345" s="84"/>
      <c r="C345" s="44" t="s">
        <v>0</v>
      </c>
      <c r="D345" s="17"/>
      <c r="E345" s="18"/>
      <c r="F345" s="18"/>
      <c r="G345" s="18"/>
      <c r="H345" s="18"/>
      <c r="I345" s="13"/>
      <c r="J345" s="66"/>
      <c r="K345" s="69"/>
      <c r="L345" s="69"/>
      <c r="M345" s="69"/>
      <c r="N345" s="69"/>
      <c r="O345" s="69"/>
      <c r="P345" s="69"/>
      <c r="Q345" s="72"/>
      <c r="R345" s="69"/>
      <c r="S345" s="69"/>
      <c r="T345" s="66"/>
      <c r="U345" s="69"/>
      <c r="V345" s="69"/>
      <c r="W345" s="12"/>
    </row>
    <row r="346" spans="1:23" s="7" customFormat="1" ht="91.5" x14ac:dyDescent="0.7">
      <c r="A346" s="78"/>
      <c r="B346" s="84"/>
      <c r="C346" s="44" t="s">
        <v>1</v>
      </c>
      <c r="D346" s="17">
        <f>SUM(E346:H346)</f>
        <v>1471</v>
      </c>
      <c r="E346" s="18">
        <v>1471</v>
      </c>
      <c r="F346" s="18"/>
      <c r="G346" s="18"/>
      <c r="H346" s="18"/>
      <c r="I346" s="13"/>
      <c r="J346" s="66"/>
      <c r="K346" s="69"/>
      <c r="L346" s="69"/>
      <c r="M346" s="69"/>
      <c r="N346" s="69"/>
      <c r="O346" s="69"/>
      <c r="P346" s="69"/>
      <c r="Q346" s="72"/>
      <c r="R346" s="69"/>
      <c r="S346" s="69"/>
      <c r="T346" s="66"/>
      <c r="U346" s="69"/>
      <c r="V346" s="69"/>
      <c r="W346" s="12"/>
    </row>
    <row r="347" spans="1:23" s="7" customFormat="1" ht="94.5" customHeight="1" x14ac:dyDescent="0.7">
      <c r="A347" s="78"/>
      <c r="B347" s="84"/>
      <c r="C347" s="32" t="s">
        <v>2</v>
      </c>
      <c r="D347" s="17">
        <f>SUM(E347:H347)</f>
        <v>22.732579999999999</v>
      </c>
      <c r="E347" s="13">
        <v>22.732579999999999</v>
      </c>
      <c r="F347" s="13"/>
      <c r="G347" s="13"/>
      <c r="H347" s="13"/>
      <c r="I347" s="13"/>
      <c r="J347" s="66"/>
      <c r="K347" s="69"/>
      <c r="L347" s="69"/>
      <c r="M347" s="69"/>
      <c r="N347" s="69"/>
      <c r="O347" s="69"/>
      <c r="P347" s="69"/>
      <c r="Q347" s="72"/>
      <c r="R347" s="69"/>
      <c r="S347" s="69"/>
      <c r="T347" s="66"/>
      <c r="U347" s="69"/>
      <c r="V347" s="69"/>
      <c r="W347" s="12"/>
    </row>
    <row r="348" spans="1:23" s="7" customFormat="1" ht="91.5" x14ac:dyDescent="0.7">
      <c r="A348" s="79"/>
      <c r="B348" s="85"/>
      <c r="C348" s="32" t="s">
        <v>3</v>
      </c>
      <c r="D348" s="19"/>
      <c r="E348" s="13"/>
      <c r="F348" s="13"/>
      <c r="G348" s="13"/>
      <c r="H348" s="13"/>
      <c r="I348" s="13"/>
      <c r="J348" s="67"/>
      <c r="K348" s="70"/>
      <c r="L348" s="70"/>
      <c r="M348" s="70"/>
      <c r="N348" s="70"/>
      <c r="O348" s="70"/>
      <c r="P348" s="70"/>
      <c r="Q348" s="73"/>
      <c r="R348" s="70"/>
      <c r="S348" s="70"/>
      <c r="T348" s="67"/>
      <c r="U348" s="70"/>
      <c r="V348" s="70"/>
      <c r="W348" s="12"/>
    </row>
    <row r="349" spans="1:23" s="7" customFormat="1" ht="45.75" customHeight="1" x14ac:dyDescent="0.7">
      <c r="A349" s="74" t="s">
        <v>16</v>
      </c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6"/>
      <c r="W349" s="12"/>
    </row>
    <row r="350" spans="1:23" s="7" customFormat="1" ht="56.25" customHeight="1" x14ac:dyDescent="0.7">
      <c r="A350" s="77"/>
      <c r="B350" s="89" t="s">
        <v>233</v>
      </c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1"/>
      <c r="W350" s="12"/>
    </row>
    <row r="351" spans="1:23" s="7" customFormat="1" ht="99" customHeight="1" x14ac:dyDescent="0.7">
      <c r="A351" s="78"/>
      <c r="B351" s="83" t="s">
        <v>387</v>
      </c>
      <c r="C351" s="86" t="s">
        <v>375</v>
      </c>
      <c r="D351" s="87"/>
      <c r="E351" s="87"/>
      <c r="F351" s="87"/>
      <c r="G351" s="87"/>
      <c r="H351" s="88"/>
      <c r="I351" s="29"/>
      <c r="J351" s="65" t="s">
        <v>376</v>
      </c>
      <c r="K351" s="65"/>
      <c r="L351" s="65" t="s">
        <v>87</v>
      </c>
      <c r="M351" s="65" t="s">
        <v>377</v>
      </c>
      <c r="N351" s="68" t="s">
        <v>179</v>
      </c>
      <c r="O351" s="65" t="s">
        <v>16</v>
      </c>
      <c r="P351" s="68" t="s">
        <v>179</v>
      </c>
      <c r="Q351" s="71" t="s">
        <v>378</v>
      </c>
      <c r="R351" s="65" t="s">
        <v>11</v>
      </c>
      <c r="S351" s="65" t="s">
        <v>10</v>
      </c>
      <c r="T351" s="65" t="s">
        <v>7</v>
      </c>
      <c r="U351" s="65"/>
      <c r="V351" s="65" t="s">
        <v>379</v>
      </c>
      <c r="W351" s="12"/>
    </row>
    <row r="352" spans="1:23" s="7" customFormat="1" x14ac:dyDescent="0.7">
      <c r="A352" s="78"/>
      <c r="B352" s="84"/>
      <c r="C352" s="44" t="s">
        <v>5</v>
      </c>
      <c r="D352" s="17">
        <f t="shared" ref="D352:E352" si="42">SUM(D353:D356)</f>
        <v>99.8</v>
      </c>
      <c r="E352" s="18">
        <f t="shared" si="42"/>
        <v>99.8</v>
      </c>
      <c r="F352" s="18"/>
      <c r="G352" s="18"/>
      <c r="H352" s="18"/>
      <c r="I352" s="13"/>
      <c r="J352" s="66"/>
      <c r="K352" s="66"/>
      <c r="L352" s="66"/>
      <c r="M352" s="66"/>
      <c r="N352" s="69"/>
      <c r="O352" s="66"/>
      <c r="P352" s="69"/>
      <c r="Q352" s="72"/>
      <c r="R352" s="66"/>
      <c r="S352" s="66"/>
      <c r="T352" s="66"/>
      <c r="U352" s="66"/>
      <c r="V352" s="66"/>
      <c r="W352" s="12"/>
    </row>
    <row r="353" spans="1:23" s="7" customFormat="1" ht="91.5" x14ac:dyDescent="0.7">
      <c r="A353" s="78"/>
      <c r="B353" s="84"/>
      <c r="C353" s="44" t="s">
        <v>0</v>
      </c>
      <c r="D353" s="17"/>
      <c r="E353" s="18"/>
      <c r="F353" s="18"/>
      <c r="G353" s="18"/>
      <c r="H353" s="18"/>
      <c r="I353" s="13"/>
      <c r="J353" s="66"/>
      <c r="K353" s="66"/>
      <c r="L353" s="66"/>
      <c r="M353" s="66"/>
      <c r="N353" s="69"/>
      <c r="O353" s="66"/>
      <c r="P353" s="69"/>
      <c r="Q353" s="72"/>
      <c r="R353" s="66"/>
      <c r="S353" s="66"/>
      <c r="T353" s="66"/>
      <c r="U353" s="66"/>
      <c r="V353" s="66"/>
      <c r="W353" s="12"/>
    </row>
    <row r="354" spans="1:23" s="7" customFormat="1" ht="91.5" x14ac:dyDescent="0.7">
      <c r="A354" s="78"/>
      <c r="B354" s="84"/>
      <c r="C354" s="44" t="s">
        <v>1</v>
      </c>
      <c r="D354" s="17">
        <f>SUM(E354:H354)</f>
        <v>99.8</v>
      </c>
      <c r="E354" s="18">
        <v>99.8</v>
      </c>
      <c r="F354" s="18"/>
      <c r="G354" s="18"/>
      <c r="H354" s="18"/>
      <c r="I354" s="13"/>
      <c r="J354" s="66"/>
      <c r="K354" s="66"/>
      <c r="L354" s="66"/>
      <c r="M354" s="66"/>
      <c r="N354" s="69"/>
      <c r="O354" s="66"/>
      <c r="P354" s="69"/>
      <c r="Q354" s="72"/>
      <c r="R354" s="66"/>
      <c r="S354" s="66"/>
      <c r="T354" s="66"/>
      <c r="U354" s="66"/>
      <c r="V354" s="66"/>
      <c r="W354" s="12"/>
    </row>
    <row r="355" spans="1:23" s="7" customFormat="1" ht="105" customHeight="1" x14ac:dyDescent="0.7">
      <c r="A355" s="78"/>
      <c r="B355" s="84"/>
      <c r="C355" s="32" t="s">
        <v>2</v>
      </c>
      <c r="D355" s="19"/>
      <c r="E355" s="13"/>
      <c r="F355" s="13"/>
      <c r="G355" s="13"/>
      <c r="H355" s="13"/>
      <c r="I355" s="13"/>
      <c r="J355" s="66"/>
      <c r="K355" s="66"/>
      <c r="L355" s="66"/>
      <c r="M355" s="66"/>
      <c r="N355" s="69"/>
      <c r="O355" s="66"/>
      <c r="P355" s="69"/>
      <c r="Q355" s="72"/>
      <c r="R355" s="66"/>
      <c r="S355" s="66"/>
      <c r="T355" s="66"/>
      <c r="U355" s="66"/>
      <c r="V355" s="66"/>
      <c r="W355" s="12"/>
    </row>
    <row r="356" spans="1:23" s="7" customFormat="1" ht="91.5" x14ac:dyDescent="0.7">
      <c r="A356" s="79"/>
      <c r="B356" s="85"/>
      <c r="C356" s="32" t="s">
        <v>3</v>
      </c>
      <c r="D356" s="19"/>
      <c r="E356" s="13"/>
      <c r="F356" s="13"/>
      <c r="G356" s="13"/>
      <c r="H356" s="13"/>
      <c r="I356" s="13"/>
      <c r="J356" s="67"/>
      <c r="K356" s="67"/>
      <c r="L356" s="67"/>
      <c r="M356" s="67"/>
      <c r="N356" s="70"/>
      <c r="O356" s="67"/>
      <c r="P356" s="70"/>
      <c r="Q356" s="73"/>
      <c r="R356" s="67"/>
      <c r="S356" s="67"/>
      <c r="T356" s="67"/>
      <c r="U356" s="67"/>
      <c r="V356" s="67"/>
      <c r="W356" s="12"/>
    </row>
    <row r="357" spans="1:23" s="7" customFormat="1" ht="45.75" customHeight="1" x14ac:dyDescent="0.7">
      <c r="A357" s="74" t="s">
        <v>16</v>
      </c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6"/>
      <c r="W357" s="12"/>
    </row>
    <row r="358" spans="1:23" s="7" customFormat="1" ht="64.5" customHeight="1" x14ac:dyDescent="0.7">
      <c r="A358" s="77"/>
      <c r="B358" s="89" t="s">
        <v>233</v>
      </c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1"/>
      <c r="W358" s="12"/>
    </row>
    <row r="359" spans="1:23" s="7" customFormat="1" ht="95.25" customHeight="1" x14ac:dyDescent="0.7">
      <c r="A359" s="78"/>
      <c r="B359" s="83" t="s">
        <v>388</v>
      </c>
      <c r="C359" s="95" t="s">
        <v>383</v>
      </c>
      <c r="D359" s="96"/>
      <c r="E359" s="96"/>
      <c r="F359" s="96"/>
      <c r="G359" s="96"/>
      <c r="H359" s="97"/>
      <c r="I359" s="29"/>
      <c r="J359" s="65" t="s">
        <v>73</v>
      </c>
      <c r="K359" s="68"/>
      <c r="L359" s="68" t="s">
        <v>87</v>
      </c>
      <c r="M359" s="68" t="s">
        <v>384</v>
      </c>
      <c r="N359" s="68" t="s">
        <v>179</v>
      </c>
      <c r="O359" s="68" t="s">
        <v>16</v>
      </c>
      <c r="P359" s="68" t="s">
        <v>179</v>
      </c>
      <c r="Q359" s="71" t="s">
        <v>385</v>
      </c>
      <c r="R359" s="68" t="s">
        <v>11</v>
      </c>
      <c r="S359" s="68" t="s">
        <v>10</v>
      </c>
      <c r="T359" s="65" t="s">
        <v>7</v>
      </c>
      <c r="U359" s="68"/>
      <c r="V359" s="68" t="s">
        <v>386</v>
      </c>
      <c r="W359" s="12"/>
    </row>
    <row r="360" spans="1:23" s="7" customFormat="1" x14ac:dyDescent="0.7">
      <c r="A360" s="78"/>
      <c r="B360" s="84"/>
      <c r="C360" s="32" t="s">
        <v>5</v>
      </c>
      <c r="D360" s="19">
        <f>SUM(D361:D364)</f>
        <v>1612.55421</v>
      </c>
      <c r="E360" s="13">
        <f t="shared" ref="E360" si="43">SUM(E361:E364)</f>
        <v>1612.55421</v>
      </c>
      <c r="F360" s="13"/>
      <c r="G360" s="13"/>
      <c r="H360" s="13"/>
      <c r="I360" s="13"/>
      <c r="J360" s="66"/>
      <c r="K360" s="69"/>
      <c r="L360" s="69"/>
      <c r="M360" s="69"/>
      <c r="N360" s="69"/>
      <c r="O360" s="69"/>
      <c r="P360" s="69"/>
      <c r="Q360" s="72"/>
      <c r="R360" s="69"/>
      <c r="S360" s="69"/>
      <c r="T360" s="66"/>
      <c r="U360" s="69"/>
      <c r="V360" s="69"/>
      <c r="W360" s="12"/>
    </row>
    <row r="361" spans="1:23" s="7" customFormat="1" ht="91.5" x14ac:dyDescent="0.7">
      <c r="A361" s="78"/>
      <c r="B361" s="84"/>
      <c r="C361" s="32" t="s">
        <v>0</v>
      </c>
      <c r="D361" s="19"/>
      <c r="E361" s="13"/>
      <c r="F361" s="13"/>
      <c r="G361" s="13"/>
      <c r="H361" s="13"/>
      <c r="I361" s="13"/>
      <c r="J361" s="66"/>
      <c r="K361" s="69"/>
      <c r="L361" s="69"/>
      <c r="M361" s="69"/>
      <c r="N361" s="69"/>
      <c r="O361" s="69"/>
      <c r="P361" s="69"/>
      <c r="Q361" s="72"/>
      <c r="R361" s="69"/>
      <c r="S361" s="69"/>
      <c r="T361" s="66"/>
      <c r="U361" s="69"/>
      <c r="V361" s="69"/>
      <c r="W361" s="12"/>
    </row>
    <row r="362" spans="1:23" s="7" customFormat="1" ht="91.5" x14ac:dyDescent="0.7">
      <c r="A362" s="78"/>
      <c r="B362" s="84"/>
      <c r="C362" s="32" t="s">
        <v>1</v>
      </c>
      <c r="D362" s="19">
        <f>SUM(E362:H362)</f>
        <v>1612.55421</v>
      </c>
      <c r="E362" s="18">
        <f>166.17505+2633.82495-1187.44579</f>
        <v>1612.55421</v>
      </c>
      <c r="F362" s="13"/>
      <c r="G362" s="13"/>
      <c r="H362" s="13"/>
      <c r="I362" s="13"/>
      <c r="J362" s="66"/>
      <c r="K362" s="69"/>
      <c r="L362" s="69"/>
      <c r="M362" s="69"/>
      <c r="N362" s="69"/>
      <c r="O362" s="69"/>
      <c r="P362" s="69"/>
      <c r="Q362" s="72"/>
      <c r="R362" s="69"/>
      <c r="S362" s="69"/>
      <c r="T362" s="66"/>
      <c r="U362" s="69"/>
      <c r="V362" s="69"/>
      <c r="W362" s="12"/>
    </row>
    <row r="363" spans="1:23" s="7" customFormat="1" ht="108" customHeight="1" x14ac:dyDescent="0.7">
      <c r="A363" s="78"/>
      <c r="B363" s="84"/>
      <c r="C363" s="32" t="s">
        <v>2</v>
      </c>
      <c r="D363" s="19"/>
      <c r="E363" s="13"/>
      <c r="F363" s="13"/>
      <c r="G363" s="13"/>
      <c r="H363" s="13"/>
      <c r="I363" s="13"/>
      <c r="J363" s="66"/>
      <c r="K363" s="69"/>
      <c r="L363" s="69"/>
      <c r="M363" s="69"/>
      <c r="N363" s="69"/>
      <c r="O363" s="69"/>
      <c r="P363" s="69"/>
      <c r="Q363" s="72"/>
      <c r="R363" s="69"/>
      <c r="S363" s="69"/>
      <c r="T363" s="66"/>
      <c r="U363" s="69"/>
      <c r="V363" s="69"/>
      <c r="W363" s="12"/>
    </row>
    <row r="364" spans="1:23" s="7" customFormat="1" ht="91.5" x14ac:dyDescent="0.7">
      <c r="A364" s="79"/>
      <c r="B364" s="85"/>
      <c r="C364" s="32" t="s">
        <v>3</v>
      </c>
      <c r="D364" s="19"/>
      <c r="E364" s="13"/>
      <c r="F364" s="13"/>
      <c r="G364" s="13"/>
      <c r="H364" s="13"/>
      <c r="I364" s="13"/>
      <c r="J364" s="67"/>
      <c r="K364" s="70"/>
      <c r="L364" s="70"/>
      <c r="M364" s="70"/>
      <c r="N364" s="70"/>
      <c r="O364" s="70"/>
      <c r="P364" s="70"/>
      <c r="Q364" s="73"/>
      <c r="R364" s="70"/>
      <c r="S364" s="70"/>
      <c r="T364" s="67"/>
      <c r="U364" s="70"/>
      <c r="V364" s="70"/>
      <c r="W364" s="12"/>
    </row>
    <row r="365" spans="1:23" s="7" customFormat="1" ht="45.75" customHeight="1" x14ac:dyDescent="0.7">
      <c r="A365" s="74" t="s">
        <v>16</v>
      </c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6"/>
      <c r="W365" s="12"/>
    </row>
    <row r="366" spans="1:23" s="7" customFormat="1" x14ac:dyDescent="0.7">
      <c r="A366" s="77"/>
      <c r="B366" s="89" t="s">
        <v>233</v>
      </c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1"/>
      <c r="W366" s="12"/>
    </row>
    <row r="367" spans="1:23" s="7" customFormat="1" ht="57.75" customHeight="1" x14ac:dyDescent="0.7">
      <c r="A367" s="78"/>
      <c r="B367" s="83" t="s">
        <v>382</v>
      </c>
      <c r="C367" s="86" t="s">
        <v>392</v>
      </c>
      <c r="D367" s="87"/>
      <c r="E367" s="87"/>
      <c r="F367" s="87"/>
      <c r="G367" s="87"/>
      <c r="H367" s="88"/>
      <c r="I367" s="29"/>
      <c r="J367" s="65" t="s">
        <v>73</v>
      </c>
      <c r="K367" s="65"/>
      <c r="L367" s="65" t="s">
        <v>87</v>
      </c>
      <c r="M367" s="65" t="s">
        <v>389</v>
      </c>
      <c r="N367" s="65" t="s">
        <v>179</v>
      </c>
      <c r="O367" s="65" t="s">
        <v>16</v>
      </c>
      <c r="P367" s="65" t="s">
        <v>179</v>
      </c>
      <c r="Q367" s="71" t="s">
        <v>390</v>
      </c>
      <c r="R367" s="65" t="s">
        <v>11</v>
      </c>
      <c r="S367" s="65" t="s">
        <v>10</v>
      </c>
      <c r="T367" s="65" t="s">
        <v>7</v>
      </c>
      <c r="U367" s="65"/>
      <c r="V367" s="65" t="s">
        <v>391</v>
      </c>
      <c r="W367" s="12"/>
    </row>
    <row r="368" spans="1:23" s="7" customFormat="1" x14ac:dyDescent="0.7">
      <c r="A368" s="78"/>
      <c r="B368" s="84"/>
      <c r="C368" s="44" t="s">
        <v>5</v>
      </c>
      <c r="D368" s="17">
        <f t="shared" ref="D368:E368" si="44">SUM(D369:D372)</f>
        <v>2176.4312600000003</v>
      </c>
      <c r="E368" s="18">
        <f t="shared" si="44"/>
        <v>2176.4312600000003</v>
      </c>
      <c r="F368" s="18"/>
      <c r="G368" s="18"/>
      <c r="H368" s="18"/>
      <c r="I368" s="13"/>
      <c r="J368" s="66"/>
      <c r="K368" s="66"/>
      <c r="L368" s="66"/>
      <c r="M368" s="66"/>
      <c r="N368" s="66"/>
      <c r="O368" s="66"/>
      <c r="P368" s="66"/>
      <c r="Q368" s="72"/>
      <c r="R368" s="66"/>
      <c r="S368" s="66"/>
      <c r="T368" s="66"/>
      <c r="U368" s="66"/>
      <c r="V368" s="66"/>
      <c r="W368" s="12"/>
    </row>
    <row r="369" spans="1:23" s="7" customFormat="1" ht="91.5" x14ac:dyDescent="0.7">
      <c r="A369" s="78"/>
      <c r="B369" s="84"/>
      <c r="C369" s="44" t="s">
        <v>0</v>
      </c>
      <c r="D369" s="17"/>
      <c r="E369" s="18"/>
      <c r="F369" s="18"/>
      <c r="G369" s="18"/>
      <c r="H369" s="18"/>
      <c r="I369" s="13"/>
      <c r="J369" s="66"/>
      <c r="K369" s="66"/>
      <c r="L369" s="66"/>
      <c r="M369" s="66"/>
      <c r="N369" s="66"/>
      <c r="O369" s="66"/>
      <c r="P369" s="66"/>
      <c r="Q369" s="72"/>
      <c r="R369" s="66"/>
      <c r="S369" s="66"/>
      <c r="T369" s="66"/>
      <c r="U369" s="66"/>
      <c r="V369" s="66"/>
      <c r="W369" s="12"/>
    </row>
    <row r="370" spans="1:23" s="7" customFormat="1" ht="91.5" x14ac:dyDescent="0.7">
      <c r="A370" s="78"/>
      <c r="B370" s="84"/>
      <c r="C370" s="44" t="s">
        <v>1</v>
      </c>
      <c r="D370" s="17">
        <f>SUM(E370:H370)</f>
        <v>2176.4312600000003</v>
      </c>
      <c r="E370" s="18">
        <f>50.15054+4149.84946-2023.56874</f>
        <v>2176.4312600000003</v>
      </c>
      <c r="F370" s="18"/>
      <c r="G370" s="18"/>
      <c r="H370" s="18"/>
      <c r="I370" s="13"/>
      <c r="J370" s="66"/>
      <c r="K370" s="66"/>
      <c r="L370" s="66"/>
      <c r="M370" s="66"/>
      <c r="N370" s="66"/>
      <c r="O370" s="66"/>
      <c r="P370" s="66"/>
      <c r="Q370" s="72"/>
      <c r="R370" s="66"/>
      <c r="S370" s="66"/>
      <c r="T370" s="66"/>
      <c r="U370" s="66"/>
      <c r="V370" s="66"/>
      <c r="W370" s="12"/>
    </row>
    <row r="371" spans="1:23" s="7" customFormat="1" ht="97.5" customHeight="1" x14ac:dyDescent="0.7">
      <c r="A371" s="78"/>
      <c r="B371" s="84"/>
      <c r="C371" s="32" t="s">
        <v>2</v>
      </c>
      <c r="D371" s="19"/>
      <c r="E371" s="13"/>
      <c r="F371" s="13"/>
      <c r="G371" s="13"/>
      <c r="H371" s="13"/>
      <c r="I371" s="13"/>
      <c r="J371" s="66"/>
      <c r="K371" s="66"/>
      <c r="L371" s="66"/>
      <c r="M371" s="66"/>
      <c r="N371" s="66"/>
      <c r="O371" s="66"/>
      <c r="P371" s="66"/>
      <c r="Q371" s="72"/>
      <c r="R371" s="66"/>
      <c r="S371" s="66"/>
      <c r="T371" s="66"/>
      <c r="U371" s="66"/>
      <c r="V371" s="66"/>
      <c r="W371" s="12"/>
    </row>
    <row r="372" spans="1:23" s="7" customFormat="1" ht="91.5" x14ac:dyDescent="0.7">
      <c r="A372" s="79"/>
      <c r="B372" s="85"/>
      <c r="C372" s="32" t="s">
        <v>3</v>
      </c>
      <c r="D372" s="19"/>
      <c r="E372" s="13"/>
      <c r="F372" s="13"/>
      <c r="G372" s="13"/>
      <c r="H372" s="13"/>
      <c r="I372" s="13"/>
      <c r="J372" s="67"/>
      <c r="K372" s="67"/>
      <c r="L372" s="67"/>
      <c r="M372" s="67"/>
      <c r="N372" s="67"/>
      <c r="O372" s="67"/>
      <c r="P372" s="67"/>
      <c r="Q372" s="73"/>
      <c r="R372" s="67"/>
      <c r="S372" s="67"/>
      <c r="T372" s="67"/>
      <c r="U372" s="67"/>
      <c r="V372" s="67"/>
      <c r="W372" s="12"/>
    </row>
    <row r="373" spans="1:23" s="7" customFormat="1" x14ac:dyDescent="0.7">
      <c r="A373" s="74" t="s">
        <v>16</v>
      </c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6"/>
      <c r="W373" s="12"/>
    </row>
    <row r="374" spans="1:23" s="7" customFormat="1" x14ac:dyDescent="0.7">
      <c r="A374" s="77"/>
      <c r="B374" s="89" t="s">
        <v>233</v>
      </c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1"/>
      <c r="W374" s="12"/>
    </row>
    <row r="375" spans="1:23" s="7" customFormat="1" ht="102.75" customHeight="1" x14ac:dyDescent="0.7">
      <c r="A375" s="78"/>
      <c r="B375" s="83" t="s">
        <v>486</v>
      </c>
      <c r="C375" s="86" t="s">
        <v>487</v>
      </c>
      <c r="D375" s="87"/>
      <c r="E375" s="87"/>
      <c r="F375" s="87"/>
      <c r="G375" s="87"/>
      <c r="H375" s="88"/>
      <c r="I375" s="29"/>
      <c r="J375" s="65"/>
      <c r="K375" s="68" t="s">
        <v>73</v>
      </c>
      <c r="L375" s="68" t="s">
        <v>87</v>
      </c>
      <c r="M375" s="68"/>
      <c r="N375" s="68" t="s">
        <v>179</v>
      </c>
      <c r="O375" s="68" t="s">
        <v>16</v>
      </c>
      <c r="P375" s="68" t="s">
        <v>179</v>
      </c>
      <c r="Q375" s="71"/>
      <c r="R375" s="65" t="s">
        <v>11</v>
      </c>
      <c r="S375" s="65" t="s">
        <v>12</v>
      </c>
      <c r="T375" s="65" t="s">
        <v>7</v>
      </c>
      <c r="U375" s="68"/>
      <c r="V375" s="65"/>
      <c r="W375" s="12"/>
    </row>
    <row r="376" spans="1:23" s="7" customFormat="1" x14ac:dyDescent="0.7">
      <c r="A376" s="78"/>
      <c r="B376" s="84"/>
      <c r="C376" s="44" t="s">
        <v>5</v>
      </c>
      <c r="D376" s="17">
        <f t="shared" ref="D376:E376" si="45">SUM(D377:D380)</f>
        <v>13475.89</v>
      </c>
      <c r="E376" s="18">
        <f t="shared" si="45"/>
        <v>13475.89</v>
      </c>
      <c r="F376" s="18"/>
      <c r="G376" s="18"/>
      <c r="H376" s="18"/>
      <c r="I376" s="13"/>
      <c r="J376" s="66"/>
      <c r="K376" s="69"/>
      <c r="L376" s="69"/>
      <c r="M376" s="69"/>
      <c r="N376" s="69"/>
      <c r="O376" s="69"/>
      <c r="P376" s="69"/>
      <c r="Q376" s="72"/>
      <c r="R376" s="66"/>
      <c r="S376" s="66"/>
      <c r="T376" s="66"/>
      <c r="U376" s="69"/>
      <c r="V376" s="66"/>
      <c r="W376" s="12"/>
    </row>
    <row r="377" spans="1:23" s="7" customFormat="1" ht="91.5" x14ac:dyDescent="0.7">
      <c r="A377" s="78"/>
      <c r="B377" s="84"/>
      <c r="C377" s="44" t="s">
        <v>0</v>
      </c>
      <c r="D377" s="17"/>
      <c r="E377" s="18"/>
      <c r="F377" s="18"/>
      <c r="G377" s="18"/>
      <c r="H377" s="18"/>
      <c r="I377" s="13"/>
      <c r="J377" s="66"/>
      <c r="K377" s="69"/>
      <c r="L377" s="69"/>
      <c r="M377" s="69"/>
      <c r="N377" s="69"/>
      <c r="O377" s="69"/>
      <c r="P377" s="69"/>
      <c r="Q377" s="72"/>
      <c r="R377" s="66"/>
      <c r="S377" s="66"/>
      <c r="T377" s="66"/>
      <c r="U377" s="69"/>
      <c r="V377" s="66"/>
      <c r="W377" s="12"/>
    </row>
    <row r="378" spans="1:23" s="7" customFormat="1" ht="91.5" x14ac:dyDescent="0.7">
      <c r="A378" s="78"/>
      <c r="B378" s="84"/>
      <c r="C378" s="44" t="s">
        <v>1</v>
      </c>
      <c r="D378" s="17">
        <f>SUM(E378:H378)</f>
        <v>13475.89</v>
      </c>
      <c r="E378" s="18">
        <f>13500+22200-22224.11</f>
        <v>13475.89</v>
      </c>
      <c r="F378" s="18"/>
      <c r="G378" s="18"/>
      <c r="H378" s="18"/>
      <c r="I378" s="13"/>
      <c r="J378" s="66"/>
      <c r="K378" s="69"/>
      <c r="L378" s="69"/>
      <c r="M378" s="69"/>
      <c r="N378" s="69"/>
      <c r="O378" s="69"/>
      <c r="P378" s="69"/>
      <c r="Q378" s="72"/>
      <c r="R378" s="66"/>
      <c r="S378" s="66"/>
      <c r="T378" s="66"/>
      <c r="U378" s="69"/>
      <c r="V378" s="66"/>
      <c r="W378" s="12"/>
    </row>
    <row r="379" spans="1:23" s="7" customFormat="1" ht="99" customHeight="1" x14ac:dyDescent="0.7">
      <c r="A379" s="78"/>
      <c r="B379" s="84"/>
      <c r="C379" s="32" t="s">
        <v>2</v>
      </c>
      <c r="D379" s="19"/>
      <c r="E379" s="13"/>
      <c r="F379" s="13"/>
      <c r="G379" s="13"/>
      <c r="H379" s="13"/>
      <c r="I379" s="13"/>
      <c r="J379" s="66"/>
      <c r="K379" s="69"/>
      <c r="L379" s="69"/>
      <c r="M379" s="69"/>
      <c r="N379" s="69"/>
      <c r="O379" s="69"/>
      <c r="P379" s="69"/>
      <c r="Q379" s="72"/>
      <c r="R379" s="66"/>
      <c r="S379" s="66"/>
      <c r="T379" s="66"/>
      <c r="U379" s="69"/>
      <c r="V379" s="66"/>
      <c r="W379" s="12"/>
    </row>
    <row r="380" spans="1:23" s="7" customFormat="1" ht="91.5" x14ac:dyDescent="0.7">
      <c r="A380" s="79"/>
      <c r="B380" s="85"/>
      <c r="C380" s="32" t="s">
        <v>3</v>
      </c>
      <c r="D380" s="19"/>
      <c r="E380" s="13"/>
      <c r="F380" s="13"/>
      <c r="G380" s="13"/>
      <c r="H380" s="13"/>
      <c r="I380" s="13"/>
      <c r="J380" s="67"/>
      <c r="K380" s="70"/>
      <c r="L380" s="70"/>
      <c r="M380" s="70"/>
      <c r="N380" s="70"/>
      <c r="O380" s="70"/>
      <c r="P380" s="70"/>
      <c r="Q380" s="73"/>
      <c r="R380" s="67"/>
      <c r="S380" s="67"/>
      <c r="T380" s="67"/>
      <c r="U380" s="70"/>
      <c r="V380" s="67"/>
      <c r="W380" s="12"/>
    </row>
    <row r="381" spans="1:23" s="7" customFormat="1" x14ac:dyDescent="0.7">
      <c r="A381" s="74" t="s">
        <v>16</v>
      </c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6"/>
      <c r="W381" s="12"/>
    </row>
    <row r="382" spans="1:23" s="7" customFormat="1" x14ac:dyDescent="0.7">
      <c r="A382" s="77"/>
      <c r="B382" s="89" t="s">
        <v>687</v>
      </c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1"/>
      <c r="W382" s="12"/>
    </row>
    <row r="383" spans="1:23" s="7" customFormat="1" ht="109.5" customHeight="1" x14ac:dyDescent="0.7">
      <c r="A383" s="78"/>
      <c r="B383" s="92" t="s">
        <v>488</v>
      </c>
      <c r="C383" s="86" t="s">
        <v>571</v>
      </c>
      <c r="D383" s="87"/>
      <c r="E383" s="87"/>
      <c r="F383" s="87"/>
      <c r="G383" s="87"/>
      <c r="H383" s="88"/>
      <c r="I383" s="45"/>
      <c r="J383" s="65"/>
      <c r="K383" s="65" t="s">
        <v>73</v>
      </c>
      <c r="L383" s="65" t="s">
        <v>87</v>
      </c>
      <c r="M383" s="65" t="s">
        <v>572</v>
      </c>
      <c r="N383" s="65" t="s">
        <v>179</v>
      </c>
      <c r="O383" s="65" t="s">
        <v>16</v>
      </c>
      <c r="P383" s="65" t="s">
        <v>179</v>
      </c>
      <c r="Q383" s="71" t="s">
        <v>575</v>
      </c>
      <c r="R383" s="65" t="s">
        <v>11</v>
      </c>
      <c r="S383" s="65" t="s">
        <v>10</v>
      </c>
      <c r="T383" s="65" t="s">
        <v>208</v>
      </c>
      <c r="U383" s="65"/>
      <c r="V383" s="65"/>
      <c r="W383" s="12"/>
    </row>
    <row r="384" spans="1:23" s="7" customFormat="1" x14ac:dyDescent="0.7">
      <c r="A384" s="78"/>
      <c r="B384" s="93"/>
      <c r="C384" s="44" t="s">
        <v>5</v>
      </c>
      <c r="D384" s="17">
        <f t="shared" ref="D384:G384" si="46">SUM(D385:D388)</f>
        <v>5400</v>
      </c>
      <c r="E384" s="17">
        <f t="shared" si="46"/>
        <v>400</v>
      </c>
      <c r="F384" s="17">
        <f t="shared" si="46"/>
        <v>2500</v>
      </c>
      <c r="G384" s="17">
        <f t="shared" si="46"/>
        <v>2500</v>
      </c>
      <c r="H384" s="18"/>
      <c r="I384" s="18"/>
      <c r="J384" s="66"/>
      <c r="K384" s="66"/>
      <c r="L384" s="66"/>
      <c r="M384" s="66"/>
      <c r="N384" s="66"/>
      <c r="O384" s="66"/>
      <c r="P384" s="66"/>
      <c r="Q384" s="72"/>
      <c r="R384" s="66"/>
      <c r="S384" s="66"/>
      <c r="T384" s="66"/>
      <c r="U384" s="66"/>
      <c r="V384" s="66"/>
      <c r="W384" s="12"/>
    </row>
    <row r="385" spans="1:23" s="7" customFormat="1" ht="91.5" x14ac:dyDescent="0.7">
      <c r="A385" s="78"/>
      <c r="B385" s="93"/>
      <c r="C385" s="44" t="s">
        <v>0</v>
      </c>
      <c r="D385" s="17"/>
      <c r="E385" s="18"/>
      <c r="F385" s="18"/>
      <c r="G385" s="18"/>
      <c r="H385" s="18"/>
      <c r="I385" s="18"/>
      <c r="J385" s="66"/>
      <c r="K385" s="66"/>
      <c r="L385" s="66"/>
      <c r="M385" s="66"/>
      <c r="N385" s="66"/>
      <c r="O385" s="66"/>
      <c r="P385" s="66"/>
      <c r="Q385" s="72"/>
      <c r="R385" s="66"/>
      <c r="S385" s="66"/>
      <c r="T385" s="66"/>
      <c r="U385" s="66"/>
      <c r="V385" s="66"/>
      <c r="W385" s="12"/>
    </row>
    <row r="386" spans="1:23" s="7" customFormat="1" ht="91.5" x14ac:dyDescent="0.7">
      <c r="A386" s="78"/>
      <c r="B386" s="93"/>
      <c r="C386" s="44" t="s">
        <v>1</v>
      </c>
      <c r="D386" s="17">
        <f>SUM(E386:H386)</f>
        <v>5400</v>
      </c>
      <c r="E386" s="18">
        <f>6000-5600</f>
        <v>400</v>
      </c>
      <c r="F386" s="18">
        <v>2500</v>
      </c>
      <c r="G386" s="18">
        <v>2500</v>
      </c>
      <c r="H386" s="18"/>
      <c r="I386" s="18"/>
      <c r="J386" s="66"/>
      <c r="K386" s="66"/>
      <c r="L386" s="66"/>
      <c r="M386" s="66"/>
      <c r="N386" s="66"/>
      <c r="O386" s="66"/>
      <c r="P386" s="66"/>
      <c r="Q386" s="72"/>
      <c r="R386" s="66"/>
      <c r="S386" s="66"/>
      <c r="T386" s="66"/>
      <c r="U386" s="66"/>
      <c r="V386" s="66"/>
      <c r="W386" s="12"/>
    </row>
    <row r="387" spans="1:23" s="7" customFormat="1" ht="110.25" customHeight="1" x14ac:dyDescent="0.7">
      <c r="A387" s="78"/>
      <c r="B387" s="93"/>
      <c r="C387" s="44" t="s">
        <v>2</v>
      </c>
      <c r="D387" s="17"/>
      <c r="E387" s="18"/>
      <c r="F387" s="18"/>
      <c r="G387" s="18"/>
      <c r="H387" s="18"/>
      <c r="I387" s="18"/>
      <c r="J387" s="66"/>
      <c r="K387" s="66"/>
      <c r="L387" s="66"/>
      <c r="M387" s="66"/>
      <c r="N387" s="66"/>
      <c r="O387" s="66"/>
      <c r="P387" s="66"/>
      <c r="Q387" s="72"/>
      <c r="R387" s="66"/>
      <c r="S387" s="66"/>
      <c r="T387" s="66"/>
      <c r="U387" s="66"/>
      <c r="V387" s="66"/>
      <c r="W387" s="12"/>
    </row>
    <row r="388" spans="1:23" s="7" customFormat="1" ht="106.5" customHeight="1" x14ac:dyDescent="0.7">
      <c r="A388" s="79"/>
      <c r="B388" s="94"/>
      <c r="C388" s="44" t="s">
        <v>3</v>
      </c>
      <c r="D388" s="17"/>
      <c r="E388" s="18"/>
      <c r="F388" s="18"/>
      <c r="G388" s="18"/>
      <c r="H388" s="18"/>
      <c r="I388" s="18"/>
      <c r="J388" s="67"/>
      <c r="K388" s="67"/>
      <c r="L388" s="67"/>
      <c r="M388" s="67"/>
      <c r="N388" s="67"/>
      <c r="O388" s="67"/>
      <c r="P388" s="67"/>
      <c r="Q388" s="73"/>
      <c r="R388" s="67"/>
      <c r="S388" s="67"/>
      <c r="T388" s="67"/>
      <c r="U388" s="67"/>
      <c r="V388" s="67"/>
      <c r="W388" s="12"/>
    </row>
    <row r="389" spans="1:23" s="7" customFormat="1" x14ac:dyDescent="0.7">
      <c r="A389" s="74" t="s">
        <v>16</v>
      </c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6"/>
      <c r="W389" s="12"/>
    </row>
    <row r="390" spans="1:23" s="7" customFormat="1" x14ac:dyDescent="0.7">
      <c r="A390" s="77"/>
      <c r="B390" s="89" t="s">
        <v>687</v>
      </c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1"/>
      <c r="W390" s="12"/>
    </row>
    <row r="391" spans="1:23" s="7" customFormat="1" ht="98.25" customHeight="1" x14ac:dyDescent="0.7">
      <c r="A391" s="78"/>
      <c r="B391" s="92" t="s">
        <v>489</v>
      </c>
      <c r="C391" s="86" t="s">
        <v>573</v>
      </c>
      <c r="D391" s="87"/>
      <c r="E391" s="87"/>
      <c r="F391" s="87"/>
      <c r="G391" s="87"/>
      <c r="H391" s="88"/>
      <c r="I391" s="45"/>
      <c r="J391" s="65"/>
      <c r="K391" s="65" t="s">
        <v>73</v>
      </c>
      <c r="L391" s="65" t="s">
        <v>87</v>
      </c>
      <c r="M391" s="65" t="s">
        <v>574</v>
      </c>
      <c r="N391" s="65" t="s">
        <v>179</v>
      </c>
      <c r="O391" s="65" t="s">
        <v>16</v>
      </c>
      <c r="P391" s="65" t="s">
        <v>179</v>
      </c>
      <c r="Q391" s="71" t="s">
        <v>576</v>
      </c>
      <c r="R391" s="65" t="s">
        <v>11</v>
      </c>
      <c r="S391" s="65" t="s">
        <v>12</v>
      </c>
      <c r="T391" s="65" t="s">
        <v>208</v>
      </c>
      <c r="U391" s="65"/>
      <c r="V391" s="65"/>
      <c r="W391" s="12"/>
    </row>
    <row r="392" spans="1:23" s="7" customFormat="1" x14ac:dyDescent="0.7">
      <c r="A392" s="78"/>
      <c r="B392" s="93"/>
      <c r="C392" s="44" t="s">
        <v>5</v>
      </c>
      <c r="D392" s="17">
        <f>SUM(D393:D396)</f>
        <v>5780</v>
      </c>
      <c r="E392" s="18">
        <f>SUM(E393:E396)</f>
        <v>780</v>
      </c>
      <c r="F392" s="18">
        <f t="shared" ref="F392:G392" si="47">SUM(F393:F396)</f>
        <v>2500</v>
      </c>
      <c r="G392" s="18">
        <f t="shared" si="47"/>
        <v>2500</v>
      </c>
      <c r="H392" s="18"/>
      <c r="I392" s="18"/>
      <c r="J392" s="66"/>
      <c r="K392" s="66"/>
      <c r="L392" s="66"/>
      <c r="M392" s="66"/>
      <c r="N392" s="66"/>
      <c r="O392" s="66"/>
      <c r="P392" s="66"/>
      <c r="Q392" s="72"/>
      <c r="R392" s="66"/>
      <c r="S392" s="66"/>
      <c r="T392" s="66"/>
      <c r="U392" s="66"/>
      <c r="V392" s="66"/>
      <c r="W392" s="12"/>
    </row>
    <row r="393" spans="1:23" s="7" customFormat="1" ht="90.75" customHeight="1" x14ac:dyDescent="0.7">
      <c r="A393" s="78"/>
      <c r="B393" s="93"/>
      <c r="C393" s="44" t="s">
        <v>0</v>
      </c>
      <c r="D393" s="17"/>
      <c r="E393" s="18"/>
      <c r="F393" s="18"/>
      <c r="G393" s="18"/>
      <c r="H393" s="18"/>
      <c r="I393" s="18"/>
      <c r="J393" s="66"/>
      <c r="K393" s="66"/>
      <c r="L393" s="66"/>
      <c r="M393" s="66"/>
      <c r="N393" s="66"/>
      <c r="O393" s="66"/>
      <c r="P393" s="66"/>
      <c r="Q393" s="72"/>
      <c r="R393" s="66"/>
      <c r="S393" s="66"/>
      <c r="T393" s="66"/>
      <c r="U393" s="66"/>
      <c r="V393" s="66"/>
      <c r="W393" s="12"/>
    </row>
    <row r="394" spans="1:23" s="7" customFormat="1" ht="91.5" x14ac:dyDescent="0.7">
      <c r="A394" s="78"/>
      <c r="B394" s="93"/>
      <c r="C394" s="44" t="s">
        <v>1</v>
      </c>
      <c r="D394" s="17">
        <f>SUM(E394:H394)</f>
        <v>5780</v>
      </c>
      <c r="E394" s="18">
        <f>4000-3220</f>
        <v>780</v>
      </c>
      <c r="F394" s="18">
        <v>2500</v>
      </c>
      <c r="G394" s="18">
        <v>2500</v>
      </c>
      <c r="H394" s="18"/>
      <c r="I394" s="18"/>
      <c r="J394" s="66"/>
      <c r="K394" s="66"/>
      <c r="L394" s="66"/>
      <c r="M394" s="66"/>
      <c r="N394" s="66"/>
      <c r="O394" s="66"/>
      <c r="P394" s="66"/>
      <c r="Q394" s="72"/>
      <c r="R394" s="66"/>
      <c r="S394" s="66"/>
      <c r="T394" s="66"/>
      <c r="U394" s="66"/>
      <c r="V394" s="66"/>
      <c r="W394" s="12"/>
    </row>
    <row r="395" spans="1:23" s="7" customFormat="1" ht="91.5" customHeight="1" x14ac:dyDescent="0.7">
      <c r="A395" s="78"/>
      <c r="B395" s="93"/>
      <c r="C395" s="44" t="s">
        <v>2</v>
      </c>
      <c r="D395" s="17"/>
      <c r="E395" s="18"/>
      <c r="F395" s="18"/>
      <c r="G395" s="18"/>
      <c r="H395" s="18"/>
      <c r="I395" s="18"/>
      <c r="J395" s="66"/>
      <c r="K395" s="66"/>
      <c r="L395" s="66"/>
      <c r="M395" s="66"/>
      <c r="N395" s="66"/>
      <c r="O395" s="66"/>
      <c r="P395" s="66"/>
      <c r="Q395" s="72"/>
      <c r="R395" s="66"/>
      <c r="S395" s="66"/>
      <c r="T395" s="66"/>
      <c r="U395" s="66"/>
      <c r="V395" s="66"/>
      <c r="W395" s="12"/>
    </row>
    <row r="396" spans="1:23" s="7" customFormat="1" ht="91.5" x14ac:dyDescent="0.7">
      <c r="A396" s="79"/>
      <c r="B396" s="94"/>
      <c r="C396" s="44" t="s">
        <v>3</v>
      </c>
      <c r="D396" s="17"/>
      <c r="E396" s="18"/>
      <c r="F396" s="18"/>
      <c r="G396" s="18"/>
      <c r="H396" s="18"/>
      <c r="I396" s="18"/>
      <c r="J396" s="67"/>
      <c r="K396" s="67"/>
      <c r="L396" s="67"/>
      <c r="M396" s="67"/>
      <c r="N396" s="67"/>
      <c r="O396" s="67"/>
      <c r="P396" s="67"/>
      <c r="Q396" s="73"/>
      <c r="R396" s="67"/>
      <c r="S396" s="67"/>
      <c r="T396" s="67"/>
      <c r="U396" s="67"/>
      <c r="V396" s="67"/>
      <c r="W396" s="12"/>
    </row>
    <row r="397" spans="1:23" s="7" customFormat="1" x14ac:dyDescent="0.7">
      <c r="A397" s="74" t="s">
        <v>16</v>
      </c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6"/>
      <c r="W397" s="12"/>
    </row>
    <row r="398" spans="1:23" s="7" customFormat="1" x14ac:dyDescent="0.7">
      <c r="A398" s="77"/>
      <c r="B398" s="89" t="s">
        <v>687</v>
      </c>
      <c r="C398" s="90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1"/>
      <c r="W398" s="12"/>
    </row>
    <row r="399" spans="1:23" s="7" customFormat="1" ht="147.75" customHeight="1" x14ac:dyDescent="0.7">
      <c r="A399" s="78"/>
      <c r="B399" s="92" t="s">
        <v>570</v>
      </c>
      <c r="C399" s="86" t="s">
        <v>688</v>
      </c>
      <c r="D399" s="87"/>
      <c r="E399" s="87"/>
      <c r="F399" s="87"/>
      <c r="G399" s="87"/>
      <c r="H399" s="88"/>
      <c r="I399" s="45"/>
      <c r="J399" s="65" t="s">
        <v>71</v>
      </c>
      <c r="K399" s="65"/>
      <c r="L399" s="65" t="s">
        <v>87</v>
      </c>
      <c r="M399" s="65"/>
      <c r="N399" s="65" t="s">
        <v>179</v>
      </c>
      <c r="O399" s="65" t="s">
        <v>16</v>
      </c>
      <c r="P399" s="65" t="s">
        <v>179</v>
      </c>
      <c r="Q399" s="71" t="s">
        <v>689</v>
      </c>
      <c r="R399" s="65" t="s">
        <v>11</v>
      </c>
      <c r="S399" s="65" t="s">
        <v>10</v>
      </c>
      <c r="T399" s="65" t="s">
        <v>7</v>
      </c>
      <c r="U399" s="65"/>
      <c r="V399" s="65"/>
      <c r="W399" s="12"/>
    </row>
    <row r="400" spans="1:23" s="7" customFormat="1" x14ac:dyDescent="0.7">
      <c r="A400" s="78"/>
      <c r="B400" s="93"/>
      <c r="C400" s="44" t="s">
        <v>5</v>
      </c>
      <c r="D400" s="17">
        <f>SUM(D401:D404)</f>
        <v>140</v>
      </c>
      <c r="E400" s="18">
        <f>SUM(E401:E404)</f>
        <v>140</v>
      </c>
      <c r="F400" s="18"/>
      <c r="G400" s="18"/>
      <c r="H400" s="18"/>
      <c r="I400" s="18"/>
      <c r="J400" s="66"/>
      <c r="K400" s="66"/>
      <c r="L400" s="66"/>
      <c r="M400" s="66"/>
      <c r="N400" s="66"/>
      <c r="O400" s="66"/>
      <c r="P400" s="66"/>
      <c r="Q400" s="72"/>
      <c r="R400" s="66"/>
      <c r="S400" s="66"/>
      <c r="T400" s="66"/>
      <c r="U400" s="66"/>
      <c r="V400" s="66"/>
      <c r="W400" s="12"/>
    </row>
    <row r="401" spans="1:23" s="7" customFormat="1" ht="91.5" x14ac:dyDescent="0.7">
      <c r="A401" s="78"/>
      <c r="B401" s="93"/>
      <c r="C401" s="44" t="s">
        <v>0</v>
      </c>
      <c r="D401" s="17"/>
      <c r="E401" s="18"/>
      <c r="F401" s="18"/>
      <c r="G401" s="18"/>
      <c r="H401" s="18"/>
      <c r="I401" s="18"/>
      <c r="J401" s="66"/>
      <c r="K401" s="66"/>
      <c r="L401" s="66"/>
      <c r="M401" s="66"/>
      <c r="N401" s="66"/>
      <c r="O401" s="66"/>
      <c r="P401" s="66"/>
      <c r="Q401" s="72"/>
      <c r="R401" s="66"/>
      <c r="S401" s="66"/>
      <c r="T401" s="66"/>
      <c r="U401" s="66"/>
      <c r="V401" s="66"/>
      <c r="W401" s="12"/>
    </row>
    <row r="402" spans="1:23" s="7" customFormat="1" ht="91.5" x14ac:dyDescent="0.7">
      <c r="A402" s="78"/>
      <c r="B402" s="93"/>
      <c r="C402" s="44" t="s">
        <v>1</v>
      </c>
      <c r="D402" s="17">
        <f>SUM(E402:H402)</f>
        <v>140</v>
      </c>
      <c r="E402" s="18">
        <v>140</v>
      </c>
      <c r="F402" s="18"/>
      <c r="G402" s="18"/>
      <c r="H402" s="18"/>
      <c r="I402" s="18"/>
      <c r="J402" s="66"/>
      <c r="K402" s="66"/>
      <c r="L402" s="66"/>
      <c r="M402" s="66"/>
      <c r="N402" s="66"/>
      <c r="O402" s="66"/>
      <c r="P402" s="66"/>
      <c r="Q402" s="72"/>
      <c r="R402" s="66"/>
      <c r="S402" s="66"/>
      <c r="T402" s="66"/>
      <c r="U402" s="66"/>
      <c r="V402" s="66"/>
      <c r="W402" s="12"/>
    </row>
    <row r="403" spans="1:23" s="7" customFormat="1" ht="91.5" x14ac:dyDescent="0.7">
      <c r="A403" s="78"/>
      <c r="B403" s="93"/>
      <c r="C403" s="44" t="s">
        <v>2</v>
      </c>
      <c r="D403" s="17"/>
      <c r="E403" s="18"/>
      <c r="F403" s="18"/>
      <c r="G403" s="18"/>
      <c r="H403" s="18"/>
      <c r="I403" s="18"/>
      <c r="J403" s="66"/>
      <c r="K403" s="66"/>
      <c r="L403" s="66"/>
      <c r="M403" s="66"/>
      <c r="N403" s="66"/>
      <c r="O403" s="66"/>
      <c r="P403" s="66"/>
      <c r="Q403" s="72"/>
      <c r="R403" s="66"/>
      <c r="S403" s="66"/>
      <c r="T403" s="66"/>
      <c r="U403" s="66"/>
      <c r="V403" s="66"/>
      <c r="W403" s="12"/>
    </row>
    <row r="404" spans="1:23" s="7" customFormat="1" ht="91.5" x14ac:dyDescent="0.7">
      <c r="A404" s="79"/>
      <c r="B404" s="94"/>
      <c r="C404" s="44" t="s">
        <v>3</v>
      </c>
      <c r="D404" s="17"/>
      <c r="E404" s="18"/>
      <c r="F404" s="18"/>
      <c r="G404" s="18"/>
      <c r="H404" s="18"/>
      <c r="I404" s="18"/>
      <c r="J404" s="67"/>
      <c r="K404" s="67"/>
      <c r="L404" s="67"/>
      <c r="M404" s="67"/>
      <c r="N404" s="67"/>
      <c r="O404" s="67"/>
      <c r="P404" s="67"/>
      <c r="Q404" s="73"/>
      <c r="R404" s="67"/>
      <c r="S404" s="67"/>
      <c r="T404" s="67"/>
      <c r="U404" s="67"/>
      <c r="V404" s="67"/>
      <c r="W404" s="12"/>
    </row>
    <row r="405" spans="1:23" s="7" customFormat="1" x14ac:dyDescent="0.7">
      <c r="A405" s="74" t="s">
        <v>90</v>
      </c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6"/>
      <c r="W405" s="12"/>
    </row>
    <row r="406" spans="1:23" s="7" customFormat="1" ht="47.25" customHeight="1" x14ac:dyDescent="0.7">
      <c r="A406" s="77"/>
      <c r="B406" s="89" t="s">
        <v>393</v>
      </c>
      <c r="C406" s="90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1"/>
      <c r="W406" s="12"/>
    </row>
    <row r="407" spans="1:23" s="7" customFormat="1" ht="99" customHeight="1" x14ac:dyDescent="0.7">
      <c r="A407" s="78"/>
      <c r="B407" s="83" t="s">
        <v>569</v>
      </c>
      <c r="C407" s="86" t="s">
        <v>394</v>
      </c>
      <c r="D407" s="87"/>
      <c r="E407" s="87"/>
      <c r="F407" s="87"/>
      <c r="G407" s="87"/>
      <c r="H407" s="88"/>
      <c r="I407" s="29"/>
      <c r="J407" s="65"/>
      <c r="K407" s="65"/>
      <c r="L407" s="65" t="s">
        <v>395</v>
      </c>
      <c r="M407" s="65"/>
      <c r="N407" s="65" t="s">
        <v>90</v>
      </c>
      <c r="O407" s="65" t="s">
        <v>90</v>
      </c>
      <c r="P407" s="65" t="s">
        <v>90</v>
      </c>
      <c r="Q407" s="71"/>
      <c r="R407" s="65" t="s">
        <v>11</v>
      </c>
      <c r="S407" s="65"/>
      <c r="T407" s="65"/>
      <c r="U407" s="65"/>
      <c r="V407" s="65"/>
      <c r="W407" s="12"/>
    </row>
    <row r="408" spans="1:23" s="7" customFormat="1" x14ac:dyDescent="0.7">
      <c r="A408" s="78"/>
      <c r="B408" s="84"/>
      <c r="C408" s="44" t="s">
        <v>5</v>
      </c>
      <c r="D408" s="17">
        <f t="shared" ref="D408:E408" si="48">SUM(D409:D412)</f>
        <v>21052.396369999999</v>
      </c>
      <c r="E408" s="18">
        <f t="shared" si="48"/>
        <v>21052.396369999999</v>
      </c>
      <c r="F408" s="18"/>
      <c r="G408" s="18"/>
      <c r="H408" s="18"/>
      <c r="I408" s="13"/>
      <c r="J408" s="66"/>
      <c r="K408" s="66"/>
      <c r="L408" s="66"/>
      <c r="M408" s="66"/>
      <c r="N408" s="66"/>
      <c r="O408" s="66"/>
      <c r="P408" s="66"/>
      <c r="Q408" s="72"/>
      <c r="R408" s="66"/>
      <c r="S408" s="66"/>
      <c r="T408" s="66"/>
      <c r="U408" s="66"/>
      <c r="V408" s="66"/>
      <c r="W408" s="12"/>
    </row>
    <row r="409" spans="1:23" s="7" customFormat="1" ht="45.75" customHeight="1" x14ac:dyDescent="0.7">
      <c r="A409" s="78"/>
      <c r="B409" s="84"/>
      <c r="C409" s="44" t="s">
        <v>0</v>
      </c>
      <c r="D409" s="17"/>
      <c r="E409" s="18"/>
      <c r="F409" s="18"/>
      <c r="G409" s="18"/>
      <c r="H409" s="18"/>
      <c r="I409" s="13"/>
      <c r="J409" s="66"/>
      <c r="K409" s="66"/>
      <c r="L409" s="66"/>
      <c r="M409" s="66"/>
      <c r="N409" s="66"/>
      <c r="O409" s="66"/>
      <c r="P409" s="66"/>
      <c r="Q409" s="72"/>
      <c r="R409" s="66"/>
      <c r="S409" s="66"/>
      <c r="T409" s="66"/>
      <c r="U409" s="66"/>
      <c r="V409" s="66"/>
      <c r="W409" s="12"/>
    </row>
    <row r="410" spans="1:23" s="7" customFormat="1" ht="91.5" x14ac:dyDescent="0.7">
      <c r="A410" s="78"/>
      <c r="B410" s="84"/>
      <c r="C410" s="44" t="s">
        <v>1</v>
      </c>
      <c r="D410" s="17">
        <f>SUM(E410:H410)</f>
        <v>21052.396369999999</v>
      </c>
      <c r="E410" s="18">
        <f>16000+5248-195.60363</f>
        <v>21052.396369999999</v>
      </c>
      <c r="F410" s="18"/>
      <c r="G410" s="18"/>
      <c r="H410" s="18"/>
      <c r="I410" s="13"/>
      <c r="J410" s="66"/>
      <c r="K410" s="66"/>
      <c r="L410" s="66"/>
      <c r="M410" s="66"/>
      <c r="N410" s="66"/>
      <c r="O410" s="66"/>
      <c r="P410" s="66"/>
      <c r="Q410" s="72"/>
      <c r="R410" s="66"/>
      <c r="S410" s="66"/>
      <c r="T410" s="66"/>
      <c r="U410" s="66"/>
      <c r="V410" s="66"/>
      <c r="W410" s="12"/>
    </row>
    <row r="411" spans="1:23" s="7" customFormat="1" ht="99" customHeight="1" x14ac:dyDescent="0.7">
      <c r="A411" s="78"/>
      <c r="B411" s="84"/>
      <c r="C411" s="32" t="s">
        <v>2</v>
      </c>
      <c r="D411" s="19"/>
      <c r="E411" s="13"/>
      <c r="F411" s="13"/>
      <c r="G411" s="13"/>
      <c r="H411" s="13"/>
      <c r="I411" s="13"/>
      <c r="J411" s="66"/>
      <c r="K411" s="66"/>
      <c r="L411" s="66"/>
      <c r="M411" s="66"/>
      <c r="N411" s="66"/>
      <c r="O411" s="66"/>
      <c r="P411" s="66"/>
      <c r="Q411" s="72"/>
      <c r="R411" s="66"/>
      <c r="S411" s="66"/>
      <c r="T411" s="66"/>
      <c r="U411" s="66"/>
      <c r="V411" s="66"/>
      <c r="W411" s="12"/>
    </row>
    <row r="412" spans="1:23" s="7" customFormat="1" ht="109.5" customHeight="1" x14ac:dyDescent="0.7">
      <c r="A412" s="79"/>
      <c r="B412" s="85"/>
      <c r="C412" s="32" t="s">
        <v>3</v>
      </c>
      <c r="D412" s="19"/>
      <c r="E412" s="13"/>
      <c r="F412" s="13"/>
      <c r="G412" s="13"/>
      <c r="H412" s="13"/>
      <c r="I412" s="13"/>
      <c r="J412" s="67"/>
      <c r="K412" s="67"/>
      <c r="L412" s="67"/>
      <c r="M412" s="67"/>
      <c r="N412" s="67"/>
      <c r="O412" s="67"/>
      <c r="P412" s="67"/>
      <c r="Q412" s="73"/>
      <c r="R412" s="67"/>
      <c r="S412" s="67"/>
      <c r="T412" s="67"/>
      <c r="U412" s="67"/>
      <c r="V412" s="67"/>
      <c r="W412" s="12"/>
    </row>
    <row r="413" spans="1:23" s="7" customFormat="1" x14ac:dyDescent="0.7">
      <c r="A413" s="74" t="s">
        <v>90</v>
      </c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6"/>
      <c r="W413" s="12"/>
    </row>
    <row r="414" spans="1:23" s="7" customFormat="1" ht="54" customHeight="1" x14ac:dyDescent="0.7">
      <c r="A414" s="77"/>
      <c r="B414" s="89" t="s">
        <v>393</v>
      </c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1"/>
      <c r="W414" s="12"/>
    </row>
    <row r="415" spans="1:23" s="7" customFormat="1" ht="211.5" customHeight="1" x14ac:dyDescent="0.7">
      <c r="A415" s="78"/>
      <c r="B415" s="83" t="s">
        <v>665</v>
      </c>
      <c r="C415" s="86" t="s">
        <v>664</v>
      </c>
      <c r="D415" s="87"/>
      <c r="E415" s="87"/>
      <c r="F415" s="87"/>
      <c r="G415" s="87"/>
      <c r="H415" s="88"/>
      <c r="I415" s="29"/>
      <c r="J415" s="65"/>
      <c r="K415" s="65"/>
      <c r="L415" s="65" t="s">
        <v>395</v>
      </c>
      <c r="M415" s="65"/>
      <c r="N415" s="65" t="s">
        <v>90</v>
      </c>
      <c r="O415" s="65" t="s">
        <v>90</v>
      </c>
      <c r="P415" s="65" t="s">
        <v>90</v>
      </c>
      <c r="Q415" s="71"/>
      <c r="R415" s="65" t="s">
        <v>11</v>
      </c>
      <c r="S415" s="65"/>
      <c r="T415" s="65"/>
      <c r="U415" s="65"/>
      <c r="V415" s="65"/>
      <c r="W415" s="12"/>
    </row>
    <row r="416" spans="1:23" s="7" customFormat="1" ht="54" customHeight="1" x14ac:dyDescent="0.7">
      <c r="A416" s="78"/>
      <c r="B416" s="84"/>
      <c r="C416" s="44" t="s">
        <v>5</v>
      </c>
      <c r="D416" s="17">
        <f t="shared" ref="D416:E416" si="49">SUM(D417:D420)</f>
        <v>13120</v>
      </c>
      <c r="E416" s="18">
        <f t="shared" si="49"/>
        <v>13120</v>
      </c>
      <c r="F416" s="18"/>
      <c r="G416" s="18"/>
      <c r="H416" s="18"/>
      <c r="I416" s="13"/>
      <c r="J416" s="66"/>
      <c r="K416" s="66"/>
      <c r="L416" s="66"/>
      <c r="M416" s="66"/>
      <c r="N416" s="66"/>
      <c r="O416" s="66"/>
      <c r="P416" s="66"/>
      <c r="Q416" s="72"/>
      <c r="R416" s="66"/>
      <c r="S416" s="66"/>
      <c r="T416" s="66"/>
      <c r="U416" s="66"/>
      <c r="V416" s="66"/>
      <c r="W416" s="12"/>
    </row>
    <row r="417" spans="1:23" s="7" customFormat="1" ht="45.75" customHeight="1" x14ac:dyDescent="0.7">
      <c r="A417" s="78"/>
      <c r="B417" s="84"/>
      <c r="C417" s="44" t="s">
        <v>0</v>
      </c>
      <c r="D417" s="17"/>
      <c r="E417" s="18"/>
      <c r="F417" s="18"/>
      <c r="G417" s="18"/>
      <c r="H417" s="18"/>
      <c r="I417" s="13"/>
      <c r="J417" s="66"/>
      <c r="K417" s="66"/>
      <c r="L417" s="66"/>
      <c r="M417" s="66"/>
      <c r="N417" s="66"/>
      <c r="O417" s="66"/>
      <c r="P417" s="66"/>
      <c r="Q417" s="72"/>
      <c r="R417" s="66"/>
      <c r="S417" s="66"/>
      <c r="T417" s="66"/>
      <c r="U417" s="66"/>
      <c r="V417" s="66"/>
      <c r="W417" s="12"/>
    </row>
    <row r="418" spans="1:23" s="7" customFormat="1" ht="91.5" x14ac:dyDescent="0.7">
      <c r="A418" s="78"/>
      <c r="B418" s="84"/>
      <c r="C418" s="44" t="s">
        <v>1</v>
      </c>
      <c r="D418" s="17">
        <f>SUM(E418:H418)</f>
        <v>13120</v>
      </c>
      <c r="E418" s="18">
        <v>13120</v>
      </c>
      <c r="F418" s="18"/>
      <c r="G418" s="18"/>
      <c r="H418" s="18"/>
      <c r="I418" s="13"/>
      <c r="J418" s="66"/>
      <c r="K418" s="66"/>
      <c r="L418" s="66"/>
      <c r="M418" s="66"/>
      <c r="N418" s="66"/>
      <c r="O418" s="66"/>
      <c r="P418" s="66"/>
      <c r="Q418" s="72"/>
      <c r="R418" s="66"/>
      <c r="S418" s="66"/>
      <c r="T418" s="66"/>
      <c r="U418" s="66"/>
      <c r="V418" s="66"/>
      <c r="W418" s="12"/>
    </row>
    <row r="419" spans="1:23" s="7" customFormat="1" ht="95.25" customHeight="1" x14ac:dyDescent="0.7">
      <c r="A419" s="78"/>
      <c r="B419" s="84"/>
      <c r="C419" s="32" t="s">
        <v>2</v>
      </c>
      <c r="D419" s="19"/>
      <c r="E419" s="13"/>
      <c r="F419" s="13"/>
      <c r="G419" s="13"/>
      <c r="H419" s="13"/>
      <c r="I419" s="13"/>
      <c r="J419" s="66"/>
      <c r="K419" s="66"/>
      <c r="L419" s="66"/>
      <c r="M419" s="66"/>
      <c r="N419" s="66"/>
      <c r="O419" s="66"/>
      <c r="P419" s="66"/>
      <c r="Q419" s="72"/>
      <c r="R419" s="66"/>
      <c r="S419" s="66"/>
      <c r="T419" s="66"/>
      <c r="U419" s="66"/>
      <c r="V419" s="66"/>
      <c r="W419" s="12"/>
    </row>
    <row r="420" spans="1:23" s="7" customFormat="1" ht="113.25" customHeight="1" x14ac:dyDescent="0.7">
      <c r="A420" s="79"/>
      <c r="B420" s="85"/>
      <c r="C420" s="32" t="s">
        <v>3</v>
      </c>
      <c r="D420" s="19"/>
      <c r="E420" s="13"/>
      <c r="F420" s="13"/>
      <c r="G420" s="13"/>
      <c r="H420" s="13"/>
      <c r="I420" s="13"/>
      <c r="J420" s="67"/>
      <c r="K420" s="67"/>
      <c r="L420" s="67"/>
      <c r="M420" s="67"/>
      <c r="N420" s="67"/>
      <c r="O420" s="67"/>
      <c r="P420" s="67"/>
      <c r="Q420" s="73"/>
      <c r="R420" s="67"/>
      <c r="S420" s="67"/>
      <c r="T420" s="67"/>
      <c r="U420" s="67"/>
      <c r="V420" s="67"/>
      <c r="W420" s="12"/>
    </row>
    <row r="421" spans="1:23" s="7" customFormat="1" x14ac:dyDescent="0.7">
      <c r="A421" s="115" t="s">
        <v>53</v>
      </c>
      <c r="B421" s="118" t="s">
        <v>247</v>
      </c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20"/>
      <c r="W421" s="12"/>
    </row>
    <row r="422" spans="1:23" s="7" customFormat="1" ht="54" customHeight="1" x14ac:dyDescent="0.7">
      <c r="A422" s="116"/>
      <c r="B422" s="113" t="s">
        <v>5</v>
      </c>
      <c r="C422" s="114"/>
      <c r="D422" s="16">
        <f>SUM(D423:D426)</f>
        <v>868100.39307999995</v>
      </c>
      <c r="E422" s="16">
        <f>E430+E470+E478+E486+E494+E502+E510+E518</f>
        <v>55149.746820000008</v>
      </c>
      <c r="F422" s="16">
        <f>F430+F470+F478+F486+F494+F502+F510+F518</f>
        <v>100097.03</v>
      </c>
      <c r="G422" s="16">
        <f>G430+G470+G478+G486+G494+G502+G510+G518</f>
        <v>0</v>
      </c>
      <c r="H422" s="16">
        <f>H430+H470+H478+H486+H494+H502+H510+H518</f>
        <v>385000</v>
      </c>
      <c r="I422" s="16">
        <f>I430+I470+I478+I486+I494+I502+I510+I518</f>
        <v>318372</v>
      </c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12"/>
    </row>
    <row r="423" spans="1:23" s="7" customFormat="1" x14ac:dyDescent="0.7">
      <c r="A423" s="116"/>
      <c r="B423" s="113" t="s">
        <v>0</v>
      </c>
      <c r="C423" s="114"/>
      <c r="D423" s="16"/>
      <c r="E423" s="16"/>
      <c r="F423" s="16"/>
      <c r="G423" s="16"/>
      <c r="H423" s="16"/>
      <c r="I423" s="16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12"/>
    </row>
    <row r="424" spans="1:23" s="7" customFormat="1" ht="54" customHeight="1" x14ac:dyDescent="0.7">
      <c r="A424" s="116"/>
      <c r="B424" s="113" t="s">
        <v>1</v>
      </c>
      <c r="C424" s="114"/>
      <c r="D424" s="16">
        <f>SUM(E424:I424)</f>
        <v>867035.85037999996</v>
      </c>
      <c r="E424" s="16">
        <f>E432+E440+E448+E456+E464+E472+E480+E488+E496+E504+E512+E520</f>
        <v>63566.820380000012</v>
      </c>
      <c r="F424" s="16">
        <f>F432+F472+F480+F488+F496+F504+F512+F520</f>
        <v>100097.03</v>
      </c>
      <c r="G424" s="16">
        <f>G432+G472+G480+G488+G496+G504+G512+G520</f>
        <v>0</v>
      </c>
      <c r="H424" s="16">
        <f>H432+H472+H480+H488+H496+H504+H512+H520</f>
        <v>385000</v>
      </c>
      <c r="I424" s="16">
        <f>I432+I472+I480+I488+I496+I504+I512+I520</f>
        <v>318372</v>
      </c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12"/>
    </row>
    <row r="425" spans="1:23" s="7" customFormat="1" ht="45.75" customHeight="1" x14ac:dyDescent="0.7">
      <c r="A425" s="116"/>
      <c r="B425" s="113" t="s">
        <v>2</v>
      </c>
      <c r="C425" s="114"/>
      <c r="D425" s="16">
        <f>SUM(E425:I425)</f>
        <v>1064.5427</v>
      </c>
      <c r="E425" s="16">
        <f>E433+E473+E481+E489+E497+E505+E513+E521</f>
        <v>1064.5427</v>
      </c>
      <c r="F425" s="16"/>
      <c r="G425" s="16"/>
      <c r="H425" s="16"/>
      <c r="I425" s="16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12"/>
    </row>
    <row r="426" spans="1:23" s="7" customFormat="1" ht="114" customHeight="1" x14ac:dyDescent="0.7">
      <c r="A426" s="117"/>
      <c r="B426" s="113" t="s">
        <v>3</v>
      </c>
      <c r="C426" s="114"/>
      <c r="D426" s="20"/>
      <c r="E426" s="16"/>
      <c r="F426" s="16"/>
      <c r="G426" s="16"/>
      <c r="H426" s="16"/>
      <c r="I426" s="16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12"/>
    </row>
    <row r="427" spans="1:23" s="7" customFormat="1" x14ac:dyDescent="0.7">
      <c r="A427" s="74" t="s">
        <v>22</v>
      </c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6"/>
      <c r="W427" s="12"/>
    </row>
    <row r="428" spans="1:23" s="7" customFormat="1" x14ac:dyDescent="0.7">
      <c r="A428" s="77"/>
      <c r="B428" s="89" t="s">
        <v>555</v>
      </c>
      <c r="C428" s="90"/>
      <c r="D428" s="90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1"/>
      <c r="W428" s="12"/>
    </row>
    <row r="429" spans="1:23" s="7" customFormat="1" ht="110.25" customHeight="1" x14ac:dyDescent="0.7">
      <c r="A429" s="78"/>
      <c r="B429" s="92" t="s">
        <v>54</v>
      </c>
      <c r="C429" s="86" t="s">
        <v>676</v>
      </c>
      <c r="D429" s="87"/>
      <c r="E429" s="87"/>
      <c r="F429" s="87"/>
      <c r="G429" s="87"/>
      <c r="H429" s="88"/>
      <c r="I429" s="45"/>
      <c r="J429" s="65" t="s">
        <v>73</v>
      </c>
      <c r="K429" s="65" t="s">
        <v>73</v>
      </c>
      <c r="L429" s="65" t="s">
        <v>88</v>
      </c>
      <c r="M429" s="65" t="s">
        <v>597</v>
      </c>
      <c r="N429" s="65" t="s">
        <v>10</v>
      </c>
      <c r="O429" s="65" t="s">
        <v>556</v>
      </c>
      <c r="P429" s="65" t="s">
        <v>556</v>
      </c>
      <c r="Q429" s="71" t="s">
        <v>598</v>
      </c>
      <c r="R429" s="65" t="s">
        <v>9</v>
      </c>
      <c r="S429" s="65" t="s">
        <v>10</v>
      </c>
      <c r="T429" s="65" t="s">
        <v>241</v>
      </c>
      <c r="U429" s="65"/>
      <c r="V429" s="65" t="s">
        <v>599</v>
      </c>
      <c r="W429" s="12"/>
    </row>
    <row r="430" spans="1:23" s="7" customFormat="1" x14ac:dyDescent="0.7">
      <c r="A430" s="78"/>
      <c r="B430" s="93"/>
      <c r="C430" s="44" t="s">
        <v>5</v>
      </c>
      <c r="D430" s="17">
        <f t="shared" ref="D430" si="50">SUM(D431:D434)</f>
        <v>5664.152</v>
      </c>
      <c r="E430" s="18">
        <f>SUM(E431:E434)</f>
        <v>5664.152</v>
      </c>
      <c r="F430" s="18"/>
      <c r="G430" s="18"/>
      <c r="H430" s="18"/>
      <c r="I430" s="18"/>
      <c r="J430" s="66"/>
      <c r="K430" s="66"/>
      <c r="L430" s="66"/>
      <c r="M430" s="66"/>
      <c r="N430" s="66"/>
      <c r="O430" s="66"/>
      <c r="P430" s="66"/>
      <c r="Q430" s="72"/>
      <c r="R430" s="66"/>
      <c r="S430" s="66"/>
      <c r="T430" s="66"/>
      <c r="U430" s="66"/>
      <c r="V430" s="66"/>
      <c r="W430" s="12"/>
    </row>
    <row r="431" spans="1:23" s="7" customFormat="1" ht="91.5" x14ac:dyDescent="0.7">
      <c r="A431" s="78"/>
      <c r="B431" s="93"/>
      <c r="C431" s="44" t="s">
        <v>0</v>
      </c>
      <c r="D431" s="17"/>
      <c r="E431" s="18"/>
      <c r="F431" s="18"/>
      <c r="G431" s="18"/>
      <c r="H431" s="18"/>
      <c r="I431" s="18"/>
      <c r="J431" s="66"/>
      <c r="K431" s="66"/>
      <c r="L431" s="66"/>
      <c r="M431" s="66"/>
      <c r="N431" s="66"/>
      <c r="O431" s="66"/>
      <c r="P431" s="66"/>
      <c r="Q431" s="72"/>
      <c r="R431" s="66"/>
      <c r="S431" s="66"/>
      <c r="T431" s="66"/>
      <c r="U431" s="66"/>
      <c r="V431" s="66"/>
      <c r="W431" s="12"/>
    </row>
    <row r="432" spans="1:23" s="7" customFormat="1" ht="91.5" x14ac:dyDescent="0.7">
      <c r="A432" s="78"/>
      <c r="B432" s="93"/>
      <c r="C432" s="44" t="s">
        <v>1</v>
      </c>
      <c r="D432" s="17">
        <f>SUM(E432:H432)</f>
        <v>5550.8689599999998</v>
      </c>
      <c r="E432" s="18">
        <f>9800-4249.13104</f>
        <v>5550.8689599999998</v>
      </c>
      <c r="F432" s="18"/>
      <c r="G432" s="18"/>
      <c r="H432" s="18"/>
      <c r="I432" s="18"/>
      <c r="J432" s="66"/>
      <c r="K432" s="66"/>
      <c r="L432" s="66"/>
      <c r="M432" s="66"/>
      <c r="N432" s="66"/>
      <c r="O432" s="66"/>
      <c r="P432" s="66"/>
      <c r="Q432" s="72"/>
      <c r="R432" s="66"/>
      <c r="S432" s="66"/>
      <c r="T432" s="66"/>
      <c r="U432" s="66"/>
      <c r="V432" s="66"/>
      <c r="W432" s="12"/>
    </row>
    <row r="433" spans="1:23" s="7" customFormat="1" ht="90.75" customHeight="1" x14ac:dyDescent="0.7">
      <c r="A433" s="78"/>
      <c r="B433" s="93"/>
      <c r="C433" s="44" t="s">
        <v>2</v>
      </c>
      <c r="D433" s="17">
        <f>SUM(E433:H433)</f>
        <v>113.28304</v>
      </c>
      <c r="E433" s="18">
        <v>113.28304</v>
      </c>
      <c r="F433" s="18"/>
      <c r="G433" s="18"/>
      <c r="H433" s="18"/>
      <c r="I433" s="18"/>
      <c r="J433" s="66"/>
      <c r="K433" s="66"/>
      <c r="L433" s="66"/>
      <c r="M433" s="66"/>
      <c r="N433" s="66"/>
      <c r="O433" s="66"/>
      <c r="P433" s="66"/>
      <c r="Q433" s="72"/>
      <c r="R433" s="66"/>
      <c r="S433" s="66"/>
      <c r="T433" s="66"/>
      <c r="U433" s="66"/>
      <c r="V433" s="66"/>
      <c r="W433" s="12"/>
    </row>
    <row r="434" spans="1:23" s="7" customFormat="1" ht="91.5" x14ac:dyDescent="0.7">
      <c r="A434" s="79"/>
      <c r="B434" s="94"/>
      <c r="C434" s="44" t="s">
        <v>3</v>
      </c>
      <c r="D434" s="17"/>
      <c r="E434" s="18"/>
      <c r="F434" s="18"/>
      <c r="G434" s="18"/>
      <c r="H434" s="18"/>
      <c r="I434" s="18"/>
      <c r="J434" s="67"/>
      <c r="K434" s="67"/>
      <c r="L434" s="67"/>
      <c r="M434" s="67"/>
      <c r="N434" s="67"/>
      <c r="O434" s="67"/>
      <c r="P434" s="67"/>
      <c r="Q434" s="73"/>
      <c r="R434" s="67"/>
      <c r="S434" s="67"/>
      <c r="T434" s="67"/>
      <c r="U434" s="67"/>
      <c r="V434" s="67"/>
      <c r="W434" s="12"/>
    </row>
    <row r="435" spans="1:23" s="7" customFormat="1" x14ac:dyDescent="0.7">
      <c r="A435" s="74" t="s">
        <v>22</v>
      </c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6"/>
      <c r="W435" s="12"/>
    </row>
    <row r="436" spans="1:23" s="7" customFormat="1" x14ac:dyDescent="0.7">
      <c r="A436" s="77"/>
      <c r="B436" s="89" t="s">
        <v>555</v>
      </c>
      <c r="C436" s="90"/>
      <c r="D436" s="90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1"/>
      <c r="W436" s="12"/>
    </row>
    <row r="437" spans="1:23" s="7" customFormat="1" ht="103.5" customHeight="1" x14ac:dyDescent="0.7">
      <c r="A437" s="78"/>
      <c r="B437" s="92" t="s">
        <v>55</v>
      </c>
      <c r="C437" s="86" t="s">
        <v>701</v>
      </c>
      <c r="D437" s="87"/>
      <c r="E437" s="87"/>
      <c r="F437" s="87"/>
      <c r="G437" s="87"/>
      <c r="H437" s="88"/>
      <c r="I437" s="45"/>
      <c r="J437" s="124">
        <v>2017</v>
      </c>
      <c r="K437" s="137"/>
      <c r="L437" s="65" t="s">
        <v>88</v>
      </c>
      <c r="M437" s="124" t="s">
        <v>659</v>
      </c>
      <c r="N437" s="124" t="s">
        <v>600</v>
      </c>
      <c r="O437" s="124" t="s">
        <v>601</v>
      </c>
      <c r="P437" s="124" t="s">
        <v>601</v>
      </c>
      <c r="Q437" s="125"/>
      <c r="R437" s="124" t="s">
        <v>9</v>
      </c>
      <c r="S437" s="124" t="s">
        <v>601</v>
      </c>
      <c r="T437" s="124"/>
      <c r="U437" s="137"/>
      <c r="V437" s="124"/>
      <c r="W437" s="12"/>
    </row>
    <row r="438" spans="1:23" s="7" customFormat="1" x14ac:dyDescent="0.7">
      <c r="A438" s="78"/>
      <c r="B438" s="93"/>
      <c r="C438" s="44" t="s">
        <v>5</v>
      </c>
      <c r="D438" s="17">
        <f t="shared" ref="D438" si="51">SUM(D439:D442)</f>
        <v>980.39559183673475</v>
      </c>
      <c r="E438" s="18">
        <f>SUM(E439:E442)</f>
        <v>980.39559183673475</v>
      </c>
      <c r="F438" s="18"/>
      <c r="G438" s="18"/>
      <c r="H438" s="18"/>
      <c r="I438" s="18"/>
      <c r="J438" s="124"/>
      <c r="K438" s="137"/>
      <c r="L438" s="66"/>
      <c r="M438" s="124"/>
      <c r="N438" s="124"/>
      <c r="O438" s="124"/>
      <c r="P438" s="124"/>
      <c r="Q438" s="125"/>
      <c r="R438" s="124"/>
      <c r="S438" s="124"/>
      <c r="T438" s="124"/>
      <c r="U438" s="137"/>
      <c r="V438" s="124"/>
      <c r="W438" s="12"/>
    </row>
    <row r="439" spans="1:23" s="7" customFormat="1" ht="91.5" x14ac:dyDescent="0.7">
      <c r="A439" s="78"/>
      <c r="B439" s="93"/>
      <c r="C439" s="44" t="s">
        <v>0</v>
      </c>
      <c r="D439" s="17"/>
      <c r="E439" s="18"/>
      <c r="F439" s="18"/>
      <c r="G439" s="18"/>
      <c r="H439" s="18"/>
      <c r="I439" s="18"/>
      <c r="J439" s="124"/>
      <c r="K439" s="137"/>
      <c r="L439" s="66"/>
      <c r="M439" s="124"/>
      <c r="N439" s="124"/>
      <c r="O439" s="124"/>
      <c r="P439" s="124"/>
      <c r="Q439" s="125"/>
      <c r="R439" s="124"/>
      <c r="S439" s="124"/>
      <c r="T439" s="124"/>
      <c r="U439" s="137"/>
      <c r="V439" s="124"/>
      <c r="W439" s="12"/>
    </row>
    <row r="440" spans="1:23" s="7" customFormat="1" ht="91.5" x14ac:dyDescent="0.7">
      <c r="A440" s="78"/>
      <c r="B440" s="93"/>
      <c r="C440" s="44" t="s">
        <v>1</v>
      </c>
      <c r="D440" s="17">
        <f>SUM(E440:H440)</f>
        <v>960.78768000000002</v>
      </c>
      <c r="E440" s="18">
        <v>960.78768000000002</v>
      </c>
      <c r="F440" s="18"/>
      <c r="G440" s="18"/>
      <c r="H440" s="18"/>
      <c r="I440" s="18"/>
      <c r="J440" s="124"/>
      <c r="K440" s="137"/>
      <c r="L440" s="66"/>
      <c r="M440" s="124"/>
      <c r="N440" s="124"/>
      <c r="O440" s="124"/>
      <c r="P440" s="124"/>
      <c r="Q440" s="125"/>
      <c r="R440" s="124"/>
      <c r="S440" s="124"/>
      <c r="T440" s="124"/>
      <c r="U440" s="137"/>
      <c r="V440" s="124"/>
      <c r="W440" s="12"/>
    </row>
    <row r="441" spans="1:23" s="7" customFormat="1" ht="98.25" customHeight="1" x14ac:dyDescent="0.7">
      <c r="A441" s="78"/>
      <c r="B441" s="93"/>
      <c r="C441" s="44" t="s">
        <v>2</v>
      </c>
      <c r="D441" s="17">
        <f>SUM(E441:H441)</f>
        <v>19.607911836734694</v>
      </c>
      <c r="E441" s="18">
        <v>19.607911836734694</v>
      </c>
      <c r="F441" s="18"/>
      <c r="G441" s="18"/>
      <c r="H441" s="18"/>
      <c r="I441" s="18"/>
      <c r="J441" s="124"/>
      <c r="K441" s="137"/>
      <c r="L441" s="66"/>
      <c r="M441" s="124"/>
      <c r="N441" s="124"/>
      <c r="O441" s="124"/>
      <c r="P441" s="124"/>
      <c r="Q441" s="125"/>
      <c r="R441" s="124"/>
      <c r="S441" s="124"/>
      <c r="T441" s="124"/>
      <c r="U441" s="137"/>
      <c r="V441" s="124"/>
      <c r="W441" s="12"/>
    </row>
    <row r="442" spans="1:23" s="7" customFormat="1" ht="91.5" x14ac:dyDescent="0.7">
      <c r="A442" s="79"/>
      <c r="B442" s="94"/>
      <c r="C442" s="44" t="s">
        <v>3</v>
      </c>
      <c r="D442" s="17"/>
      <c r="E442" s="18"/>
      <c r="F442" s="18"/>
      <c r="G442" s="18"/>
      <c r="H442" s="18"/>
      <c r="I442" s="18"/>
      <c r="J442" s="124"/>
      <c r="K442" s="137"/>
      <c r="L442" s="67"/>
      <c r="M442" s="124"/>
      <c r="N442" s="124"/>
      <c r="O442" s="124"/>
      <c r="P442" s="124"/>
      <c r="Q442" s="125"/>
      <c r="R442" s="124"/>
      <c r="S442" s="124"/>
      <c r="T442" s="124"/>
      <c r="U442" s="137"/>
      <c r="V442" s="124"/>
      <c r="W442" s="12"/>
    </row>
    <row r="443" spans="1:23" s="7" customFormat="1" x14ac:dyDescent="0.7">
      <c r="A443" s="74" t="s">
        <v>22</v>
      </c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6"/>
      <c r="W443" s="12"/>
    </row>
    <row r="444" spans="1:23" s="7" customFormat="1" x14ac:dyDescent="0.7">
      <c r="A444" s="77"/>
      <c r="B444" s="89" t="s">
        <v>555</v>
      </c>
      <c r="C444" s="90"/>
      <c r="D444" s="90"/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1"/>
      <c r="W444" s="12"/>
    </row>
    <row r="445" spans="1:23" s="7" customFormat="1" ht="46.5" customHeight="1" x14ac:dyDescent="0.7">
      <c r="A445" s="78"/>
      <c r="B445" s="92" t="s">
        <v>396</v>
      </c>
      <c r="C445" s="86" t="s">
        <v>660</v>
      </c>
      <c r="D445" s="87"/>
      <c r="E445" s="87"/>
      <c r="F445" s="87"/>
      <c r="G445" s="87"/>
      <c r="H445" s="88"/>
      <c r="I445" s="45"/>
      <c r="J445" s="65" t="s">
        <v>73</v>
      </c>
      <c r="K445" s="65"/>
      <c r="L445" s="65" t="s">
        <v>88</v>
      </c>
      <c r="M445" s="65"/>
      <c r="N445" s="65" t="s">
        <v>699</v>
      </c>
      <c r="O445" s="65" t="s">
        <v>700</v>
      </c>
      <c r="P445" s="65" t="s">
        <v>700</v>
      </c>
      <c r="Q445" s="71"/>
      <c r="R445" s="65" t="s">
        <v>9</v>
      </c>
      <c r="S445" s="65" t="s">
        <v>661</v>
      </c>
      <c r="T445" s="65"/>
      <c r="U445" s="65"/>
      <c r="V445" s="65"/>
      <c r="W445" s="12"/>
    </row>
    <row r="446" spans="1:23" s="7" customFormat="1" x14ac:dyDescent="0.7">
      <c r="A446" s="78"/>
      <c r="B446" s="93"/>
      <c r="C446" s="44" t="s">
        <v>5</v>
      </c>
      <c r="D446" s="17">
        <f t="shared" ref="D446" si="52">SUM(D447:D450)</f>
        <v>1244.4020408163265</v>
      </c>
      <c r="E446" s="18">
        <f>SUM(E447:E450)</f>
        <v>1244.4020408163265</v>
      </c>
      <c r="F446" s="18"/>
      <c r="G446" s="18"/>
      <c r="H446" s="18"/>
      <c r="I446" s="18"/>
      <c r="J446" s="66"/>
      <c r="K446" s="66"/>
      <c r="L446" s="66"/>
      <c r="M446" s="66"/>
      <c r="N446" s="66"/>
      <c r="O446" s="66"/>
      <c r="P446" s="66"/>
      <c r="Q446" s="72"/>
      <c r="R446" s="66"/>
      <c r="S446" s="66"/>
      <c r="T446" s="66"/>
      <c r="U446" s="66"/>
      <c r="V446" s="66"/>
      <c r="W446" s="12"/>
    </row>
    <row r="447" spans="1:23" s="7" customFormat="1" ht="91.5" x14ac:dyDescent="0.7">
      <c r="A447" s="78"/>
      <c r="B447" s="93"/>
      <c r="C447" s="44" t="s">
        <v>0</v>
      </c>
      <c r="D447" s="17"/>
      <c r="E447" s="18"/>
      <c r="F447" s="18"/>
      <c r="G447" s="18"/>
      <c r="H447" s="18"/>
      <c r="I447" s="18"/>
      <c r="J447" s="66"/>
      <c r="K447" s="66"/>
      <c r="L447" s="66"/>
      <c r="M447" s="66"/>
      <c r="N447" s="66"/>
      <c r="O447" s="66"/>
      <c r="P447" s="66"/>
      <c r="Q447" s="72"/>
      <c r="R447" s="66"/>
      <c r="S447" s="66"/>
      <c r="T447" s="66"/>
      <c r="U447" s="66"/>
      <c r="V447" s="66"/>
      <c r="W447" s="12"/>
    </row>
    <row r="448" spans="1:23" s="7" customFormat="1" ht="91.5" x14ac:dyDescent="0.7">
      <c r="A448" s="78"/>
      <c r="B448" s="93"/>
      <c r="C448" s="44" t="s">
        <v>1</v>
      </c>
      <c r="D448" s="17">
        <f>SUM(E448:H448)</f>
        <v>1219.5139999999999</v>
      </c>
      <c r="E448" s="18">
        <v>1219.5139999999999</v>
      </c>
      <c r="F448" s="18"/>
      <c r="G448" s="18"/>
      <c r="H448" s="18"/>
      <c r="I448" s="18"/>
      <c r="J448" s="66"/>
      <c r="K448" s="66"/>
      <c r="L448" s="66"/>
      <c r="M448" s="66"/>
      <c r="N448" s="66"/>
      <c r="O448" s="66"/>
      <c r="P448" s="66"/>
      <c r="Q448" s="72"/>
      <c r="R448" s="66"/>
      <c r="S448" s="66"/>
      <c r="T448" s="66"/>
      <c r="U448" s="66"/>
      <c r="V448" s="66"/>
      <c r="W448" s="12"/>
    </row>
    <row r="449" spans="1:23" s="7" customFormat="1" ht="105" customHeight="1" x14ac:dyDescent="0.7">
      <c r="A449" s="78"/>
      <c r="B449" s="93"/>
      <c r="C449" s="44" t="s">
        <v>2</v>
      </c>
      <c r="D449" s="17">
        <f>SUM(E449:H449)</f>
        <v>24.88804081632653</v>
      </c>
      <c r="E449" s="18">
        <v>24.88804081632653</v>
      </c>
      <c r="F449" s="18"/>
      <c r="G449" s="18"/>
      <c r="H449" s="18"/>
      <c r="I449" s="18"/>
      <c r="J449" s="66"/>
      <c r="K449" s="66"/>
      <c r="L449" s="66"/>
      <c r="M449" s="66"/>
      <c r="N449" s="66"/>
      <c r="O449" s="66"/>
      <c r="P449" s="66"/>
      <c r="Q449" s="72"/>
      <c r="R449" s="66"/>
      <c r="S449" s="66"/>
      <c r="T449" s="66"/>
      <c r="U449" s="66"/>
      <c r="V449" s="66"/>
      <c r="W449" s="12"/>
    </row>
    <row r="450" spans="1:23" s="7" customFormat="1" ht="91.5" x14ac:dyDescent="0.7">
      <c r="A450" s="79"/>
      <c r="B450" s="94"/>
      <c r="C450" s="44" t="s">
        <v>3</v>
      </c>
      <c r="D450" s="17"/>
      <c r="E450" s="18"/>
      <c r="F450" s="18"/>
      <c r="G450" s="18"/>
      <c r="H450" s="18"/>
      <c r="I450" s="18"/>
      <c r="J450" s="67"/>
      <c r="K450" s="67"/>
      <c r="L450" s="67"/>
      <c r="M450" s="67"/>
      <c r="N450" s="67"/>
      <c r="O450" s="67"/>
      <c r="P450" s="67"/>
      <c r="Q450" s="73"/>
      <c r="R450" s="67"/>
      <c r="S450" s="67"/>
      <c r="T450" s="67"/>
      <c r="U450" s="67"/>
      <c r="V450" s="67"/>
      <c r="W450" s="12"/>
    </row>
    <row r="451" spans="1:23" s="7" customFormat="1" x14ac:dyDescent="0.7">
      <c r="A451" s="74" t="s">
        <v>22</v>
      </c>
      <c r="B451" s="75"/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6"/>
      <c r="W451" s="12"/>
    </row>
    <row r="452" spans="1:23" s="7" customFormat="1" x14ac:dyDescent="0.7">
      <c r="A452" s="77"/>
      <c r="B452" s="89" t="s">
        <v>555</v>
      </c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1"/>
      <c r="W452" s="12"/>
    </row>
    <row r="453" spans="1:23" s="7" customFormat="1" ht="162.75" customHeight="1" x14ac:dyDescent="0.7">
      <c r="A453" s="78"/>
      <c r="B453" s="92" t="s">
        <v>525</v>
      </c>
      <c r="C453" s="86" t="s">
        <v>662</v>
      </c>
      <c r="D453" s="87"/>
      <c r="E453" s="87"/>
      <c r="F453" s="87"/>
      <c r="G453" s="87"/>
      <c r="H453" s="88"/>
      <c r="I453" s="45"/>
      <c r="J453" s="124">
        <v>2017</v>
      </c>
      <c r="K453" s="137"/>
      <c r="L453" s="65" t="s">
        <v>88</v>
      </c>
      <c r="M453" s="124"/>
      <c r="N453" s="65" t="s">
        <v>536</v>
      </c>
      <c r="O453" s="65" t="s">
        <v>536</v>
      </c>
      <c r="P453" s="65" t="s">
        <v>536</v>
      </c>
      <c r="Q453" s="71"/>
      <c r="R453" s="65" t="s">
        <v>9</v>
      </c>
      <c r="S453" s="65" t="s">
        <v>13</v>
      </c>
      <c r="T453" s="124"/>
      <c r="U453" s="137"/>
      <c r="V453" s="124"/>
      <c r="W453" s="12"/>
    </row>
    <row r="454" spans="1:23" s="7" customFormat="1" x14ac:dyDescent="0.7">
      <c r="A454" s="78"/>
      <c r="B454" s="93"/>
      <c r="C454" s="44" t="s">
        <v>5</v>
      </c>
      <c r="D454" s="17">
        <f t="shared" ref="D454" si="53">SUM(D455:D458)</f>
        <v>1345</v>
      </c>
      <c r="E454" s="18">
        <f>SUM(E455:E458)</f>
        <v>1345</v>
      </c>
      <c r="F454" s="18"/>
      <c r="G454" s="18"/>
      <c r="H454" s="18"/>
      <c r="I454" s="18"/>
      <c r="J454" s="124"/>
      <c r="K454" s="137"/>
      <c r="L454" s="66"/>
      <c r="M454" s="124"/>
      <c r="N454" s="66"/>
      <c r="O454" s="66"/>
      <c r="P454" s="66"/>
      <c r="Q454" s="72"/>
      <c r="R454" s="66"/>
      <c r="S454" s="66"/>
      <c r="T454" s="124"/>
      <c r="U454" s="137"/>
      <c r="V454" s="124"/>
      <c r="W454" s="12"/>
    </row>
    <row r="455" spans="1:23" s="7" customFormat="1" ht="91.5" x14ac:dyDescent="0.7">
      <c r="A455" s="78"/>
      <c r="B455" s="93"/>
      <c r="C455" s="44" t="s">
        <v>0</v>
      </c>
      <c r="D455" s="17"/>
      <c r="E455" s="18"/>
      <c r="F455" s="18"/>
      <c r="G455" s="18"/>
      <c r="H455" s="18"/>
      <c r="I455" s="18"/>
      <c r="J455" s="124"/>
      <c r="K455" s="137"/>
      <c r="L455" s="66"/>
      <c r="M455" s="124"/>
      <c r="N455" s="66"/>
      <c r="O455" s="66"/>
      <c r="P455" s="66"/>
      <c r="Q455" s="72"/>
      <c r="R455" s="66"/>
      <c r="S455" s="66"/>
      <c r="T455" s="124"/>
      <c r="U455" s="137"/>
      <c r="V455" s="124"/>
      <c r="W455" s="12"/>
    </row>
    <row r="456" spans="1:23" s="7" customFormat="1" ht="91.5" x14ac:dyDescent="0.7">
      <c r="A456" s="78"/>
      <c r="B456" s="93"/>
      <c r="C456" s="44" t="s">
        <v>1</v>
      </c>
      <c r="D456" s="17">
        <f>SUM(E456:H456)</f>
        <v>1318.1</v>
      </c>
      <c r="E456" s="18">
        <v>1318.1</v>
      </c>
      <c r="F456" s="18"/>
      <c r="G456" s="18"/>
      <c r="H456" s="18"/>
      <c r="I456" s="18"/>
      <c r="J456" s="124"/>
      <c r="K456" s="137"/>
      <c r="L456" s="66"/>
      <c r="M456" s="124"/>
      <c r="N456" s="66"/>
      <c r="O456" s="66"/>
      <c r="P456" s="66"/>
      <c r="Q456" s="72"/>
      <c r="R456" s="66"/>
      <c r="S456" s="66"/>
      <c r="T456" s="124"/>
      <c r="U456" s="137"/>
      <c r="V456" s="124"/>
      <c r="W456" s="12"/>
    </row>
    <row r="457" spans="1:23" s="7" customFormat="1" ht="95.25" customHeight="1" x14ac:dyDescent="0.7">
      <c r="A457" s="78"/>
      <c r="B457" s="93"/>
      <c r="C457" s="44" t="s">
        <v>2</v>
      </c>
      <c r="D457" s="17">
        <f>SUM(E457:H457)</f>
        <v>26.9</v>
      </c>
      <c r="E457" s="18">
        <v>26.9</v>
      </c>
      <c r="F457" s="18"/>
      <c r="G457" s="18"/>
      <c r="H457" s="18"/>
      <c r="I457" s="18"/>
      <c r="J457" s="124"/>
      <c r="K457" s="137"/>
      <c r="L457" s="66"/>
      <c r="M457" s="124"/>
      <c r="N457" s="66"/>
      <c r="O457" s="66"/>
      <c r="P457" s="66"/>
      <c r="Q457" s="72"/>
      <c r="R457" s="66"/>
      <c r="S457" s="66"/>
      <c r="T457" s="124"/>
      <c r="U457" s="137"/>
      <c r="V457" s="124"/>
      <c r="W457" s="12"/>
    </row>
    <row r="458" spans="1:23" s="7" customFormat="1" ht="91.5" x14ac:dyDescent="0.7">
      <c r="A458" s="79"/>
      <c r="B458" s="94"/>
      <c r="C458" s="44" t="s">
        <v>3</v>
      </c>
      <c r="D458" s="17"/>
      <c r="E458" s="18"/>
      <c r="F458" s="18"/>
      <c r="G458" s="18"/>
      <c r="H458" s="18"/>
      <c r="I458" s="18"/>
      <c r="J458" s="124"/>
      <c r="K458" s="137"/>
      <c r="L458" s="67"/>
      <c r="M458" s="124"/>
      <c r="N458" s="67"/>
      <c r="O458" s="67"/>
      <c r="P458" s="67"/>
      <c r="Q458" s="73"/>
      <c r="R458" s="67"/>
      <c r="S458" s="67"/>
      <c r="T458" s="124"/>
      <c r="U458" s="137"/>
      <c r="V458" s="124"/>
      <c r="W458" s="12"/>
    </row>
    <row r="459" spans="1:23" s="7" customFormat="1" ht="60" customHeight="1" x14ac:dyDescent="0.7">
      <c r="A459" s="74" t="s">
        <v>22</v>
      </c>
      <c r="B459" s="75"/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6"/>
      <c r="W459" s="12"/>
    </row>
    <row r="460" spans="1:23" s="7" customFormat="1" x14ac:dyDescent="0.7">
      <c r="A460" s="77"/>
      <c r="B460" s="89" t="s">
        <v>555</v>
      </c>
      <c r="C460" s="90"/>
      <c r="D460" s="90"/>
      <c r="E460" s="90"/>
      <c r="F460" s="90"/>
      <c r="G460" s="90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90"/>
      <c r="V460" s="91"/>
      <c r="W460" s="12"/>
    </row>
    <row r="461" spans="1:23" s="7" customFormat="1" x14ac:dyDescent="0.7">
      <c r="A461" s="78"/>
      <c r="B461" s="92" t="s">
        <v>557</v>
      </c>
      <c r="C461" s="86" t="s">
        <v>663</v>
      </c>
      <c r="D461" s="87"/>
      <c r="E461" s="87"/>
      <c r="F461" s="87"/>
      <c r="G461" s="87"/>
      <c r="H461" s="88"/>
      <c r="I461" s="45"/>
      <c r="J461" s="124">
        <v>2017</v>
      </c>
      <c r="K461" s="137"/>
      <c r="L461" s="65" t="s">
        <v>88</v>
      </c>
      <c r="M461" s="124"/>
      <c r="N461" s="68" t="s">
        <v>630</v>
      </c>
      <c r="O461" s="68" t="s">
        <v>631</v>
      </c>
      <c r="P461" s="68" t="s">
        <v>631</v>
      </c>
      <c r="Q461" s="71"/>
      <c r="R461" s="68" t="s">
        <v>9</v>
      </c>
      <c r="S461" s="68" t="s">
        <v>630</v>
      </c>
      <c r="T461" s="124"/>
      <c r="U461" s="137"/>
      <c r="V461" s="124"/>
      <c r="W461" s="12"/>
    </row>
    <row r="462" spans="1:23" s="7" customFormat="1" x14ac:dyDescent="0.7">
      <c r="A462" s="78"/>
      <c r="B462" s="93"/>
      <c r="C462" s="44" t="s">
        <v>5</v>
      </c>
      <c r="D462" s="17">
        <f t="shared" ref="D462" si="54">SUM(D463:D466)</f>
        <v>6105.3209999999999</v>
      </c>
      <c r="E462" s="18">
        <f>SUM(E463:E466)</f>
        <v>6105.3209999999999</v>
      </c>
      <c r="F462" s="18"/>
      <c r="G462" s="18"/>
      <c r="H462" s="18"/>
      <c r="I462" s="18"/>
      <c r="J462" s="124"/>
      <c r="K462" s="137"/>
      <c r="L462" s="66"/>
      <c r="M462" s="124"/>
      <c r="N462" s="69"/>
      <c r="O462" s="69"/>
      <c r="P462" s="69"/>
      <c r="Q462" s="72"/>
      <c r="R462" s="69"/>
      <c r="S462" s="69"/>
      <c r="T462" s="124"/>
      <c r="U462" s="137"/>
      <c r="V462" s="124"/>
      <c r="W462" s="12"/>
    </row>
    <row r="463" spans="1:23" s="7" customFormat="1" ht="91.5" x14ac:dyDescent="0.7">
      <c r="A463" s="78"/>
      <c r="B463" s="93"/>
      <c r="C463" s="44" t="s">
        <v>0</v>
      </c>
      <c r="D463" s="17"/>
      <c r="E463" s="18"/>
      <c r="F463" s="18"/>
      <c r="G463" s="18"/>
      <c r="H463" s="18"/>
      <c r="I463" s="18"/>
      <c r="J463" s="124"/>
      <c r="K463" s="137"/>
      <c r="L463" s="66"/>
      <c r="M463" s="124"/>
      <c r="N463" s="69"/>
      <c r="O463" s="69"/>
      <c r="P463" s="69"/>
      <c r="Q463" s="72"/>
      <c r="R463" s="69"/>
      <c r="S463" s="69"/>
      <c r="T463" s="124"/>
      <c r="U463" s="137"/>
      <c r="V463" s="124"/>
      <c r="W463" s="12"/>
    </row>
    <row r="464" spans="1:23" s="7" customFormat="1" ht="102" customHeight="1" x14ac:dyDescent="0.7">
      <c r="A464" s="78"/>
      <c r="B464" s="93"/>
      <c r="C464" s="44" t="s">
        <v>1</v>
      </c>
      <c r="D464" s="17">
        <f>SUM(E464:H464)</f>
        <v>5983.2145799999998</v>
      </c>
      <c r="E464" s="18">
        <v>5983.2145799999998</v>
      </c>
      <c r="F464" s="18"/>
      <c r="G464" s="18"/>
      <c r="H464" s="18"/>
      <c r="I464" s="18"/>
      <c r="J464" s="124"/>
      <c r="K464" s="137"/>
      <c r="L464" s="66"/>
      <c r="M464" s="124"/>
      <c r="N464" s="69"/>
      <c r="O464" s="69"/>
      <c r="P464" s="69"/>
      <c r="Q464" s="72"/>
      <c r="R464" s="69"/>
      <c r="S464" s="69"/>
      <c r="T464" s="124"/>
      <c r="U464" s="137"/>
      <c r="V464" s="124"/>
      <c r="W464" s="12"/>
    </row>
    <row r="465" spans="1:23" s="7" customFormat="1" ht="45.75" customHeight="1" x14ac:dyDescent="0.7">
      <c r="A465" s="78"/>
      <c r="B465" s="93"/>
      <c r="C465" s="44" t="s">
        <v>2</v>
      </c>
      <c r="D465" s="17">
        <f>SUM(E465:H465)</f>
        <v>122.10642</v>
      </c>
      <c r="E465" s="18">
        <v>122.10642</v>
      </c>
      <c r="F465" s="18"/>
      <c r="G465" s="18"/>
      <c r="H465" s="18"/>
      <c r="I465" s="18"/>
      <c r="J465" s="124"/>
      <c r="K465" s="137"/>
      <c r="L465" s="66"/>
      <c r="M465" s="124"/>
      <c r="N465" s="69"/>
      <c r="O465" s="69"/>
      <c r="P465" s="69"/>
      <c r="Q465" s="72"/>
      <c r="R465" s="69"/>
      <c r="S465" s="69"/>
      <c r="T465" s="124"/>
      <c r="U465" s="137"/>
      <c r="V465" s="124"/>
      <c r="W465" s="12"/>
    </row>
    <row r="466" spans="1:23" s="7" customFormat="1" ht="45.75" customHeight="1" x14ac:dyDescent="0.7">
      <c r="A466" s="79"/>
      <c r="B466" s="94"/>
      <c r="C466" s="44" t="s">
        <v>3</v>
      </c>
      <c r="D466" s="17"/>
      <c r="E466" s="18"/>
      <c r="F466" s="18"/>
      <c r="G466" s="18"/>
      <c r="H466" s="18"/>
      <c r="I466" s="18"/>
      <c r="J466" s="124"/>
      <c r="K466" s="137"/>
      <c r="L466" s="67"/>
      <c r="M466" s="124"/>
      <c r="N466" s="70"/>
      <c r="O466" s="70"/>
      <c r="P466" s="70"/>
      <c r="Q466" s="73"/>
      <c r="R466" s="70"/>
      <c r="S466" s="70"/>
      <c r="T466" s="124"/>
      <c r="U466" s="137"/>
      <c r="V466" s="124"/>
      <c r="W466" s="12"/>
    </row>
    <row r="467" spans="1:23" s="7" customFormat="1" x14ac:dyDescent="0.7">
      <c r="A467" s="74" t="s">
        <v>22</v>
      </c>
      <c r="B467" s="75"/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6"/>
      <c r="W467" s="12"/>
    </row>
    <row r="468" spans="1:23" s="7" customFormat="1" ht="57" customHeight="1" x14ac:dyDescent="0.7">
      <c r="A468" s="77"/>
      <c r="B468" s="80" t="s">
        <v>237</v>
      </c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2"/>
      <c r="W468" s="12"/>
    </row>
    <row r="469" spans="1:23" s="7" customFormat="1" ht="191.25" customHeight="1" x14ac:dyDescent="0.7">
      <c r="A469" s="78"/>
      <c r="B469" s="83" t="s">
        <v>558</v>
      </c>
      <c r="C469" s="95" t="s">
        <v>175</v>
      </c>
      <c r="D469" s="96"/>
      <c r="E469" s="96"/>
      <c r="F469" s="96"/>
      <c r="G469" s="96"/>
      <c r="H469" s="97"/>
      <c r="I469" s="29"/>
      <c r="J469" s="65" t="s">
        <v>242</v>
      </c>
      <c r="K469" s="65" t="s">
        <v>72</v>
      </c>
      <c r="L469" s="65" t="s">
        <v>88</v>
      </c>
      <c r="M469" s="65" t="s">
        <v>238</v>
      </c>
      <c r="N469" s="65" t="s">
        <v>135</v>
      </c>
      <c r="O469" s="65" t="s">
        <v>239</v>
      </c>
      <c r="P469" s="65" t="s">
        <v>239</v>
      </c>
      <c r="Q469" s="71" t="s">
        <v>240</v>
      </c>
      <c r="R469" s="65" t="s">
        <v>9</v>
      </c>
      <c r="S469" s="65" t="s">
        <v>135</v>
      </c>
      <c r="T469" s="65" t="s">
        <v>241</v>
      </c>
      <c r="U469" s="65"/>
      <c r="V469" s="65"/>
      <c r="W469" s="12"/>
    </row>
    <row r="470" spans="1:23" s="7" customFormat="1" x14ac:dyDescent="0.7">
      <c r="A470" s="78"/>
      <c r="B470" s="84"/>
      <c r="C470" s="32" t="s">
        <v>5</v>
      </c>
      <c r="D470" s="19">
        <f t="shared" ref="D470" si="55">SUM(D471:D474)</f>
        <v>24944.469390000002</v>
      </c>
      <c r="E470" s="13">
        <f>SUM(E471:E474)</f>
        <v>24944.469390000002</v>
      </c>
      <c r="F470" s="13"/>
      <c r="G470" s="13"/>
      <c r="H470" s="13"/>
      <c r="I470" s="13"/>
      <c r="J470" s="66"/>
      <c r="K470" s="66"/>
      <c r="L470" s="66"/>
      <c r="M470" s="66"/>
      <c r="N470" s="66"/>
      <c r="O470" s="66"/>
      <c r="P470" s="66"/>
      <c r="Q470" s="72"/>
      <c r="R470" s="66"/>
      <c r="S470" s="66"/>
      <c r="T470" s="66"/>
      <c r="U470" s="66"/>
      <c r="V470" s="66"/>
      <c r="W470" s="12"/>
    </row>
    <row r="471" spans="1:23" s="7" customFormat="1" ht="45.75" customHeight="1" x14ac:dyDescent="0.7">
      <c r="A471" s="78"/>
      <c r="B471" s="84"/>
      <c r="C471" s="32" t="s">
        <v>0</v>
      </c>
      <c r="D471" s="19"/>
      <c r="E471" s="18"/>
      <c r="F471" s="13"/>
      <c r="G471" s="13"/>
      <c r="H471" s="13"/>
      <c r="I471" s="13"/>
      <c r="J471" s="66"/>
      <c r="K471" s="66"/>
      <c r="L471" s="66"/>
      <c r="M471" s="66"/>
      <c r="N471" s="66"/>
      <c r="O471" s="66"/>
      <c r="P471" s="66"/>
      <c r="Q471" s="72"/>
      <c r="R471" s="66"/>
      <c r="S471" s="66"/>
      <c r="T471" s="66"/>
      <c r="U471" s="66"/>
      <c r="V471" s="66"/>
      <c r="W471" s="12"/>
    </row>
    <row r="472" spans="1:23" s="7" customFormat="1" ht="91.5" x14ac:dyDescent="0.7">
      <c r="A472" s="78"/>
      <c r="B472" s="84"/>
      <c r="C472" s="32" t="s">
        <v>1</v>
      </c>
      <c r="D472" s="19">
        <f>SUM(E472:H472)</f>
        <v>24445.58</v>
      </c>
      <c r="E472" s="18">
        <f>12445.58+12000</f>
        <v>24445.58</v>
      </c>
      <c r="F472" s="18"/>
      <c r="G472" s="13"/>
      <c r="H472" s="13"/>
      <c r="I472" s="13"/>
      <c r="J472" s="66"/>
      <c r="K472" s="66"/>
      <c r="L472" s="66"/>
      <c r="M472" s="66"/>
      <c r="N472" s="66"/>
      <c r="O472" s="66"/>
      <c r="P472" s="66"/>
      <c r="Q472" s="72"/>
      <c r="R472" s="66"/>
      <c r="S472" s="66"/>
      <c r="T472" s="66"/>
      <c r="U472" s="66"/>
      <c r="V472" s="66"/>
      <c r="W472" s="12"/>
    </row>
    <row r="473" spans="1:23" s="7" customFormat="1" ht="102.75" customHeight="1" x14ac:dyDescent="0.7">
      <c r="A473" s="78"/>
      <c r="B473" s="84"/>
      <c r="C473" s="32" t="s">
        <v>2</v>
      </c>
      <c r="D473" s="19">
        <f>SUM(E473:H473)</f>
        <v>498.88938999999999</v>
      </c>
      <c r="E473" s="18">
        <v>498.88938999999999</v>
      </c>
      <c r="F473" s="13"/>
      <c r="G473" s="13"/>
      <c r="H473" s="13"/>
      <c r="I473" s="13"/>
      <c r="J473" s="66"/>
      <c r="K473" s="66"/>
      <c r="L473" s="66"/>
      <c r="M473" s="66"/>
      <c r="N473" s="66"/>
      <c r="O473" s="66"/>
      <c r="P473" s="66"/>
      <c r="Q473" s="72"/>
      <c r="R473" s="66"/>
      <c r="S473" s="66"/>
      <c r="T473" s="66"/>
      <c r="U473" s="66"/>
      <c r="V473" s="66"/>
      <c r="W473" s="12"/>
    </row>
    <row r="474" spans="1:23" s="7" customFormat="1" ht="91.5" x14ac:dyDescent="0.7">
      <c r="A474" s="79"/>
      <c r="B474" s="85"/>
      <c r="C474" s="32" t="s">
        <v>3</v>
      </c>
      <c r="D474" s="19"/>
      <c r="E474" s="18"/>
      <c r="F474" s="13"/>
      <c r="G474" s="13"/>
      <c r="H474" s="13"/>
      <c r="I474" s="13"/>
      <c r="J474" s="67"/>
      <c r="K474" s="67"/>
      <c r="L474" s="67"/>
      <c r="M474" s="67"/>
      <c r="N474" s="67"/>
      <c r="O474" s="67"/>
      <c r="P474" s="67"/>
      <c r="Q474" s="73"/>
      <c r="R474" s="67"/>
      <c r="S474" s="67"/>
      <c r="T474" s="67"/>
      <c r="U474" s="67"/>
      <c r="V474" s="67"/>
      <c r="W474" s="12"/>
    </row>
    <row r="475" spans="1:23" s="7" customFormat="1" x14ac:dyDescent="0.7">
      <c r="A475" s="74" t="s">
        <v>22</v>
      </c>
      <c r="B475" s="75"/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6"/>
      <c r="W475" s="12"/>
    </row>
    <row r="476" spans="1:23" s="7" customFormat="1" x14ac:dyDescent="0.7">
      <c r="A476" s="77"/>
      <c r="B476" s="80" t="s">
        <v>237</v>
      </c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2"/>
      <c r="W476" s="12"/>
    </row>
    <row r="477" spans="1:23" s="7" customFormat="1" ht="102.75" customHeight="1" x14ac:dyDescent="0.7">
      <c r="A477" s="78"/>
      <c r="B477" s="83" t="s">
        <v>577</v>
      </c>
      <c r="C477" s="86" t="s">
        <v>243</v>
      </c>
      <c r="D477" s="87"/>
      <c r="E477" s="87"/>
      <c r="F477" s="87"/>
      <c r="G477" s="87"/>
      <c r="H477" s="88"/>
      <c r="I477" s="45"/>
      <c r="J477" s="65" t="s">
        <v>212</v>
      </c>
      <c r="K477" s="65"/>
      <c r="L477" s="65" t="s">
        <v>87</v>
      </c>
      <c r="M477" s="65" t="s">
        <v>244</v>
      </c>
      <c r="N477" s="65" t="s">
        <v>22</v>
      </c>
      <c r="O477" s="65" t="s">
        <v>22</v>
      </c>
      <c r="P477" s="65" t="s">
        <v>528</v>
      </c>
      <c r="Q477" s="71" t="s">
        <v>245</v>
      </c>
      <c r="R477" s="65" t="s">
        <v>11</v>
      </c>
      <c r="S477" s="65" t="s">
        <v>10</v>
      </c>
      <c r="T477" s="65" t="s">
        <v>7</v>
      </c>
      <c r="U477" s="65"/>
      <c r="V477" s="65" t="s">
        <v>246</v>
      </c>
      <c r="W477" s="12"/>
    </row>
    <row r="478" spans="1:23" s="7" customFormat="1" x14ac:dyDescent="0.7">
      <c r="A478" s="78"/>
      <c r="B478" s="84"/>
      <c r="C478" s="44" t="s">
        <v>5</v>
      </c>
      <c r="D478" s="17">
        <f t="shared" ref="D478" si="56">SUM(D479:D482)</f>
        <v>803469.03</v>
      </c>
      <c r="E478" s="18"/>
      <c r="F478" s="18">
        <f>SUM(F479:F482)</f>
        <v>100097.03</v>
      </c>
      <c r="G478" s="18"/>
      <c r="H478" s="18">
        <f t="shared" ref="H478:I478" si="57">SUM(H479:H482)</f>
        <v>385000</v>
      </c>
      <c r="I478" s="18">
        <f t="shared" si="57"/>
        <v>318372</v>
      </c>
      <c r="J478" s="66"/>
      <c r="K478" s="66"/>
      <c r="L478" s="66"/>
      <c r="M478" s="66"/>
      <c r="N478" s="66"/>
      <c r="O478" s="66"/>
      <c r="P478" s="66"/>
      <c r="Q478" s="72"/>
      <c r="R478" s="66"/>
      <c r="S478" s="66"/>
      <c r="T478" s="66"/>
      <c r="U478" s="66"/>
      <c r="V478" s="66"/>
      <c r="W478" s="12"/>
    </row>
    <row r="479" spans="1:23" s="7" customFormat="1" ht="91.5" x14ac:dyDescent="0.7">
      <c r="A479" s="78"/>
      <c r="B479" s="84"/>
      <c r="C479" s="44" t="s">
        <v>0</v>
      </c>
      <c r="D479" s="17"/>
      <c r="E479" s="18"/>
      <c r="F479" s="18"/>
      <c r="G479" s="18"/>
      <c r="H479" s="18"/>
      <c r="I479" s="18"/>
      <c r="J479" s="66"/>
      <c r="K479" s="66"/>
      <c r="L479" s="66"/>
      <c r="M479" s="66"/>
      <c r="N479" s="66"/>
      <c r="O479" s="66"/>
      <c r="P479" s="66"/>
      <c r="Q479" s="72"/>
      <c r="R479" s="66"/>
      <c r="S479" s="66"/>
      <c r="T479" s="66"/>
      <c r="U479" s="66"/>
      <c r="V479" s="66"/>
      <c r="W479" s="12"/>
    </row>
    <row r="480" spans="1:23" s="7" customFormat="1" ht="45.75" customHeight="1" x14ac:dyDescent="0.7">
      <c r="A480" s="78"/>
      <c r="B480" s="84"/>
      <c r="C480" s="44" t="s">
        <v>1</v>
      </c>
      <c r="D480" s="17">
        <f>SUM(E480:I480)</f>
        <v>803469.03</v>
      </c>
      <c r="E480" s="18"/>
      <c r="F480" s="18">
        <v>100097.03</v>
      </c>
      <c r="G480" s="18"/>
      <c r="H480" s="18">
        <v>385000</v>
      </c>
      <c r="I480" s="18">
        <v>318372</v>
      </c>
      <c r="J480" s="66"/>
      <c r="K480" s="66"/>
      <c r="L480" s="66"/>
      <c r="M480" s="66"/>
      <c r="N480" s="66"/>
      <c r="O480" s="66"/>
      <c r="P480" s="66"/>
      <c r="Q480" s="72"/>
      <c r="R480" s="66"/>
      <c r="S480" s="66"/>
      <c r="T480" s="66"/>
      <c r="U480" s="66"/>
      <c r="V480" s="66"/>
      <c r="W480" s="12"/>
    </row>
    <row r="481" spans="1:23" s="7" customFormat="1" ht="104.25" customHeight="1" x14ac:dyDescent="0.7">
      <c r="A481" s="78"/>
      <c r="B481" s="84"/>
      <c r="C481" s="44" t="s">
        <v>2</v>
      </c>
      <c r="D481" s="17"/>
      <c r="E481" s="18"/>
      <c r="F481" s="18"/>
      <c r="G481" s="18"/>
      <c r="H481" s="18"/>
      <c r="I481" s="18"/>
      <c r="J481" s="66"/>
      <c r="K481" s="66"/>
      <c r="L481" s="66"/>
      <c r="M481" s="66"/>
      <c r="N481" s="66"/>
      <c r="O481" s="66"/>
      <c r="P481" s="66"/>
      <c r="Q481" s="72"/>
      <c r="R481" s="66"/>
      <c r="S481" s="66"/>
      <c r="T481" s="66"/>
      <c r="U481" s="66"/>
      <c r="V481" s="66"/>
      <c r="W481" s="12"/>
    </row>
    <row r="482" spans="1:23" s="7" customFormat="1" ht="91.5" x14ac:dyDescent="0.7">
      <c r="A482" s="79"/>
      <c r="B482" s="85"/>
      <c r="C482" s="44" t="s">
        <v>3</v>
      </c>
      <c r="D482" s="17"/>
      <c r="E482" s="18"/>
      <c r="F482" s="18"/>
      <c r="G482" s="18"/>
      <c r="H482" s="18"/>
      <c r="I482" s="18"/>
      <c r="J482" s="67"/>
      <c r="K482" s="67"/>
      <c r="L482" s="67"/>
      <c r="M482" s="67"/>
      <c r="N482" s="67"/>
      <c r="O482" s="67"/>
      <c r="P482" s="67"/>
      <c r="Q482" s="73"/>
      <c r="R482" s="67"/>
      <c r="S482" s="67"/>
      <c r="T482" s="67"/>
      <c r="U482" s="67"/>
      <c r="V482" s="67"/>
      <c r="W482" s="12"/>
    </row>
    <row r="483" spans="1:23" s="7" customFormat="1" x14ac:dyDescent="0.7">
      <c r="A483" s="74" t="s">
        <v>22</v>
      </c>
      <c r="B483" s="75"/>
      <c r="C483" s="75"/>
      <c r="D483" s="75"/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6"/>
      <c r="W483" s="12"/>
    </row>
    <row r="484" spans="1:23" s="7" customFormat="1" x14ac:dyDescent="0.7">
      <c r="A484" s="121"/>
      <c r="B484" s="80" t="s">
        <v>237</v>
      </c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2"/>
      <c r="W484" s="12"/>
    </row>
    <row r="485" spans="1:23" s="7" customFormat="1" ht="98.25" customHeight="1" x14ac:dyDescent="0.7">
      <c r="A485" s="122"/>
      <c r="B485" s="83" t="s">
        <v>629</v>
      </c>
      <c r="C485" s="95" t="s">
        <v>655</v>
      </c>
      <c r="D485" s="96"/>
      <c r="E485" s="96"/>
      <c r="F485" s="96"/>
      <c r="G485" s="96"/>
      <c r="H485" s="97"/>
      <c r="I485" s="29"/>
      <c r="J485" s="124">
        <v>2017</v>
      </c>
      <c r="K485" s="126"/>
      <c r="L485" s="65" t="s">
        <v>88</v>
      </c>
      <c r="M485" s="124" t="s">
        <v>656</v>
      </c>
      <c r="N485" s="124" t="s">
        <v>657</v>
      </c>
      <c r="O485" s="124" t="s">
        <v>658</v>
      </c>
      <c r="P485" s="124" t="s">
        <v>658</v>
      </c>
      <c r="Q485" s="125" t="str">
        <f>C486</f>
        <v>Итого</v>
      </c>
      <c r="R485" s="124" t="s">
        <v>9</v>
      </c>
      <c r="S485" s="124" t="s">
        <v>657</v>
      </c>
      <c r="T485" s="124"/>
      <c r="U485" s="126"/>
      <c r="V485" s="124"/>
      <c r="W485" s="12"/>
    </row>
    <row r="486" spans="1:23" s="7" customFormat="1" x14ac:dyDescent="0.7">
      <c r="A486" s="122"/>
      <c r="B486" s="84"/>
      <c r="C486" s="32" t="s">
        <v>5</v>
      </c>
      <c r="D486" s="19">
        <f t="shared" ref="D486" si="58">SUM(D487:D490)</f>
        <v>4575.6729999999998</v>
      </c>
      <c r="E486" s="13">
        <f>SUM(E487:E490)</f>
        <v>4575.6729999999998</v>
      </c>
      <c r="F486" s="13"/>
      <c r="G486" s="13"/>
      <c r="H486" s="13"/>
      <c r="I486" s="13"/>
      <c r="J486" s="124"/>
      <c r="K486" s="126"/>
      <c r="L486" s="66"/>
      <c r="M486" s="124"/>
      <c r="N486" s="124"/>
      <c r="O486" s="124"/>
      <c r="P486" s="124"/>
      <c r="Q486" s="125"/>
      <c r="R486" s="124"/>
      <c r="S486" s="124"/>
      <c r="T486" s="124"/>
      <c r="U486" s="126"/>
      <c r="V486" s="124"/>
      <c r="W486" s="12"/>
    </row>
    <row r="487" spans="1:23" s="7" customFormat="1" ht="91.5" x14ac:dyDescent="0.7">
      <c r="A487" s="122"/>
      <c r="B487" s="84"/>
      <c r="C487" s="32" t="s">
        <v>0</v>
      </c>
      <c r="D487" s="19"/>
      <c r="E487" s="13"/>
      <c r="F487" s="13"/>
      <c r="G487" s="13"/>
      <c r="H487" s="13"/>
      <c r="I487" s="13"/>
      <c r="J487" s="124"/>
      <c r="K487" s="126"/>
      <c r="L487" s="66"/>
      <c r="M487" s="124"/>
      <c r="N487" s="124"/>
      <c r="O487" s="124"/>
      <c r="P487" s="124"/>
      <c r="Q487" s="125"/>
      <c r="R487" s="124"/>
      <c r="S487" s="124"/>
      <c r="T487" s="124"/>
      <c r="U487" s="126"/>
      <c r="V487" s="124"/>
      <c r="W487" s="12"/>
    </row>
    <row r="488" spans="1:23" s="7" customFormat="1" ht="61.5" customHeight="1" x14ac:dyDescent="0.7">
      <c r="A488" s="122"/>
      <c r="B488" s="84"/>
      <c r="C488" s="32" t="s">
        <v>1</v>
      </c>
      <c r="D488" s="19">
        <f>SUM(E488:I488)</f>
        <v>4484.1595399999997</v>
      </c>
      <c r="E488" s="13">
        <v>4484.1595399999997</v>
      </c>
      <c r="F488" s="13"/>
      <c r="G488" s="13"/>
      <c r="H488" s="13"/>
      <c r="I488" s="13"/>
      <c r="J488" s="124"/>
      <c r="K488" s="126"/>
      <c r="L488" s="66"/>
      <c r="M488" s="124"/>
      <c r="N488" s="124"/>
      <c r="O488" s="124"/>
      <c r="P488" s="124"/>
      <c r="Q488" s="125"/>
      <c r="R488" s="124"/>
      <c r="S488" s="124"/>
      <c r="T488" s="124"/>
      <c r="U488" s="126"/>
      <c r="V488" s="124"/>
      <c r="W488" s="12"/>
    </row>
    <row r="489" spans="1:23" s="7" customFormat="1" ht="90.75" customHeight="1" x14ac:dyDescent="0.7">
      <c r="A489" s="122"/>
      <c r="B489" s="84"/>
      <c r="C489" s="32" t="s">
        <v>2</v>
      </c>
      <c r="D489" s="19">
        <f>SUM(E489:I489)</f>
        <v>91.513459999999995</v>
      </c>
      <c r="E489" s="18">
        <v>91.513459999999995</v>
      </c>
      <c r="F489" s="13"/>
      <c r="G489" s="13"/>
      <c r="H489" s="13"/>
      <c r="I489" s="13"/>
      <c r="J489" s="124"/>
      <c r="K489" s="126"/>
      <c r="L489" s="66"/>
      <c r="M489" s="124"/>
      <c r="N489" s="124"/>
      <c r="O489" s="124"/>
      <c r="P489" s="124"/>
      <c r="Q489" s="125"/>
      <c r="R489" s="124"/>
      <c r="S489" s="124"/>
      <c r="T489" s="124"/>
      <c r="U489" s="126"/>
      <c r="V489" s="124"/>
      <c r="W489" s="12"/>
    </row>
    <row r="490" spans="1:23" s="7" customFormat="1" ht="91.5" x14ac:dyDescent="0.7">
      <c r="A490" s="123"/>
      <c r="B490" s="85"/>
      <c r="C490" s="32" t="s">
        <v>3</v>
      </c>
      <c r="D490" s="19"/>
      <c r="E490" s="13"/>
      <c r="F490" s="13"/>
      <c r="G490" s="13"/>
      <c r="H490" s="13"/>
      <c r="I490" s="13"/>
      <c r="J490" s="124"/>
      <c r="K490" s="126"/>
      <c r="L490" s="67"/>
      <c r="M490" s="124"/>
      <c r="N490" s="124"/>
      <c r="O490" s="124"/>
      <c r="P490" s="124"/>
      <c r="Q490" s="125"/>
      <c r="R490" s="124"/>
      <c r="S490" s="124"/>
      <c r="T490" s="124"/>
      <c r="U490" s="126"/>
      <c r="V490" s="124"/>
      <c r="W490" s="12"/>
    </row>
    <row r="491" spans="1:23" s="7" customFormat="1" x14ac:dyDescent="0.7">
      <c r="A491" s="74" t="s">
        <v>22</v>
      </c>
      <c r="B491" s="75"/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6"/>
      <c r="W491" s="12"/>
    </row>
    <row r="492" spans="1:23" s="7" customFormat="1" x14ac:dyDescent="0.7">
      <c r="A492" s="77"/>
      <c r="B492" s="80" t="s">
        <v>237</v>
      </c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2"/>
      <c r="W492" s="12"/>
    </row>
    <row r="493" spans="1:23" s="7" customFormat="1" ht="149.25" customHeight="1" x14ac:dyDescent="0.7">
      <c r="A493" s="78"/>
      <c r="B493" s="83" t="s">
        <v>667</v>
      </c>
      <c r="C493" s="86" t="s">
        <v>526</v>
      </c>
      <c r="D493" s="87"/>
      <c r="E493" s="87"/>
      <c r="F493" s="87"/>
      <c r="G493" s="87"/>
      <c r="H493" s="88"/>
      <c r="I493" s="45"/>
      <c r="J493" s="65"/>
      <c r="K493" s="65" t="s">
        <v>73</v>
      </c>
      <c r="L493" s="65" t="s">
        <v>87</v>
      </c>
      <c r="M493" s="65" t="s">
        <v>603</v>
      </c>
      <c r="N493" s="65" t="s">
        <v>22</v>
      </c>
      <c r="O493" s="65" t="s">
        <v>22</v>
      </c>
      <c r="P493" s="65" t="s">
        <v>528</v>
      </c>
      <c r="Q493" s="71" t="s">
        <v>527</v>
      </c>
      <c r="R493" s="65" t="s">
        <v>9</v>
      </c>
      <c r="S493" s="65" t="s">
        <v>10</v>
      </c>
      <c r="T493" s="65" t="s">
        <v>208</v>
      </c>
      <c r="U493" s="65"/>
      <c r="V493" s="65"/>
      <c r="W493" s="12"/>
    </row>
    <row r="494" spans="1:23" s="7" customFormat="1" x14ac:dyDescent="0.7">
      <c r="A494" s="78"/>
      <c r="B494" s="84"/>
      <c r="C494" s="44" t="s">
        <v>5</v>
      </c>
      <c r="D494" s="17">
        <f t="shared" ref="D494" si="59">SUM(D495:D498)</f>
        <v>1825.3528499999993</v>
      </c>
      <c r="E494" s="18">
        <f>SUM(E495:E498)</f>
        <v>1825.3528499999993</v>
      </c>
      <c r="F494" s="18"/>
      <c r="G494" s="18"/>
      <c r="H494" s="18"/>
      <c r="I494" s="18"/>
      <c r="J494" s="66"/>
      <c r="K494" s="66"/>
      <c r="L494" s="66"/>
      <c r="M494" s="66"/>
      <c r="N494" s="66"/>
      <c r="O494" s="66"/>
      <c r="P494" s="66"/>
      <c r="Q494" s="72"/>
      <c r="R494" s="66"/>
      <c r="S494" s="66"/>
      <c r="T494" s="66"/>
      <c r="U494" s="66"/>
      <c r="V494" s="66"/>
      <c r="W494" s="12"/>
    </row>
    <row r="495" spans="1:23" s="7" customFormat="1" ht="45.75" customHeight="1" x14ac:dyDescent="0.7">
      <c r="A495" s="78"/>
      <c r="B495" s="84"/>
      <c r="C495" s="44" t="s">
        <v>0</v>
      </c>
      <c r="D495" s="17"/>
      <c r="E495" s="18"/>
      <c r="F495" s="18"/>
      <c r="G495" s="18"/>
      <c r="H495" s="18"/>
      <c r="I495" s="18"/>
      <c r="J495" s="66"/>
      <c r="K495" s="66"/>
      <c r="L495" s="66"/>
      <c r="M495" s="66"/>
      <c r="N495" s="66"/>
      <c r="O495" s="66"/>
      <c r="P495" s="66"/>
      <c r="Q495" s="72"/>
      <c r="R495" s="66"/>
      <c r="S495" s="66"/>
      <c r="T495" s="66"/>
      <c r="U495" s="66"/>
      <c r="V495" s="66"/>
      <c r="W495" s="12"/>
    </row>
    <row r="496" spans="1:23" s="7" customFormat="1" ht="59.25" customHeight="1" x14ac:dyDescent="0.7">
      <c r="A496" s="78"/>
      <c r="B496" s="84"/>
      <c r="C496" s="44" t="s">
        <v>1</v>
      </c>
      <c r="D496" s="17">
        <f>SUM(E496:I496)</f>
        <v>1825.3528499999993</v>
      </c>
      <c r="E496" s="18">
        <f>31212.62212-16249.32733-13137.94194</f>
        <v>1825.3528499999993</v>
      </c>
      <c r="F496" s="18"/>
      <c r="G496" s="18"/>
      <c r="H496" s="18"/>
      <c r="I496" s="18"/>
      <c r="J496" s="66"/>
      <c r="K496" s="66"/>
      <c r="L496" s="66"/>
      <c r="M496" s="66"/>
      <c r="N496" s="66"/>
      <c r="O496" s="66"/>
      <c r="P496" s="66"/>
      <c r="Q496" s="72"/>
      <c r="R496" s="66"/>
      <c r="S496" s="66"/>
      <c r="T496" s="66"/>
      <c r="U496" s="66"/>
      <c r="V496" s="66"/>
      <c r="W496" s="12"/>
    </row>
    <row r="497" spans="1:23" s="7" customFormat="1" ht="91.5" customHeight="1" x14ac:dyDescent="0.7">
      <c r="A497" s="78"/>
      <c r="B497" s="84"/>
      <c r="C497" s="44" t="s">
        <v>2</v>
      </c>
      <c r="D497" s="17"/>
      <c r="E497" s="18"/>
      <c r="F497" s="18"/>
      <c r="G497" s="18"/>
      <c r="H497" s="18"/>
      <c r="I497" s="18"/>
      <c r="J497" s="66"/>
      <c r="K497" s="66"/>
      <c r="L497" s="66"/>
      <c r="M497" s="66"/>
      <c r="N497" s="66"/>
      <c r="O497" s="66"/>
      <c r="P497" s="66"/>
      <c r="Q497" s="72"/>
      <c r="R497" s="66"/>
      <c r="S497" s="66"/>
      <c r="T497" s="66"/>
      <c r="U497" s="66"/>
      <c r="V497" s="66"/>
      <c r="W497" s="12"/>
    </row>
    <row r="498" spans="1:23" s="7" customFormat="1" ht="91.5" x14ac:dyDescent="0.7">
      <c r="A498" s="79"/>
      <c r="B498" s="85"/>
      <c r="C498" s="44" t="s">
        <v>3</v>
      </c>
      <c r="D498" s="17"/>
      <c r="E498" s="18"/>
      <c r="F498" s="18"/>
      <c r="G498" s="18"/>
      <c r="H498" s="18"/>
      <c r="I498" s="18"/>
      <c r="J498" s="67"/>
      <c r="K498" s="67"/>
      <c r="L498" s="67"/>
      <c r="M498" s="67"/>
      <c r="N498" s="67"/>
      <c r="O498" s="67"/>
      <c r="P498" s="67"/>
      <c r="Q498" s="73"/>
      <c r="R498" s="67"/>
      <c r="S498" s="67"/>
      <c r="T498" s="67"/>
      <c r="U498" s="67"/>
      <c r="V498" s="67"/>
      <c r="W498" s="12"/>
    </row>
    <row r="499" spans="1:23" s="7" customFormat="1" x14ac:dyDescent="0.7">
      <c r="A499" s="74" t="s">
        <v>22</v>
      </c>
      <c r="B499" s="75"/>
      <c r="C499" s="75"/>
      <c r="D499" s="75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6"/>
      <c r="W499" s="12"/>
    </row>
    <row r="500" spans="1:23" s="7" customFormat="1" ht="45.75" customHeight="1" x14ac:dyDescent="0.7">
      <c r="A500" s="77"/>
      <c r="B500" s="80" t="s">
        <v>237</v>
      </c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2"/>
      <c r="W500" s="12"/>
    </row>
    <row r="501" spans="1:23" s="7" customFormat="1" ht="57.75" customHeight="1" x14ac:dyDescent="0.7">
      <c r="A501" s="78"/>
      <c r="B501" s="83" t="s">
        <v>669</v>
      </c>
      <c r="C501" s="86" t="s">
        <v>690</v>
      </c>
      <c r="D501" s="87"/>
      <c r="E501" s="87"/>
      <c r="F501" s="87"/>
      <c r="G501" s="87"/>
      <c r="H501" s="88"/>
      <c r="I501" s="45"/>
      <c r="J501" s="65" t="s">
        <v>74</v>
      </c>
      <c r="K501" s="65"/>
      <c r="L501" s="65" t="s">
        <v>87</v>
      </c>
      <c r="M501" s="65" t="s">
        <v>602</v>
      </c>
      <c r="N501" s="65" t="s">
        <v>600</v>
      </c>
      <c r="O501" s="65" t="s">
        <v>601</v>
      </c>
      <c r="P501" s="65" t="s">
        <v>601</v>
      </c>
      <c r="Q501" s="71" t="s">
        <v>604</v>
      </c>
      <c r="R501" s="65" t="s">
        <v>9</v>
      </c>
      <c r="S501" s="65" t="s">
        <v>600</v>
      </c>
      <c r="T501" s="65" t="s">
        <v>7</v>
      </c>
      <c r="U501" s="65"/>
      <c r="V501" s="65" t="s">
        <v>605</v>
      </c>
      <c r="W501" s="12"/>
    </row>
    <row r="502" spans="1:23" s="7" customFormat="1" x14ac:dyDescent="0.7">
      <c r="A502" s="78"/>
      <c r="B502" s="84"/>
      <c r="C502" s="44" t="s">
        <v>5</v>
      </c>
      <c r="D502" s="17">
        <f t="shared" ref="D502" si="60">SUM(D503:D506)</f>
        <v>10204.1</v>
      </c>
      <c r="E502" s="18">
        <f>SUM(E503:E506)</f>
        <v>10204.1</v>
      </c>
      <c r="F502" s="18"/>
      <c r="G502" s="18"/>
      <c r="H502" s="18"/>
      <c r="I502" s="18"/>
      <c r="J502" s="66"/>
      <c r="K502" s="66"/>
      <c r="L502" s="66"/>
      <c r="M502" s="66"/>
      <c r="N502" s="66"/>
      <c r="O502" s="66"/>
      <c r="P502" s="66"/>
      <c r="Q502" s="72"/>
      <c r="R502" s="66"/>
      <c r="S502" s="66"/>
      <c r="T502" s="66"/>
      <c r="U502" s="66"/>
      <c r="V502" s="66"/>
      <c r="W502" s="12"/>
    </row>
    <row r="503" spans="1:23" s="7" customFormat="1" ht="45.75" customHeight="1" x14ac:dyDescent="0.7">
      <c r="A503" s="78"/>
      <c r="B503" s="84"/>
      <c r="C503" s="44" t="s">
        <v>0</v>
      </c>
      <c r="D503" s="17"/>
      <c r="E503" s="18"/>
      <c r="F503" s="18"/>
      <c r="G503" s="18"/>
      <c r="H503" s="18"/>
      <c r="I503" s="18"/>
      <c r="J503" s="66"/>
      <c r="K503" s="66"/>
      <c r="L503" s="66"/>
      <c r="M503" s="66"/>
      <c r="N503" s="66"/>
      <c r="O503" s="66"/>
      <c r="P503" s="66"/>
      <c r="Q503" s="72"/>
      <c r="R503" s="66"/>
      <c r="S503" s="66"/>
      <c r="T503" s="66"/>
      <c r="U503" s="66"/>
      <c r="V503" s="66"/>
      <c r="W503" s="12"/>
    </row>
    <row r="504" spans="1:23" s="7" customFormat="1" ht="67.5" customHeight="1" x14ac:dyDescent="0.7">
      <c r="A504" s="78"/>
      <c r="B504" s="84"/>
      <c r="C504" s="44" t="s">
        <v>1</v>
      </c>
      <c r="D504" s="17">
        <f>SUM(E504:I504)</f>
        <v>10000</v>
      </c>
      <c r="E504" s="18">
        <f>12000-2000</f>
        <v>10000</v>
      </c>
      <c r="F504" s="18"/>
      <c r="G504" s="18"/>
      <c r="H504" s="18"/>
      <c r="I504" s="18"/>
      <c r="J504" s="66"/>
      <c r="K504" s="66"/>
      <c r="L504" s="66"/>
      <c r="M504" s="66"/>
      <c r="N504" s="66"/>
      <c r="O504" s="66"/>
      <c r="P504" s="66"/>
      <c r="Q504" s="72"/>
      <c r="R504" s="66"/>
      <c r="S504" s="66"/>
      <c r="T504" s="66"/>
      <c r="U504" s="66"/>
      <c r="V504" s="66"/>
      <c r="W504" s="12"/>
    </row>
    <row r="505" spans="1:23" s="7" customFormat="1" ht="102.75" customHeight="1" x14ac:dyDescent="0.7">
      <c r="A505" s="78"/>
      <c r="B505" s="84"/>
      <c r="C505" s="44" t="s">
        <v>2</v>
      </c>
      <c r="D505" s="17">
        <f>SUM(E505:I505)</f>
        <v>204.1</v>
      </c>
      <c r="E505" s="18">
        <v>204.1</v>
      </c>
      <c r="F505" s="18"/>
      <c r="G505" s="18"/>
      <c r="H505" s="18"/>
      <c r="I505" s="18"/>
      <c r="J505" s="66"/>
      <c r="K505" s="66"/>
      <c r="L505" s="66"/>
      <c r="M505" s="66"/>
      <c r="N505" s="66"/>
      <c r="O505" s="66"/>
      <c r="P505" s="66"/>
      <c r="Q505" s="72"/>
      <c r="R505" s="66"/>
      <c r="S505" s="66"/>
      <c r="T505" s="66"/>
      <c r="U505" s="66"/>
      <c r="V505" s="66"/>
      <c r="W505" s="12"/>
    </row>
    <row r="506" spans="1:23" s="7" customFormat="1" ht="91.5" x14ac:dyDescent="0.7">
      <c r="A506" s="79"/>
      <c r="B506" s="85"/>
      <c r="C506" s="44" t="s">
        <v>3</v>
      </c>
      <c r="D506" s="17"/>
      <c r="E506" s="18"/>
      <c r="F506" s="18"/>
      <c r="G506" s="18"/>
      <c r="H506" s="18"/>
      <c r="I506" s="18"/>
      <c r="J506" s="67"/>
      <c r="K506" s="67"/>
      <c r="L506" s="67"/>
      <c r="M506" s="67"/>
      <c r="N506" s="67"/>
      <c r="O506" s="67"/>
      <c r="P506" s="67"/>
      <c r="Q506" s="73"/>
      <c r="R506" s="67"/>
      <c r="S506" s="67"/>
      <c r="T506" s="67"/>
      <c r="U506" s="67"/>
      <c r="V506" s="67"/>
      <c r="W506" s="12"/>
    </row>
    <row r="507" spans="1:23" s="7" customFormat="1" x14ac:dyDescent="0.7">
      <c r="A507" s="74" t="s">
        <v>16</v>
      </c>
      <c r="B507" s="75"/>
      <c r="C507" s="75"/>
      <c r="D507" s="75"/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6"/>
      <c r="W507" s="12"/>
    </row>
    <row r="508" spans="1:23" s="7" customFormat="1" ht="45.75" customHeight="1" x14ac:dyDescent="0.7">
      <c r="A508" s="77"/>
      <c r="B508" s="89" t="s">
        <v>237</v>
      </c>
      <c r="C508" s="90"/>
      <c r="D508" s="90"/>
      <c r="E508" s="90"/>
      <c r="F508" s="90"/>
      <c r="G508" s="90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90"/>
      <c r="V508" s="91"/>
      <c r="W508" s="12"/>
    </row>
    <row r="509" spans="1:23" s="7" customFormat="1" ht="50.25" customHeight="1" x14ac:dyDescent="0.7">
      <c r="A509" s="78"/>
      <c r="B509" s="92" t="s">
        <v>670</v>
      </c>
      <c r="C509" s="86" t="s">
        <v>580</v>
      </c>
      <c r="D509" s="87"/>
      <c r="E509" s="87"/>
      <c r="F509" s="87"/>
      <c r="G509" s="87"/>
      <c r="H509" s="88"/>
      <c r="I509" s="45"/>
      <c r="J509" s="65" t="s">
        <v>72</v>
      </c>
      <c r="K509" s="65"/>
      <c r="L509" s="65" t="s">
        <v>87</v>
      </c>
      <c r="M509" s="65" t="s">
        <v>602</v>
      </c>
      <c r="N509" s="65" t="s">
        <v>159</v>
      </c>
      <c r="O509" s="65"/>
      <c r="P509" s="65" t="s">
        <v>578</v>
      </c>
      <c r="Q509" s="71"/>
      <c r="R509" s="65" t="s">
        <v>11</v>
      </c>
      <c r="S509" s="65" t="s">
        <v>473</v>
      </c>
      <c r="T509" s="65" t="s">
        <v>7</v>
      </c>
      <c r="U509" s="65"/>
      <c r="V509" s="65" t="s">
        <v>579</v>
      </c>
      <c r="W509" s="12"/>
    </row>
    <row r="510" spans="1:23" s="30" customFormat="1" ht="45.75" customHeight="1" x14ac:dyDescent="0.7">
      <c r="A510" s="78"/>
      <c r="B510" s="93"/>
      <c r="C510" s="44" t="s">
        <v>5</v>
      </c>
      <c r="D510" s="17">
        <f t="shared" ref="D510" si="61">SUM(D511:D514)</f>
        <v>98.16</v>
      </c>
      <c r="E510" s="18">
        <f>SUM(E511:E514)</f>
        <v>98.16</v>
      </c>
      <c r="F510" s="18"/>
      <c r="G510" s="18"/>
      <c r="H510" s="18"/>
      <c r="I510" s="18"/>
      <c r="J510" s="66"/>
      <c r="K510" s="66"/>
      <c r="L510" s="66"/>
      <c r="M510" s="66"/>
      <c r="N510" s="66"/>
      <c r="O510" s="66"/>
      <c r="P510" s="66"/>
      <c r="Q510" s="72"/>
      <c r="R510" s="66"/>
      <c r="S510" s="66"/>
      <c r="T510" s="66"/>
      <c r="U510" s="66"/>
      <c r="V510" s="66"/>
      <c r="W510" s="12"/>
    </row>
    <row r="511" spans="1:23" s="30" customFormat="1" ht="45.75" customHeight="1" x14ac:dyDescent="0.7">
      <c r="A511" s="78"/>
      <c r="B511" s="93"/>
      <c r="C511" s="44" t="s">
        <v>0</v>
      </c>
      <c r="D511" s="17"/>
      <c r="E511" s="18"/>
      <c r="F511" s="18"/>
      <c r="G511" s="18"/>
      <c r="H511" s="18"/>
      <c r="I511" s="18"/>
      <c r="J511" s="66"/>
      <c r="K511" s="66"/>
      <c r="L511" s="66"/>
      <c r="M511" s="66"/>
      <c r="N511" s="66"/>
      <c r="O511" s="66"/>
      <c r="P511" s="66"/>
      <c r="Q511" s="72"/>
      <c r="R511" s="66"/>
      <c r="S511" s="66"/>
      <c r="T511" s="66"/>
      <c r="U511" s="66"/>
      <c r="V511" s="66"/>
      <c r="W511" s="12"/>
    </row>
    <row r="512" spans="1:23" s="30" customFormat="1" ht="91.5" x14ac:dyDescent="0.7">
      <c r="A512" s="78"/>
      <c r="B512" s="93"/>
      <c r="C512" s="44" t="s">
        <v>1</v>
      </c>
      <c r="D512" s="17">
        <f>SUM(E512:I512)</f>
        <v>98.16</v>
      </c>
      <c r="E512" s="18">
        <f>198-99.84</f>
        <v>98.16</v>
      </c>
      <c r="F512" s="18"/>
      <c r="G512" s="18"/>
      <c r="H512" s="18"/>
      <c r="I512" s="18"/>
      <c r="J512" s="66"/>
      <c r="K512" s="66"/>
      <c r="L512" s="66"/>
      <c r="M512" s="66"/>
      <c r="N512" s="66"/>
      <c r="O512" s="66"/>
      <c r="P512" s="66"/>
      <c r="Q512" s="72"/>
      <c r="R512" s="66"/>
      <c r="S512" s="66"/>
      <c r="T512" s="66"/>
      <c r="U512" s="66"/>
      <c r="V512" s="66"/>
      <c r="W512" s="12"/>
    </row>
    <row r="513" spans="1:23" s="30" customFormat="1" ht="101.25" customHeight="1" x14ac:dyDescent="0.7">
      <c r="A513" s="78"/>
      <c r="B513" s="93"/>
      <c r="C513" s="44" t="s">
        <v>2</v>
      </c>
      <c r="D513" s="17"/>
      <c r="E513" s="18"/>
      <c r="F513" s="18"/>
      <c r="G513" s="18"/>
      <c r="H513" s="18"/>
      <c r="I513" s="18"/>
      <c r="J513" s="66"/>
      <c r="K513" s="66"/>
      <c r="L513" s="66"/>
      <c r="M513" s="66"/>
      <c r="N513" s="66"/>
      <c r="O513" s="66"/>
      <c r="P513" s="66"/>
      <c r="Q513" s="72"/>
      <c r="R513" s="66"/>
      <c r="S513" s="66"/>
      <c r="T513" s="66"/>
      <c r="U513" s="66"/>
      <c r="V513" s="66"/>
      <c r="W513" s="12"/>
    </row>
    <row r="514" spans="1:23" s="30" customFormat="1" ht="91.5" x14ac:dyDescent="0.7">
      <c r="A514" s="79"/>
      <c r="B514" s="94"/>
      <c r="C514" s="44" t="s">
        <v>3</v>
      </c>
      <c r="D514" s="17"/>
      <c r="E514" s="18"/>
      <c r="F514" s="18"/>
      <c r="G514" s="18"/>
      <c r="H514" s="18"/>
      <c r="I514" s="18"/>
      <c r="J514" s="67"/>
      <c r="K514" s="67"/>
      <c r="L514" s="67"/>
      <c r="M514" s="67"/>
      <c r="N514" s="67"/>
      <c r="O514" s="67"/>
      <c r="P514" s="67"/>
      <c r="Q514" s="73"/>
      <c r="R514" s="67"/>
      <c r="S514" s="67"/>
      <c r="T514" s="67"/>
      <c r="U514" s="67"/>
      <c r="V514" s="67"/>
      <c r="W514" s="12"/>
    </row>
    <row r="515" spans="1:23" s="30" customFormat="1" x14ac:dyDescent="0.7">
      <c r="A515" s="74" t="s">
        <v>22</v>
      </c>
      <c r="B515" s="75"/>
      <c r="C515" s="75"/>
      <c r="D515" s="75"/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6"/>
      <c r="W515" s="37"/>
    </row>
    <row r="516" spans="1:23" s="30" customFormat="1" x14ac:dyDescent="0.7">
      <c r="A516" s="77"/>
      <c r="B516" s="89" t="s">
        <v>237</v>
      </c>
      <c r="C516" s="90"/>
      <c r="D516" s="90"/>
      <c r="E516" s="90"/>
      <c r="F516" s="90"/>
      <c r="G516" s="90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90"/>
      <c r="U516" s="90"/>
      <c r="V516" s="91"/>
      <c r="W516" s="37"/>
    </row>
    <row r="517" spans="1:23" s="30" customFormat="1" ht="162.75" customHeight="1" x14ac:dyDescent="0.7">
      <c r="A517" s="78"/>
      <c r="B517" s="92" t="s">
        <v>671</v>
      </c>
      <c r="C517" s="86" t="s">
        <v>628</v>
      </c>
      <c r="D517" s="87"/>
      <c r="E517" s="87"/>
      <c r="F517" s="87"/>
      <c r="G517" s="87"/>
      <c r="H517" s="88"/>
      <c r="I517" s="45"/>
      <c r="J517" s="65"/>
      <c r="K517" s="65" t="s">
        <v>73</v>
      </c>
      <c r="L517" s="68" t="s">
        <v>89</v>
      </c>
      <c r="M517" s="68"/>
      <c r="N517" s="68" t="s">
        <v>630</v>
      </c>
      <c r="O517" s="68" t="s">
        <v>631</v>
      </c>
      <c r="P517" s="68" t="s">
        <v>631</v>
      </c>
      <c r="Q517" s="71" t="s">
        <v>634</v>
      </c>
      <c r="R517" s="68" t="s">
        <v>9</v>
      </c>
      <c r="S517" s="68" t="s">
        <v>630</v>
      </c>
      <c r="T517" s="65" t="s">
        <v>208</v>
      </c>
      <c r="U517" s="65"/>
      <c r="V517" s="65"/>
      <c r="W517" s="37"/>
    </row>
    <row r="518" spans="1:23" s="30" customFormat="1" x14ac:dyDescent="0.7">
      <c r="A518" s="78"/>
      <c r="B518" s="93"/>
      <c r="C518" s="44" t="s">
        <v>5</v>
      </c>
      <c r="D518" s="17">
        <f t="shared" ref="D518" si="62">SUM(D519:D522)</f>
        <v>7838.08277</v>
      </c>
      <c r="E518" s="18">
        <f>SUM(E519:E522)</f>
        <v>7837.8395799999998</v>
      </c>
      <c r="F518" s="18"/>
      <c r="G518" s="18"/>
      <c r="H518" s="18"/>
      <c r="I518" s="18"/>
      <c r="J518" s="66"/>
      <c r="K518" s="66"/>
      <c r="L518" s="69"/>
      <c r="M518" s="69"/>
      <c r="N518" s="69"/>
      <c r="O518" s="69"/>
      <c r="P518" s="69"/>
      <c r="Q518" s="72"/>
      <c r="R518" s="69"/>
      <c r="S518" s="69"/>
      <c r="T518" s="66"/>
      <c r="U518" s="66"/>
      <c r="V518" s="66"/>
      <c r="W518" s="37"/>
    </row>
    <row r="519" spans="1:23" s="7" customFormat="1" ht="91.5" x14ac:dyDescent="0.7">
      <c r="A519" s="78"/>
      <c r="B519" s="93"/>
      <c r="C519" s="44" t="s">
        <v>0</v>
      </c>
      <c r="D519" s="17"/>
      <c r="E519" s="18"/>
      <c r="F519" s="18"/>
      <c r="G519" s="18"/>
      <c r="H519" s="18"/>
      <c r="I519" s="18"/>
      <c r="J519" s="66"/>
      <c r="K519" s="66"/>
      <c r="L519" s="69"/>
      <c r="M519" s="69"/>
      <c r="N519" s="69"/>
      <c r="O519" s="69"/>
      <c r="P519" s="69"/>
      <c r="Q519" s="72"/>
      <c r="R519" s="69"/>
      <c r="S519" s="69"/>
      <c r="T519" s="66"/>
      <c r="U519" s="66"/>
      <c r="V519" s="66"/>
      <c r="W519" s="12"/>
    </row>
    <row r="520" spans="1:23" s="7" customFormat="1" ht="45.75" customHeight="1" x14ac:dyDescent="0.7">
      <c r="A520" s="78"/>
      <c r="B520" s="93"/>
      <c r="C520" s="44" t="s">
        <v>1</v>
      </c>
      <c r="D520" s="17">
        <f>SUM(E520:I520)</f>
        <v>7681.08277</v>
      </c>
      <c r="E520" s="18">
        <v>7681.08277</v>
      </c>
      <c r="F520" s="18"/>
      <c r="G520" s="18"/>
      <c r="H520" s="18"/>
      <c r="I520" s="18"/>
      <c r="J520" s="66"/>
      <c r="K520" s="66"/>
      <c r="L520" s="69"/>
      <c r="M520" s="69"/>
      <c r="N520" s="69"/>
      <c r="O520" s="69"/>
      <c r="P520" s="69"/>
      <c r="Q520" s="72"/>
      <c r="R520" s="69"/>
      <c r="S520" s="69"/>
      <c r="T520" s="66"/>
      <c r="U520" s="66"/>
      <c r="V520" s="66"/>
      <c r="W520" s="12"/>
    </row>
    <row r="521" spans="1:23" s="7" customFormat="1" ht="86.25" customHeight="1" x14ac:dyDescent="0.7">
      <c r="A521" s="78"/>
      <c r="B521" s="93"/>
      <c r="C521" s="44" t="s">
        <v>2</v>
      </c>
      <c r="D521" s="18">
        <v>157</v>
      </c>
      <c r="E521" s="18">
        <v>156.75681</v>
      </c>
      <c r="F521" s="18"/>
      <c r="G521" s="18"/>
      <c r="H521" s="18"/>
      <c r="I521" s="18"/>
      <c r="J521" s="66"/>
      <c r="K521" s="66"/>
      <c r="L521" s="69"/>
      <c r="M521" s="69"/>
      <c r="N521" s="69"/>
      <c r="O521" s="69"/>
      <c r="P521" s="69"/>
      <c r="Q521" s="72"/>
      <c r="R521" s="69"/>
      <c r="S521" s="69"/>
      <c r="T521" s="66"/>
      <c r="U521" s="66"/>
      <c r="V521" s="66"/>
      <c r="W521" s="12"/>
    </row>
    <row r="522" spans="1:23" s="7" customFormat="1" ht="91.5" x14ac:dyDescent="0.7">
      <c r="A522" s="79"/>
      <c r="B522" s="94"/>
      <c r="C522" s="44" t="s">
        <v>3</v>
      </c>
      <c r="D522" s="17"/>
      <c r="E522" s="18"/>
      <c r="F522" s="18"/>
      <c r="G522" s="18"/>
      <c r="H522" s="18"/>
      <c r="I522" s="18"/>
      <c r="J522" s="67"/>
      <c r="K522" s="67"/>
      <c r="L522" s="70"/>
      <c r="M522" s="70"/>
      <c r="N522" s="70"/>
      <c r="O522" s="70"/>
      <c r="P522" s="70"/>
      <c r="Q522" s="73"/>
      <c r="R522" s="70"/>
      <c r="S522" s="70"/>
      <c r="T522" s="67"/>
      <c r="U522" s="67"/>
      <c r="V522" s="67"/>
      <c r="W522" s="12"/>
    </row>
    <row r="523" spans="1:23" s="7" customFormat="1" x14ac:dyDescent="0.7">
      <c r="A523" s="115" t="s">
        <v>75</v>
      </c>
      <c r="B523" s="118" t="s">
        <v>319</v>
      </c>
      <c r="C523" s="119"/>
      <c r="D523" s="119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20"/>
      <c r="W523" s="12"/>
    </row>
    <row r="524" spans="1:23" s="7" customFormat="1" x14ac:dyDescent="0.7">
      <c r="A524" s="116"/>
      <c r="B524" s="113" t="s">
        <v>5</v>
      </c>
      <c r="C524" s="114"/>
      <c r="D524" s="16">
        <f t="shared" ref="D524" si="63">SUM(D525:D528)</f>
        <v>30135.611839999998</v>
      </c>
      <c r="E524" s="16">
        <f t="shared" ref="E524" si="64">E532+E540</f>
        <v>30135.611839999998</v>
      </c>
      <c r="F524" s="16"/>
      <c r="G524" s="16"/>
      <c r="H524" s="16"/>
      <c r="I524" s="16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12"/>
    </row>
    <row r="525" spans="1:23" s="7" customFormat="1" ht="45.75" customHeight="1" x14ac:dyDescent="0.7">
      <c r="A525" s="116"/>
      <c r="B525" s="113" t="s">
        <v>0</v>
      </c>
      <c r="C525" s="114"/>
      <c r="D525" s="16"/>
      <c r="E525" s="16"/>
      <c r="F525" s="16"/>
      <c r="G525" s="16"/>
      <c r="H525" s="16"/>
      <c r="I525" s="16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12"/>
    </row>
    <row r="526" spans="1:23" s="7" customFormat="1" x14ac:dyDescent="0.7">
      <c r="A526" s="116"/>
      <c r="B526" s="113" t="s">
        <v>1</v>
      </c>
      <c r="C526" s="114"/>
      <c r="D526" s="16">
        <f>SUM(E526:H526)</f>
        <v>30135.611839999998</v>
      </c>
      <c r="E526" s="16">
        <f>E534+E542</f>
        <v>30135.611839999998</v>
      </c>
      <c r="F526" s="16"/>
      <c r="G526" s="16"/>
      <c r="H526" s="16"/>
      <c r="I526" s="16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12"/>
    </row>
    <row r="527" spans="1:23" s="8" customFormat="1" x14ac:dyDescent="0.7">
      <c r="A527" s="116"/>
      <c r="B527" s="113" t="s">
        <v>2</v>
      </c>
      <c r="C527" s="114"/>
      <c r="D527" s="16"/>
      <c r="E527" s="16"/>
      <c r="F527" s="16"/>
      <c r="G527" s="16"/>
      <c r="H527" s="16"/>
      <c r="I527" s="16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12"/>
    </row>
    <row r="528" spans="1:23" s="7" customFormat="1" x14ac:dyDescent="0.7">
      <c r="A528" s="117"/>
      <c r="B528" s="113" t="s">
        <v>3</v>
      </c>
      <c r="C528" s="114"/>
      <c r="D528" s="20"/>
      <c r="E528" s="16"/>
      <c r="F528" s="16"/>
      <c r="G528" s="16"/>
      <c r="H528" s="16"/>
      <c r="I528" s="16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12"/>
    </row>
    <row r="529" spans="1:23" s="7" customFormat="1" x14ac:dyDescent="0.7">
      <c r="A529" s="74" t="s">
        <v>180</v>
      </c>
      <c r="B529" s="75"/>
      <c r="C529" s="75"/>
      <c r="D529" s="75"/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6"/>
      <c r="W529" s="12"/>
    </row>
    <row r="530" spans="1:23" s="7" customFormat="1" x14ac:dyDescent="0.7">
      <c r="A530" s="77"/>
      <c r="B530" s="89" t="s">
        <v>320</v>
      </c>
      <c r="C530" s="90"/>
      <c r="D530" s="90"/>
      <c r="E530" s="90"/>
      <c r="F530" s="90"/>
      <c r="G530" s="90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  <c r="S530" s="90"/>
      <c r="T530" s="90"/>
      <c r="U530" s="90"/>
      <c r="V530" s="91"/>
      <c r="W530" s="12"/>
    </row>
    <row r="531" spans="1:23" s="7" customFormat="1" ht="95.25" customHeight="1" x14ac:dyDescent="0.7">
      <c r="A531" s="78"/>
      <c r="B531" s="83" t="s">
        <v>76</v>
      </c>
      <c r="C531" s="86" t="s">
        <v>249</v>
      </c>
      <c r="D531" s="87"/>
      <c r="E531" s="87"/>
      <c r="F531" s="87"/>
      <c r="G531" s="87"/>
      <c r="H531" s="88"/>
      <c r="I531" s="29"/>
      <c r="J531" s="65" t="s">
        <v>73</v>
      </c>
      <c r="K531" s="65" t="s">
        <v>72</v>
      </c>
      <c r="L531" s="65" t="s">
        <v>87</v>
      </c>
      <c r="M531" s="68"/>
      <c r="N531" s="68" t="s">
        <v>106</v>
      </c>
      <c r="O531" s="68" t="s">
        <v>180</v>
      </c>
      <c r="P531" s="68" t="s">
        <v>106</v>
      </c>
      <c r="Q531" s="71" t="s">
        <v>176</v>
      </c>
      <c r="R531" s="68" t="s">
        <v>11</v>
      </c>
      <c r="S531" s="68" t="s">
        <v>12</v>
      </c>
      <c r="T531" s="65" t="s">
        <v>7</v>
      </c>
      <c r="U531" s="68"/>
      <c r="V531" s="68" t="s">
        <v>248</v>
      </c>
      <c r="W531" s="12"/>
    </row>
    <row r="532" spans="1:23" s="7" customFormat="1" x14ac:dyDescent="0.7">
      <c r="A532" s="78"/>
      <c r="B532" s="84"/>
      <c r="C532" s="44" t="s">
        <v>5</v>
      </c>
      <c r="D532" s="17">
        <f>SUM(D533:D536)</f>
        <v>29011.79826</v>
      </c>
      <c r="E532" s="18">
        <f>SUM(E533:E535)</f>
        <v>29011.79826</v>
      </c>
      <c r="F532" s="18"/>
      <c r="G532" s="18"/>
      <c r="H532" s="18"/>
      <c r="I532" s="13"/>
      <c r="J532" s="66"/>
      <c r="K532" s="66"/>
      <c r="L532" s="66"/>
      <c r="M532" s="69"/>
      <c r="N532" s="69"/>
      <c r="O532" s="69"/>
      <c r="P532" s="69"/>
      <c r="Q532" s="72"/>
      <c r="R532" s="69"/>
      <c r="S532" s="69"/>
      <c r="T532" s="66"/>
      <c r="U532" s="69"/>
      <c r="V532" s="69"/>
      <c r="W532" s="12"/>
    </row>
    <row r="533" spans="1:23" s="7" customFormat="1" ht="98.25" customHeight="1" x14ac:dyDescent="0.7">
      <c r="A533" s="78"/>
      <c r="B533" s="84"/>
      <c r="C533" s="44" t="s">
        <v>0</v>
      </c>
      <c r="D533" s="17"/>
      <c r="E533" s="18"/>
      <c r="F533" s="18"/>
      <c r="G533" s="18"/>
      <c r="H533" s="18"/>
      <c r="I533" s="13"/>
      <c r="J533" s="66"/>
      <c r="K533" s="66"/>
      <c r="L533" s="66"/>
      <c r="M533" s="69"/>
      <c r="N533" s="69"/>
      <c r="O533" s="69"/>
      <c r="P533" s="69"/>
      <c r="Q533" s="72"/>
      <c r="R533" s="69"/>
      <c r="S533" s="69"/>
      <c r="T533" s="66"/>
      <c r="U533" s="69"/>
      <c r="V533" s="69"/>
      <c r="W533" s="12"/>
    </row>
    <row r="534" spans="1:23" s="7" customFormat="1" ht="91.5" x14ac:dyDescent="0.7">
      <c r="A534" s="78"/>
      <c r="B534" s="84"/>
      <c r="C534" s="44" t="s">
        <v>1</v>
      </c>
      <c r="D534" s="17">
        <f>SUM(E534:H534)</f>
        <v>29011.79826</v>
      </c>
      <c r="E534" s="18">
        <f>28424.53+587.26826</f>
        <v>29011.79826</v>
      </c>
      <c r="F534" s="18"/>
      <c r="G534" s="18"/>
      <c r="H534" s="18"/>
      <c r="I534" s="13"/>
      <c r="J534" s="66"/>
      <c r="K534" s="66"/>
      <c r="L534" s="66"/>
      <c r="M534" s="69"/>
      <c r="N534" s="69"/>
      <c r="O534" s="69"/>
      <c r="P534" s="69"/>
      <c r="Q534" s="72"/>
      <c r="R534" s="69"/>
      <c r="S534" s="69"/>
      <c r="T534" s="66"/>
      <c r="U534" s="69"/>
      <c r="V534" s="69"/>
      <c r="W534" s="12"/>
    </row>
    <row r="535" spans="1:23" s="7" customFormat="1" ht="91.5" x14ac:dyDescent="0.7">
      <c r="A535" s="78"/>
      <c r="B535" s="84"/>
      <c r="C535" s="44" t="s">
        <v>2</v>
      </c>
      <c r="D535" s="17"/>
      <c r="E535" s="18"/>
      <c r="F535" s="18"/>
      <c r="G535" s="18"/>
      <c r="H535" s="18"/>
      <c r="I535" s="13"/>
      <c r="J535" s="66"/>
      <c r="K535" s="66"/>
      <c r="L535" s="66"/>
      <c r="M535" s="69"/>
      <c r="N535" s="69"/>
      <c r="O535" s="69"/>
      <c r="P535" s="69"/>
      <c r="Q535" s="72"/>
      <c r="R535" s="69"/>
      <c r="S535" s="69"/>
      <c r="T535" s="66"/>
      <c r="U535" s="69"/>
      <c r="V535" s="69"/>
      <c r="W535" s="12"/>
    </row>
    <row r="536" spans="1:23" s="7" customFormat="1" ht="108" customHeight="1" x14ac:dyDescent="0.7">
      <c r="A536" s="79"/>
      <c r="B536" s="85"/>
      <c r="C536" s="44" t="s">
        <v>3</v>
      </c>
      <c r="D536" s="17"/>
      <c r="E536" s="18"/>
      <c r="F536" s="18"/>
      <c r="G536" s="18"/>
      <c r="H536" s="18"/>
      <c r="I536" s="13"/>
      <c r="J536" s="67"/>
      <c r="K536" s="67"/>
      <c r="L536" s="67"/>
      <c r="M536" s="70"/>
      <c r="N536" s="70"/>
      <c r="O536" s="70"/>
      <c r="P536" s="70"/>
      <c r="Q536" s="73"/>
      <c r="R536" s="70"/>
      <c r="S536" s="70"/>
      <c r="T536" s="67"/>
      <c r="U536" s="70"/>
      <c r="V536" s="70"/>
      <c r="W536" s="12"/>
    </row>
    <row r="537" spans="1:23" s="7" customFormat="1" x14ac:dyDescent="0.7">
      <c r="A537" s="74" t="s">
        <v>180</v>
      </c>
      <c r="B537" s="75"/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6"/>
      <c r="W537" s="12"/>
    </row>
    <row r="538" spans="1:23" s="7" customFormat="1" x14ac:dyDescent="0.7">
      <c r="A538" s="77"/>
      <c r="B538" s="89" t="s">
        <v>320</v>
      </c>
      <c r="C538" s="90"/>
      <c r="D538" s="90"/>
      <c r="E538" s="90"/>
      <c r="F538" s="90"/>
      <c r="G538" s="90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90"/>
      <c r="U538" s="90"/>
      <c r="V538" s="91"/>
      <c r="W538" s="12"/>
    </row>
    <row r="539" spans="1:23" s="7" customFormat="1" x14ac:dyDescent="0.7">
      <c r="A539" s="78"/>
      <c r="B539" s="83" t="s">
        <v>702</v>
      </c>
      <c r="C539" s="86" t="s">
        <v>703</v>
      </c>
      <c r="D539" s="87"/>
      <c r="E539" s="87"/>
      <c r="F539" s="87"/>
      <c r="G539" s="87"/>
      <c r="H539" s="88"/>
      <c r="I539" s="29"/>
      <c r="J539" s="65"/>
      <c r="K539" s="65" t="s">
        <v>560</v>
      </c>
      <c r="L539" s="65" t="s">
        <v>87</v>
      </c>
      <c r="M539" s="68"/>
      <c r="N539" s="68" t="s">
        <v>106</v>
      </c>
      <c r="O539" s="68" t="s">
        <v>180</v>
      </c>
      <c r="P539" s="68" t="s">
        <v>106</v>
      </c>
      <c r="Q539" s="71"/>
      <c r="R539" s="68" t="s">
        <v>11</v>
      </c>
      <c r="S539" s="68" t="s">
        <v>428</v>
      </c>
      <c r="T539" s="65" t="s">
        <v>208</v>
      </c>
      <c r="U539" s="68"/>
      <c r="V539" s="68"/>
      <c r="W539" s="12"/>
    </row>
    <row r="540" spans="1:23" s="7" customFormat="1" x14ac:dyDescent="0.7">
      <c r="A540" s="78"/>
      <c r="B540" s="84"/>
      <c r="C540" s="44" t="s">
        <v>5</v>
      </c>
      <c r="D540" s="17">
        <f>SUM(D541:D544)</f>
        <v>1123.81358</v>
      </c>
      <c r="E540" s="18">
        <f>SUM(E541:E543)</f>
        <v>1123.81358</v>
      </c>
      <c r="F540" s="18"/>
      <c r="G540" s="18"/>
      <c r="H540" s="18"/>
      <c r="I540" s="13"/>
      <c r="J540" s="66"/>
      <c r="K540" s="66"/>
      <c r="L540" s="66"/>
      <c r="M540" s="69"/>
      <c r="N540" s="69"/>
      <c r="O540" s="69"/>
      <c r="P540" s="69"/>
      <c r="Q540" s="72"/>
      <c r="R540" s="69"/>
      <c r="S540" s="69"/>
      <c r="T540" s="66"/>
      <c r="U540" s="69"/>
      <c r="V540" s="69"/>
      <c r="W540" s="12"/>
    </row>
    <row r="541" spans="1:23" s="7" customFormat="1" ht="91.5" x14ac:dyDescent="0.7">
      <c r="A541" s="78"/>
      <c r="B541" s="84"/>
      <c r="C541" s="44" t="s">
        <v>0</v>
      </c>
      <c r="D541" s="17"/>
      <c r="E541" s="18"/>
      <c r="F541" s="18"/>
      <c r="G541" s="18"/>
      <c r="H541" s="18"/>
      <c r="I541" s="13"/>
      <c r="J541" s="66"/>
      <c r="K541" s="66"/>
      <c r="L541" s="66"/>
      <c r="M541" s="69"/>
      <c r="N541" s="69"/>
      <c r="O541" s="69"/>
      <c r="P541" s="69"/>
      <c r="Q541" s="72"/>
      <c r="R541" s="69"/>
      <c r="S541" s="69"/>
      <c r="T541" s="66"/>
      <c r="U541" s="69"/>
      <c r="V541" s="69"/>
      <c r="W541" s="12"/>
    </row>
    <row r="542" spans="1:23" s="7" customFormat="1" ht="91.5" x14ac:dyDescent="0.7">
      <c r="A542" s="78"/>
      <c r="B542" s="84"/>
      <c r="C542" s="44" t="s">
        <v>1</v>
      </c>
      <c r="D542" s="17">
        <f>SUM(E542:H542)</f>
        <v>1123.81358</v>
      </c>
      <c r="E542" s="18">
        <v>1123.81358</v>
      </c>
      <c r="F542" s="18"/>
      <c r="G542" s="18"/>
      <c r="H542" s="18"/>
      <c r="I542" s="13"/>
      <c r="J542" s="66"/>
      <c r="K542" s="66"/>
      <c r="L542" s="66"/>
      <c r="M542" s="69"/>
      <c r="N542" s="69"/>
      <c r="O542" s="69"/>
      <c r="P542" s="69"/>
      <c r="Q542" s="72"/>
      <c r="R542" s="69"/>
      <c r="S542" s="69"/>
      <c r="T542" s="66"/>
      <c r="U542" s="69"/>
      <c r="V542" s="69"/>
      <c r="W542" s="12"/>
    </row>
    <row r="543" spans="1:23" s="7" customFormat="1" ht="91.5" x14ac:dyDescent="0.7">
      <c r="A543" s="78"/>
      <c r="B543" s="84"/>
      <c r="C543" s="44" t="s">
        <v>2</v>
      </c>
      <c r="D543" s="17"/>
      <c r="E543" s="18"/>
      <c r="F543" s="18"/>
      <c r="G543" s="18"/>
      <c r="H543" s="18"/>
      <c r="I543" s="13"/>
      <c r="J543" s="66"/>
      <c r="K543" s="66"/>
      <c r="L543" s="66"/>
      <c r="M543" s="69"/>
      <c r="N543" s="69"/>
      <c r="O543" s="69"/>
      <c r="P543" s="69"/>
      <c r="Q543" s="72"/>
      <c r="R543" s="69"/>
      <c r="S543" s="69"/>
      <c r="T543" s="66"/>
      <c r="U543" s="69"/>
      <c r="V543" s="69"/>
      <c r="W543" s="12"/>
    </row>
    <row r="544" spans="1:23" s="7" customFormat="1" ht="91.5" x14ac:dyDescent="0.7">
      <c r="A544" s="79"/>
      <c r="B544" s="85"/>
      <c r="C544" s="44" t="s">
        <v>3</v>
      </c>
      <c r="D544" s="17"/>
      <c r="E544" s="18"/>
      <c r="F544" s="18"/>
      <c r="G544" s="18"/>
      <c r="H544" s="18"/>
      <c r="I544" s="13"/>
      <c r="J544" s="67"/>
      <c r="K544" s="67"/>
      <c r="L544" s="67"/>
      <c r="M544" s="70"/>
      <c r="N544" s="70"/>
      <c r="O544" s="70"/>
      <c r="P544" s="70"/>
      <c r="Q544" s="73"/>
      <c r="R544" s="70"/>
      <c r="S544" s="70"/>
      <c r="T544" s="67"/>
      <c r="U544" s="70"/>
      <c r="V544" s="70"/>
      <c r="W544" s="12"/>
    </row>
    <row r="545" spans="1:23" s="7" customFormat="1" ht="56.25" customHeight="1" x14ac:dyDescent="0.7">
      <c r="A545" s="115" t="s">
        <v>77</v>
      </c>
      <c r="B545" s="118" t="s">
        <v>250</v>
      </c>
      <c r="C545" s="119"/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20"/>
      <c r="W545" s="12"/>
    </row>
    <row r="546" spans="1:23" s="7" customFormat="1" x14ac:dyDescent="0.7">
      <c r="A546" s="116"/>
      <c r="B546" s="113" t="s">
        <v>5</v>
      </c>
      <c r="C546" s="114"/>
      <c r="D546" s="16">
        <f>SUM(D547:D550)</f>
        <v>40000.000000000007</v>
      </c>
      <c r="E546" s="16">
        <f t="shared" ref="E546:F546" si="65">E554</f>
        <v>0</v>
      </c>
      <c r="F546" s="16">
        <f t="shared" si="65"/>
        <v>40000.000000000007</v>
      </c>
      <c r="G546" s="16"/>
      <c r="H546" s="16"/>
      <c r="I546" s="16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12"/>
    </row>
    <row r="547" spans="1:23" s="7" customFormat="1" x14ac:dyDescent="0.7">
      <c r="A547" s="116"/>
      <c r="B547" s="113" t="s">
        <v>0</v>
      </c>
      <c r="C547" s="114"/>
      <c r="D547" s="16"/>
      <c r="E547" s="16"/>
      <c r="F547" s="16"/>
      <c r="G547" s="16"/>
      <c r="H547" s="16"/>
      <c r="I547" s="16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12"/>
    </row>
    <row r="548" spans="1:23" s="7" customFormat="1" x14ac:dyDescent="0.7">
      <c r="A548" s="116"/>
      <c r="B548" s="113" t="s">
        <v>1</v>
      </c>
      <c r="C548" s="114"/>
      <c r="D548" s="16">
        <f>SUM(E548:H548)</f>
        <v>40000.000000000007</v>
      </c>
      <c r="E548" s="16">
        <f t="shared" ref="E548:F548" si="66">E556</f>
        <v>0</v>
      </c>
      <c r="F548" s="16">
        <f t="shared" si="66"/>
        <v>40000.000000000007</v>
      </c>
      <c r="G548" s="16"/>
      <c r="H548" s="16"/>
      <c r="I548" s="16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12"/>
    </row>
    <row r="549" spans="1:23" s="7" customFormat="1" ht="43.5" customHeight="1" x14ac:dyDescent="0.7">
      <c r="A549" s="116"/>
      <c r="B549" s="113" t="s">
        <v>2</v>
      </c>
      <c r="C549" s="114"/>
      <c r="D549" s="16"/>
      <c r="E549" s="16"/>
      <c r="F549" s="16"/>
      <c r="G549" s="16"/>
      <c r="H549" s="16"/>
      <c r="I549" s="16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12"/>
    </row>
    <row r="550" spans="1:23" s="7" customFormat="1" x14ac:dyDescent="0.7">
      <c r="A550" s="117"/>
      <c r="B550" s="113" t="s">
        <v>3</v>
      </c>
      <c r="C550" s="114"/>
      <c r="D550" s="20"/>
      <c r="E550" s="16"/>
      <c r="F550" s="16"/>
      <c r="G550" s="16"/>
      <c r="H550" s="16"/>
      <c r="I550" s="16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12"/>
    </row>
    <row r="551" spans="1:23" s="7" customFormat="1" x14ac:dyDescent="0.7">
      <c r="A551" s="74" t="s">
        <v>90</v>
      </c>
      <c r="B551" s="75"/>
      <c r="C551" s="75"/>
      <c r="D551" s="75"/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6"/>
      <c r="W551" s="12"/>
    </row>
    <row r="552" spans="1:23" s="7" customFormat="1" ht="45.75" customHeight="1" x14ac:dyDescent="0.7">
      <c r="A552" s="77"/>
      <c r="B552" s="80" t="s">
        <v>251</v>
      </c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2"/>
      <c r="W552" s="12"/>
    </row>
    <row r="553" spans="1:23" s="7" customFormat="1" ht="108.75" customHeight="1" x14ac:dyDescent="0.7">
      <c r="A553" s="78"/>
      <c r="B553" s="92" t="s">
        <v>78</v>
      </c>
      <c r="C553" s="86" t="s">
        <v>136</v>
      </c>
      <c r="D553" s="87"/>
      <c r="E553" s="87"/>
      <c r="F553" s="87"/>
      <c r="G553" s="87"/>
      <c r="H553" s="88"/>
      <c r="I553" s="45"/>
      <c r="J553" s="65" t="s">
        <v>253</v>
      </c>
      <c r="K553" s="65" t="s">
        <v>72</v>
      </c>
      <c r="L553" s="65" t="s">
        <v>89</v>
      </c>
      <c r="M553" s="65" t="s">
        <v>68</v>
      </c>
      <c r="N553" s="65" t="s">
        <v>116</v>
      </c>
      <c r="O553" s="65" t="s">
        <v>115</v>
      </c>
      <c r="P553" s="65" t="s">
        <v>115</v>
      </c>
      <c r="Q553" s="71" t="s">
        <v>252</v>
      </c>
      <c r="R553" s="65" t="s">
        <v>9</v>
      </c>
      <c r="S553" s="65" t="s">
        <v>69</v>
      </c>
      <c r="T553" s="65" t="s">
        <v>19</v>
      </c>
      <c r="U553" s="65"/>
      <c r="V553" s="65" t="s">
        <v>192</v>
      </c>
      <c r="W553" s="12"/>
    </row>
    <row r="554" spans="1:23" s="7" customFormat="1" x14ac:dyDescent="0.7">
      <c r="A554" s="78"/>
      <c r="B554" s="93"/>
      <c r="C554" s="44" t="s">
        <v>5</v>
      </c>
      <c r="D554" s="17">
        <f>SUM(D555:D558)</f>
        <v>40000.000000000007</v>
      </c>
      <c r="E554" s="18">
        <f t="shared" ref="E554:F554" si="67">SUM(E555:E558)</f>
        <v>0</v>
      </c>
      <c r="F554" s="18">
        <f t="shared" si="67"/>
        <v>40000.000000000007</v>
      </c>
      <c r="G554" s="18"/>
      <c r="H554" s="18"/>
      <c r="I554" s="18"/>
      <c r="J554" s="66"/>
      <c r="K554" s="66"/>
      <c r="L554" s="66"/>
      <c r="M554" s="66"/>
      <c r="N554" s="66"/>
      <c r="O554" s="66"/>
      <c r="P554" s="66"/>
      <c r="Q554" s="72"/>
      <c r="R554" s="66"/>
      <c r="S554" s="66"/>
      <c r="T554" s="66"/>
      <c r="U554" s="66"/>
      <c r="V554" s="66"/>
      <c r="W554" s="12"/>
    </row>
    <row r="555" spans="1:23" s="7" customFormat="1" ht="91.5" x14ac:dyDescent="0.7">
      <c r="A555" s="78"/>
      <c r="B555" s="93"/>
      <c r="C555" s="44" t="s">
        <v>0</v>
      </c>
      <c r="D555" s="17"/>
      <c r="E555" s="18"/>
      <c r="F555" s="18"/>
      <c r="G555" s="18"/>
      <c r="H555" s="18"/>
      <c r="I555" s="18"/>
      <c r="J555" s="66"/>
      <c r="K555" s="66"/>
      <c r="L555" s="66"/>
      <c r="M555" s="66"/>
      <c r="N555" s="66"/>
      <c r="O555" s="66"/>
      <c r="P555" s="66"/>
      <c r="Q555" s="72"/>
      <c r="R555" s="66"/>
      <c r="S555" s="66"/>
      <c r="T555" s="66"/>
      <c r="U555" s="66"/>
      <c r="V555" s="66"/>
      <c r="W555" s="12"/>
    </row>
    <row r="556" spans="1:23" s="7" customFormat="1" ht="91.5" x14ac:dyDescent="0.7">
      <c r="A556" s="78"/>
      <c r="B556" s="93"/>
      <c r="C556" s="44" t="s">
        <v>1</v>
      </c>
      <c r="D556" s="17">
        <f>SUM(E556:H556)</f>
        <v>40000.000000000007</v>
      </c>
      <c r="E556" s="18">
        <f>40544.13-40544.13</f>
        <v>0</v>
      </c>
      <c r="F556" s="18">
        <v>40000.000000000007</v>
      </c>
      <c r="G556" s="18"/>
      <c r="H556" s="18"/>
      <c r="I556" s="18"/>
      <c r="J556" s="66"/>
      <c r="K556" s="66"/>
      <c r="L556" s="66"/>
      <c r="M556" s="66"/>
      <c r="N556" s="66"/>
      <c r="O556" s="66"/>
      <c r="P556" s="66"/>
      <c r="Q556" s="72"/>
      <c r="R556" s="66"/>
      <c r="S556" s="66"/>
      <c r="T556" s="66"/>
      <c r="U556" s="66"/>
      <c r="V556" s="66"/>
      <c r="W556" s="12"/>
    </row>
    <row r="557" spans="1:23" s="7" customFormat="1" ht="98.25" customHeight="1" x14ac:dyDescent="0.7">
      <c r="A557" s="78"/>
      <c r="B557" s="93"/>
      <c r="C557" s="44" t="s">
        <v>2</v>
      </c>
      <c r="D557" s="17"/>
      <c r="E557" s="18"/>
      <c r="F557" s="18"/>
      <c r="G557" s="18"/>
      <c r="H557" s="18"/>
      <c r="I557" s="18"/>
      <c r="J557" s="66"/>
      <c r="K557" s="66"/>
      <c r="L557" s="66"/>
      <c r="M557" s="66"/>
      <c r="N557" s="66"/>
      <c r="O557" s="66"/>
      <c r="P557" s="66"/>
      <c r="Q557" s="72"/>
      <c r="R557" s="66"/>
      <c r="S557" s="66"/>
      <c r="T557" s="66"/>
      <c r="U557" s="66"/>
      <c r="V557" s="66"/>
      <c r="W557" s="12"/>
    </row>
    <row r="558" spans="1:23" s="7" customFormat="1" ht="91.5" x14ac:dyDescent="0.7">
      <c r="A558" s="79"/>
      <c r="B558" s="94"/>
      <c r="C558" s="44" t="s">
        <v>3</v>
      </c>
      <c r="D558" s="17"/>
      <c r="E558" s="18"/>
      <c r="F558" s="18"/>
      <c r="G558" s="18"/>
      <c r="H558" s="18"/>
      <c r="I558" s="18"/>
      <c r="J558" s="67"/>
      <c r="K558" s="67"/>
      <c r="L558" s="67"/>
      <c r="M558" s="67"/>
      <c r="N558" s="67"/>
      <c r="O558" s="67"/>
      <c r="P558" s="67"/>
      <c r="Q558" s="73"/>
      <c r="R558" s="67"/>
      <c r="S558" s="67"/>
      <c r="T558" s="67"/>
      <c r="U558" s="67"/>
      <c r="V558" s="67"/>
      <c r="W558" s="12"/>
    </row>
    <row r="559" spans="1:23" s="7" customFormat="1" ht="48.75" customHeight="1" x14ac:dyDescent="0.7">
      <c r="A559" s="115" t="s">
        <v>56</v>
      </c>
      <c r="B559" s="118" t="s">
        <v>254</v>
      </c>
      <c r="C559" s="119"/>
      <c r="D559" s="119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20"/>
      <c r="W559" s="12"/>
    </row>
    <row r="560" spans="1:23" s="7" customFormat="1" ht="45.75" customHeight="1" x14ac:dyDescent="0.7">
      <c r="A560" s="116"/>
      <c r="B560" s="113" t="s">
        <v>5</v>
      </c>
      <c r="C560" s="114"/>
      <c r="D560" s="16">
        <f t="shared" ref="D560" si="68">SUM(D561:D565)</f>
        <v>1444623.4677899999</v>
      </c>
      <c r="E560" s="16">
        <f>E569+E577+E585</f>
        <v>447237.29079</v>
      </c>
      <c r="F560" s="16">
        <f t="shared" ref="F560:I560" si="69">F569+F577+F585</f>
        <v>176659.70699999999</v>
      </c>
      <c r="G560" s="16">
        <f t="shared" si="69"/>
        <v>210652.75</v>
      </c>
      <c r="H560" s="16">
        <f t="shared" si="69"/>
        <v>243448.72</v>
      </c>
      <c r="I560" s="16">
        <f t="shared" si="69"/>
        <v>366625</v>
      </c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12"/>
    </row>
    <row r="561" spans="1:23" s="7" customFormat="1" ht="93.75" customHeight="1" x14ac:dyDescent="0.7">
      <c r="A561" s="116"/>
      <c r="B561" s="113" t="s">
        <v>0</v>
      </c>
      <c r="C561" s="114"/>
      <c r="D561" s="16"/>
      <c r="E561" s="16"/>
      <c r="F561" s="16"/>
      <c r="G561" s="16"/>
      <c r="H561" s="16"/>
      <c r="I561" s="16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12"/>
    </row>
    <row r="562" spans="1:23" s="7" customFormat="1" x14ac:dyDescent="0.7">
      <c r="A562" s="116"/>
      <c r="B562" s="113" t="s">
        <v>1</v>
      </c>
      <c r="C562" s="114"/>
      <c r="D562" s="16">
        <f>SUM(E562:I562)</f>
        <v>1413625.6176</v>
      </c>
      <c r="E562" s="16">
        <f>E571+E579+E587</f>
        <v>418059.30059999996</v>
      </c>
      <c r="F562" s="16">
        <f t="shared" ref="F562:I562" si="70">F571+F579+F587</f>
        <v>174839.84700000001</v>
      </c>
      <c r="G562" s="16">
        <f t="shared" si="70"/>
        <v>210652.75</v>
      </c>
      <c r="H562" s="16">
        <f t="shared" si="70"/>
        <v>243448.72</v>
      </c>
      <c r="I562" s="16">
        <f t="shared" si="70"/>
        <v>366625</v>
      </c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12"/>
    </row>
    <row r="563" spans="1:23" s="7" customFormat="1" x14ac:dyDescent="0.7">
      <c r="A563" s="116"/>
      <c r="B563" s="113" t="s">
        <v>357</v>
      </c>
      <c r="C563" s="114" t="s">
        <v>357</v>
      </c>
      <c r="D563" s="16">
        <f>SUM(E563:I563)</f>
        <v>29049.160190000002</v>
      </c>
      <c r="E563" s="16">
        <f>E588</f>
        <v>29049.160190000002</v>
      </c>
      <c r="F563" s="16"/>
      <c r="G563" s="16"/>
      <c r="H563" s="16"/>
      <c r="I563" s="16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12"/>
    </row>
    <row r="564" spans="1:23" s="7" customFormat="1" x14ac:dyDescent="0.7">
      <c r="A564" s="116"/>
      <c r="B564" s="113" t="s">
        <v>2</v>
      </c>
      <c r="C564" s="114"/>
      <c r="D564" s="16">
        <f>SUM(E564:I564)</f>
        <v>1948.6899999999998</v>
      </c>
      <c r="E564" s="16">
        <f>E572+E580+E589</f>
        <v>128.83000000000001</v>
      </c>
      <c r="F564" s="16">
        <f>F572+F580+F589</f>
        <v>1819.86</v>
      </c>
      <c r="G564" s="16"/>
      <c r="H564" s="16"/>
      <c r="I564" s="16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12"/>
    </row>
    <row r="565" spans="1:23" s="7" customFormat="1" ht="102" customHeight="1" x14ac:dyDescent="0.7">
      <c r="A565" s="117"/>
      <c r="B565" s="113" t="s">
        <v>3</v>
      </c>
      <c r="C565" s="114"/>
      <c r="D565" s="16"/>
      <c r="E565" s="16"/>
      <c r="F565" s="16"/>
      <c r="G565" s="16"/>
      <c r="H565" s="16"/>
      <c r="I565" s="16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12"/>
    </row>
    <row r="566" spans="1:23" s="7" customFormat="1" x14ac:dyDescent="0.7">
      <c r="A566" s="74" t="s">
        <v>16</v>
      </c>
      <c r="B566" s="75"/>
      <c r="C566" s="75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6"/>
      <c r="W566" s="12"/>
    </row>
    <row r="567" spans="1:23" s="7" customFormat="1" x14ac:dyDescent="0.7">
      <c r="A567" s="77"/>
      <c r="B567" s="89" t="s">
        <v>397</v>
      </c>
      <c r="C567" s="90"/>
      <c r="D567" s="90"/>
      <c r="E567" s="90"/>
      <c r="F567" s="90"/>
      <c r="G567" s="90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  <c r="S567" s="90"/>
      <c r="T567" s="90"/>
      <c r="U567" s="90"/>
      <c r="V567" s="91"/>
      <c r="W567" s="12"/>
    </row>
    <row r="568" spans="1:23" s="7" customFormat="1" ht="64.5" customHeight="1" x14ac:dyDescent="0.7">
      <c r="A568" s="78"/>
      <c r="B568" s="92" t="s">
        <v>57</v>
      </c>
      <c r="C568" s="86" t="s">
        <v>137</v>
      </c>
      <c r="D568" s="87"/>
      <c r="E568" s="87"/>
      <c r="F568" s="87"/>
      <c r="G568" s="87"/>
      <c r="H568" s="88"/>
      <c r="I568" s="45"/>
      <c r="J568" s="65" t="s">
        <v>255</v>
      </c>
      <c r="K568" s="65"/>
      <c r="L568" s="65" t="s">
        <v>87</v>
      </c>
      <c r="M568" s="65" t="s">
        <v>101</v>
      </c>
      <c r="N568" s="65" t="s">
        <v>179</v>
      </c>
      <c r="O568" s="65" t="s">
        <v>109</v>
      </c>
      <c r="P568" s="65" t="s">
        <v>179</v>
      </c>
      <c r="Q568" s="71" t="s">
        <v>138</v>
      </c>
      <c r="R568" s="65" t="s">
        <v>11</v>
      </c>
      <c r="S568" s="65" t="s">
        <v>10</v>
      </c>
      <c r="T568" s="65" t="s">
        <v>7</v>
      </c>
      <c r="U568" s="65"/>
      <c r="V568" s="65" t="s">
        <v>84</v>
      </c>
      <c r="W568" s="12"/>
    </row>
    <row r="569" spans="1:23" s="7" customFormat="1" x14ac:dyDescent="0.7">
      <c r="A569" s="78"/>
      <c r="B569" s="93"/>
      <c r="C569" s="44" t="s">
        <v>5</v>
      </c>
      <c r="D569" s="17">
        <f>SUM(D570:D573)</f>
        <v>1331223.6976000001</v>
      </c>
      <c r="E569" s="18">
        <f t="shared" ref="E569:I569" si="71">SUM(E570:E573)</f>
        <v>405305.13059999997</v>
      </c>
      <c r="F569" s="18">
        <f t="shared" si="71"/>
        <v>105192.09699999999</v>
      </c>
      <c r="G569" s="18">
        <f t="shared" si="71"/>
        <v>210652.75</v>
      </c>
      <c r="H569" s="18">
        <f t="shared" si="71"/>
        <v>243448.72</v>
      </c>
      <c r="I569" s="18">
        <f t="shared" si="71"/>
        <v>366625</v>
      </c>
      <c r="J569" s="66"/>
      <c r="K569" s="66"/>
      <c r="L569" s="66"/>
      <c r="M569" s="66"/>
      <c r="N569" s="66"/>
      <c r="O569" s="66"/>
      <c r="P569" s="66"/>
      <c r="Q569" s="72"/>
      <c r="R569" s="66"/>
      <c r="S569" s="66"/>
      <c r="T569" s="66"/>
      <c r="U569" s="66"/>
      <c r="V569" s="66"/>
      <c r="W569" s="12"/>
    </row>
    <row r="570" spans="1:23" s="7" customFormat="1" ht="96.75" customHeight="1" x14ac:dyDescent="0.7">
      <c r="A570" s="78"/>
      <c r="B570" s="93"/>
      <c r="C570" s="44" t="s">
        <v>0</v>
      </c>
      <c r="D570" s="17"/>
      <c r="E570" s="18"/>
      <c r="F570" s="18"/>
      <c r="G570" s="18"/>
      <c r="H570" s="18"/>
      <c r="I570" s="18"/>
      <c r="J570" s="66"/>
      <c r="K570" s="66"/>
      <c r="L570" s="66"/>
      <c r="M570" s="66"/>
      <c r="N570" s="66"/>
      <c r="O570" s="66"/>
      <c r="P570" s="66"/>
      <c r="Q570" s="72"/>
      <c r="R570" s="66"/>
      <c r="S570" s="66"/>
      <c r="T570" s="66"/>
      <c r="U570" s="66"/>
      <c r="V570" s="66"/>
      <c r="W570" s="12"/>
    </row>
    <row r="571" spans="1:23" s="7" customFormat="1" ht="91.5" x14ac:dyDescent="0.7">
      <c r="A571" s="78"/>
      <c r="B571" s="93"/>
      <c r="C571" s="44" t="s">
        <v>1</v>
      </c>
      <c r="D571" s="17">
        <f>SUM(E571:I571)</f>
        <v>1331223.6976000001</v>
      </c>
      <c r="E571" s="18">
        <f>124807.903+100000+23200+43000+40936.00647+53340.93785+25449.32249-5429.03921</f>
        <v>405305.13059999997</v>
      </c>
      <c r="F571" s="18">
        <v>105192.09699999999</v>
      </c>
      <c r="G571" s="18">
        <v>210652.75</v>
      </c>
      <c r="H571" s="18">
        <v>243448.72</v>
      </c>
      <c r="I571" s="18">
        <v>366625</v>
      </c>
      <c r="J571" s="66"/>
      <c r="K571" s="66"/>
      <c r="L571" s="66"/>
      <c r="M571" s="66"/>
      <c r="N571" s="66"/>
      <c r="O571" s="66"/>
      <c r="P571" s="66"/>
      <c r="Q571" s="72"/>
      <c r="R571" s="66"/>
      <c r="S571" s="66"/>
      <c r="T571" s="66"/>
      <c r="U571" s="66"/>
      <c r="V571" s="66"/>
      <c r="W571" s="12"/>
    </row>
    <row r="572" spans="1:23" s="7" customFormat="1" ht="94.5" customHeight="1" x14ac:dyDescent="0.7">
      <c r="A572" s="78"/>
      <c r="B572" s="93"/>
      <c r="C572" s="44" t="s">
        <v>2</v>
      </c>
      <c r="D572" s="17"/>
      <c r="E572" s="18"/>
      <c r="F572" s="18"/>
      <c r="G572" s="18"/>
      <c r="H572" s="18"/>
      <c r="I572" s="18"/>
      <c r="J572" s="66"/>
      <c r="K572" s="66"/>
      <c r="L572" s="66"/>
      <c r="M572" s="66"/>
      <c r="N572" s="66"/>
      <c r="O572" s="66"/>
      <c r="P572" s="66"/>
      <c r="Q572" s="72"/>
      <c r="R572" s="66"/>
      <c r="S572" s="66"/>
      <c r="T572" s="66"/>
      <c r="U572" s="66"/>
      <c r="V572" s="66"/>
      <c r="W572" s="12"/>
    </row>
    <row r="573" spans="1:23" s="7" customFormat="1" ht="110.25" customHeight="1" x14ac:dyDescent="0.7">
      <c r="A573" s="79"/>
      <c r="B573" s="94"/>
      <c r="C573" s="44" t="s">
        <v>3</v>
      </c>
      <c r="D573" s="17"/>
      <c r="E573" s="18"/>
      <c r="F573" s="18"/>
      <c r="G573" s="18"/>
      <c r="H573" s="18"/>
      <c r="I573" s="18"/>
      <c r="J573" s="67"/>
      <c r="K573" s="67"/>
      <c r="L573" s="67"/>
      <c r="M573" s="67"/>
      <c r="N573" s="67"/>
      <c r="O573" s="67"/>
      <c r="P573" s="67"/>
      <c r="Q573" s="73"/>
      <c r="R573" s="67"/>
      <c r="S573" s="67"/>
      <c r="T573" s="67"/>
      <c r="U573" s="67"/>
      <c r="V573" s="67"/>
      <c r="W573" s="12"/>
    </row>
    <row r="574" spans="1:23" s="7" customFormat="1" x14ac:dyDescent="0.7">
      <c r="A574" s="74" t="s">
        <v>16</v>
      </c>
      <c r="B574" s="75"/>
      <c r="C574" s="75"/>
      <c r="D574" s="75"/>
      <c r="E574" s="75"/>
      <c r="F574" s="75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75"/>
      <c r="U574" s="75"/>
      <c r="V574" s="76"/>
      <c r="W574" s="12"/>
    </row>
    <row r="575" spans="1:23" s="7" customFormat="1" x14ac:dyDescent="0.7">
      <c r="A575" s="77"/>
      <c r="B575" s="89" t="s">
        <v>397</v>
      </c>
      <c r="C575" s="90"/>
      <c r="D575" s="90"/>
      <c r="E575" s="90"/>
      <c r="F575" s="90"/>
      <c r="G575" s="90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90"/>
      <c r="S575" s="90"/>
      <c r="T575" s="90"/>
      <c r="U575" s="90"/>
      <c r="V575" s="91"/>
      <c r="W575" s="12"/>
    </row>
    <row r="576" spans="1:23" s="7" customFormat="1" ht="64.5" customHeight="1" x14ac:dyDescent="0.7">
      <c r="A576" s="78"/>
      <c r="B576" s="92" t="s">
        <v>58</v>
      </c>
      <c r="C576" s="86" t="s">
        <v>518</v>
      </c>
      <c r="D576" s="87"/>
      <c r="E576" s="87"/>
      <c r="F576" s="87"/>
      <c r="G576" s="87"/>
      <c r="H576" s="88"/>
      <c r="I576" s="45"/>
      <c r="J576" s="65" t="s">
        <v>257</v>
      </c>
      <c r="K576" s="65"/>
      <c r="L576" s="65" t="s">
        <v>89</v>
      </c>
      <c r="M576" s="65" t="s">
        <v>139</v>
      </c>
      <c r="N576" s="65" t="s">
        <v>140</v>
      </c>
      <c r="O576" s="65" t="s">
        <v>140</v>
      </c>
      <c r="P576" s="65" t="s">
        <v>94</v>
      </c>
      <c r="Q576" s="71" t="s">
        <v>256</v>
      </c>
      <c r="R576" s="65" t="s">
        <v>9</v>
      </c>
      <c r="S576" s="65" t="s">
        <v>10</v>
      </c>
      <c r="T576" s="65" t="s">
        <v>7</v>
      </c>
      <c r="U576" s="65"/>
      <c r="V576" s="65" t="s">
        <v>141</v>
      </c>
      <c r="W576" s="12"/>
    </row>
    <row r="577" spans="1:23" s="7" customFormat="1" x14ac:dyDescent="0.7">
      <c r="A577" s="78"/>
      <c r="B577" s="93"/>
      <c r="C577" s="44" t="s">
        <v>5</v>
      </c>
      <c r="D577" s="17">
        <f>SUM(D578:D581)</f>
        <v>84350.61</v>
      </c>
      <c r="E577" s="17">
        <f>SUM(E578:E581)</f>
        <v>12883</v>
      </c>
      <c r="F577" s="18">
        <f>SUM(F578:F580)</f>
        <v>71467.61</v>
      </c>
      <c r="G577" s="18"/>
      <c r="H577" s="18"/>
      <c r="I577" s="18"/>
      <c r="J577" s="66"/>
      <c r="K577" s="66"/>
      <c r="L577" s="66"/>
      <c r="M577" s="66"/>
      <c r="N577" s="66"/>
      <c r="O577" s="66"/>
      <c r="P577" s="66"/>
      <c r="Q577" s="72"/>
      <c r="R577" s="66"/>
      <c r="S577" s="66"/>
      <c r="T577" s="66"/>
      <c r="U577" s="66"/>
      <c r="V577" s="66"/>
      <c r="W577" s="12"/>
    </row>
    <row r="578" spans="1:23" s="7" customFormat="1" ht="90.75" customHeight="1" x14ac:dyDescent="0.7">
      <c r="A578" s="78"/>
      <c r="B578" s="93"/>
      <c r="C578" s="44" t="s">
        <v>0</v>
      </c>
      <c r="D578" s="17"/>
      <c r="E578" s="18"/>
      <c r="F578" s="18"/>
      <c r="G578" s="18"/>
      <c r="H578" s="18"/>
      <c r="I578" s="18"/>
      <c r="J578" s="66"/>
      <c r="K578" s="66"/>
      <c r="L578" s="66"/>
      <c r="M578" s="66"/>
      <c r="N578" s="66"/>
      <c r="O578" s="66"/>
      <c r="P578" s="66"/>
      <c r="Q578" s="72"/>
      <c r="R578" s="66"/>
      <c r="S578" s="66"/>
      <c r="T578" s="66"/>
      <c r="U578" s="66"/>
      <c r="V578" s="66"/>
      <c r="W578" s="12"/>
    </row>
    <row r="579" spans="1:23" s="7" customFormat="1" ht="91.5" x14ac:dyDescent="0.7">
      <c r="A579" s="78"/>
      <c r="B579" s="93"/>
      <c r="C579" s="44" t="s">
        <v>1</v>
      </c>
      <c r="D579" s="17">
        <f>SUM(E579:H579)</f>
        <v>82401.919999999998</v>
      </c>
      <c r="E579" s="18">
        <f>70000-23200-30000-4045.83</f>
        <v>12754.17</v>
      </c>
      <c r="F579" s="18">
        <v>69647.75</v>
      </c>
      <c r="G579" s="18"/>
      <c r="H579" s="18"/>
      <c r="I579" s="18"/>
      <c r="J579" s="66"/>
      <c r="K579" s="66"/>
      <c r="L579" s="66"/>
      <c r="M579" s="66"/>
      <c r="N579" s="66"/>
      <c r="O579" s="66"/>
      <c r="P579" s="66"/>
      <c r="Q579" s="72"/>
      <c r="R579" s="66"/>
      <c r="S579" s="66"/>
      <c r="T579" s="66"/>
      <c r="U579" s="66"/>
      <c r="V579" s="66"/>
      <c r="W579" s="12"/>
    </row>
    <row r="580" spans="1:23" s="7" customFormat="1" ht="99" customHeight="1" x14ac:dyDescent="0.7">
      <c r="A580" s="78"/>
      <c r="B580" s="93"/>
      <c r="C580" s="44" t="s">
        <v>2</v>
      </c>
      <c r="D580" s="17">
        <f>SUM(E580:H580)</f>
        <v>1948.6899999999998</v>
      </c>
      <c r="E580" s="18">
        <v>128.83000000000001</v>
      </c>
      <c r="F580" s="18">
        <v>1819.86</v>
      </c>
      <c r="G580" s="18"/>
      <c r="H580" s="18"/>
      <c r="I580" s="18"/>
      <c r="J580" s="66"/>
      <c r="K580" s="66"/>
      <c r="L580" s="66"/>
      <c r="M580" s="66"/>
      <c r="N580" s="66"/>
      <c r="O580" s="66"/>
      <c r="P580" s="66"/>
      <c r="Q580" s="72"/>
      <c r="R580" s="66"/>
      <c r="S580" s="66"/>
      <c r="T580" s="66"/>
      <c r="U580" s="66"/>
      <c r="V580" s="66"/>
      <c r="W580" s="12"/>
    </row>
    <row r="581" spans="1:23" s="7" customFormat="1" ht="113.25" customHeight="1" x14ac:dyDescent="0.7">
      <c r="A581" s="79"/>
      <c r="B581" s="94"/>
      <c r="C581" s="44" t="s">
        <v>3</v>
      </c>
      <c r="D581" s="17"/>
      <c r="E581" s="18"/>
      <c r="F581" s="18"/>
      <c r="G581" s="18"/>
      <c r="H581" s="18"/>
      <c r="I581" s="18"/>
      <c r="J581" s="67"/>
      <c r="K581" s="67"/>
      <c r="L581" s="67"/>
      <c r="M581" s="67"/>
      <c r="N581" s="67"/>
      <c r="O581" s="67"/>
      <c r="P581" s="67"/>
      <c r="Q581" s="73"/>
      <c r="R581" s="67"/>
      <c r="S581" s="67"/>
      <c r="T581" s="67"/>
      <c r="U581" s="67"/>
      <c r="V581" s="67"/>
      <c r="W581" s="12"/>
    </row>
    <row r="582" spans="1:23" s="7" customFormat="1" x14ac:dyDescent="0.7">
      <c r="A582" s="74" t="s">
        <v>142</v>
      </c>
      <c r="B582" s="75"/>
      <c r="C582" s="75"/>
      <c r="D582" s="75"/>
      <c r="E582" s="75"/>
      <c r="F582" s="75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  <c r="V582" s="76"/>
      <c r="W582" s="12"/>
    </row>
    <row r="583" spans="1:23" s="7" customFormat="1" x14ac:dyDescent="0.7">
      <c r="A583" s="77"/>
      <c r="B583" s="80" t="s">
        <v>397</v>
      </c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2"/>
      <c r="W583" s="12"/>
    </row>
    <row r="584" spans="1:23" s="7" customFormat="1" ht="154.5" customHeight="1" x14ac:dyDescent="0.7">
      <c r="A584" s="78"/>
      <c r="B584" s="92" t="s">
        <v>359</v>
      </c>
      <c r="C584" s="86" t="s">
        <v>358</v>
      </c>
      <c r="D584" s="87"/>
      <c r="E584" s="87"/>
      <c r="F584" s="87"/>
      <c r="G584" s="87"/>
      <c r="H584" s="88"/>
      <c r="I584" s="45"/>
      <c r="J584" s="65" t="s">
        <v>360</v>
      </c>
      <c r="K584" s="65" t="s">
        <v>71</v>
      </c>
      <c r="L584" s="65" t="s">
        <v>88</v>
      </c>
      <c r="M584" s="65" t="s">
        <v>68</v>
      </c>
      <c r="N584" s="65" t="s">
        <v>92</v>
      </c>
      <c r="O584" s="65"/>
      <c r="P584" s="65" t="s">
        <v>92</v>
      </c>
      <c r="Q584" s="71" t="s">
        <v>361</v>
      </c>
      <c r="R584" s="65" t="s">
        <v>11</v>
      </c>
      <c r="S584" s="65" t="s">
        <v>10</v>
      </c>
      <c r="T584" s="65" t="s">
        <v>7</v>
      </c>
      <c r="U584" s="127"/>
      <c r="V584" s="65"/>
      <c r="W584" s="12"/>
    </row>
    <row r="585" spans="1:23" s="7" customFormat="1" x14ac:dyDescent="0.7">
      <c r="A585" s="78"/>
      <c r="B585" s="93"/>
      <c r="C585" s="44" t="s">
        <v>5</v>
      </c>
      <c r="D585" s="17">
        <f>SUM(D586:D590)</f>
        <v>29049.160190000002</v>
      </c>
      <c r="E585" s="18">
        <f>SUM(E586:E590)</f>
        <v>29049.160190000002</v>
      </c>
      <c r="F585" s="18"/>
      <c r="G585" s="18"/>
      <c r="H585" s="18"/>
      <c r="I585" s="18"/>
      <c r="J585" s="66"/>
      <c r="K585" s="66"/>
      <c r="L585" s="66"/>
      <c r="M585" s="66"/>
      <c r="N585" s="66"/>
      <c r="O585" s="66"/>
      <c r="P585" s="66"/>
      <c r="Q585" s="72"/>
      <c r="R585" s="66"/>
      <c r="S585" s="66"/>
      <c r="T585" s="66"/>
      <c r="U585" s="66"/>
      <c r="V585" s="66"/>
      <c r="W585" s="12"/>
    </row>
    <row r="586" spans="1:23" s="7" customFormat="1" ht="63.75" customHeight="1" x14ac:dyDescent="0.7">
      <c r="A586" s="78"/>
      <c r="B586" s="93"/>
      <c r="C586" s="44" t="s">
        <v>0</v>
      </c>
      <c r="D586" s="17"/>
      <c r="E586" s="18"/>
      <c r="F586" s="18"/>
      <c r="G586" s="18"/>
      <c r="H586" s="18"/>
      <c r="I586" s="18"/>
      <c r="J586" s="66"/>
      <c r="K586" s="66"/>
      <c r="L586" s="66"/>
      <c r="M586" s="66"/>
      <c r="N586" s="66"/>
      <c r="O586" s="66"/>
      <c r="P586" s="66"/>
      <c r="Q586" s="72"/>
      <c r="R586" s="66"/>
      <c r="S586" s="66"/>
      <c r="T586" s="66"/>
      <c r="U586" s="66"/>
      <c r="V586" s="66"/>
      <c r="W586" s="12"/>
    </row>
    <row r="587" spans="1:23" s="7" customFormat="1" ht="91.5" x14ac:dyDescent="0.7">
      <c r="A587" s="78"/>
      <c r="B587" s="93"/>
      <c r="C587" s="44" t="s">
        <v>1</v>
      </c>
      <c r="D587" s="17"/>
      <c r="E587" s="18"/>
      <c r="F587" s="18"/>
      <c r="G587" s="18"/>
      <c r="H587" s="18"/>
      <c r="I587" s="18"/>
      <c r="J587" s="66"/>
      <c r="K587" s="66"/>
      <c r="L587" s="66"/>
      <c r="M587" s="66"/>
      <c r="N587" s="66"/>
      <c r="O587" s="66"/>
      <c r="P587" s="66"/>
      <c r="Q587" s="72"/>
      <c r="R587" s="66"/>
      <c r="S587" s="66"/>
      <c r="T587" s="66"/>
      <c r="U587" s="66"/>
      <c r="V587" s="66"/>
      <c r="W587" s="12"/>
    </row>
    <row r="588" spans="1:23" s="7" customFormat="1" ht="274.5" x14ac:dyDescent="0.7">
      <c r="A588" s="78"/>
      <c r="B588" s="93"/>
      <c r="C588" s="44" t="s">
        <v>357</v>
      </c>
      <c r="D588" s="17">
        <f>SUM(E588:I588)</f>
        <v>29049.160190000002</v>
      </c>
      <c r="E588" s="18">
        <f>31891.04012-2841.87993</f>
        <v>29049.160190000002</v>
      </c>
      <c r="F588" s="18"/>
      <c r="G588" s="18"/>
      <c r="H588" s="18"/>
      <c r="I588" s="18"/>
      <c r="J588" s="66"/>
      <c r="K588" s="66"/>
      <c r="L588" s="66"/>
      <c r="M588" s="66"/>
      <c r="N588" s="66"/>
      <c r="O588" s="66"/>
      <c r="P588" s="66"/>
      <c r="Q588" s="72"/>
      <c r="R588" s="66"/>
      <c r="S588" s="66"/>
      <c r="T588" s="66"/>
      <c r="U588" s="66"/>
      <c r="V588" s="66"/>
      <c r="W588" s="12"/>
    </row>
    <row r="589" spans="1:23" s="7" customFormat="1" ht="94.5" customHeight="1" x14ac:dyDescent="0.7">
      <c r="A589" s="78"/>
      <c r="B589" s="93"/>
      <c r="C589" s="44" t="s">
        <v>2</v>
      </c>
      <c r="D589" s="17"/>
      <c r="E589" s="18"/>
      <c r="F589" s="18"/>
      <c r="G589" s="18"/>
      <c r="H589" s="18"/>
      <c r="I589" s="18"/>
      <c r="J589" s="66"/>
      <c r="K589" s="66"/>
      <c r="L589" s="66"/>
      <c r="M589" s="66"/>
      <c r="N589" s="66"/>
      <c r="O589" s="66"/>
      <c r="P589" s="66"/>
      <c r="Q589" s="72"/>
      <c r="R589" s="66"/>
      <c r="S589" s="66"/>
      <c r="T589" s="66"/>
      <c r="U589" s="66"/>
      <c r="V589" s="66"/>
      <c r="W589" s="12"/>
    </row>
    <row r="590" spans="1:23" s="7" customFormat="1" ht="91.5" x14ac:dyDescent="0.7">
      <c r="A590" s="79"/>
      <c r="B590" s="94"/>
      <c r="C590" s="44" t="s">
        <v>3</v>
      </c>
      <c r="D590" s="17"/>
      <c r="E590" s="18"/>
      <c r="F590" s="18"/>
      <c r="G590" s="18"/>
      <c r="H590" s="18"/>
      <c r="I590" s="18"/>
      <c r="J590" s="67"/>
      <c r="K590" s="67"/>
      <c r="L590" s="67"/>
      <c r="M590" s="67"/>
      <c r="N590" s="67"/>
      <c r="O590" s="67"/>
      <c r="P590" s="67"/>
      <c r="Q590" s="73"/>
      <c r="R590" s="67"/>
      <c r="S590" s="67"/>
      <c r="T590" s="67"/>
      <c r="U590" s="67"/>
      <c r="V590" s="67"/>
      <c r="W590" s="12"/>
    </row>
    <row r="591" spans="1:23" s="7" customFormat="1" ht="72.75" customHeight="1" x14ac:dyDescent="0.7">
      <c r="A591" s="115" t="s">
        <v>59</v>
      </c>
      <c r="B591" s="118" t="s">
        <v>258</v>
      </c>
      <c r="C591" s="119"/>
      <c r="D591" s="119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20"/>
      <c r="W591" s="12"/>
    </row>
    <row r="592" spans="1:23" s="7" customFormat="1" ht="45.75" customHeight="1" x14ac:dyDescent="0.7">
      <c r="A592" s="116"/>
      <c r="B592" s="113" t="s">
        <v>5</v>
      </c>
      <c r="C592" s="114"/>
      <c r="D592" s="16">
        <f>SUM(D593:D597)</f>
        <v>680010.01293000008</v>
      </c>
      <c r="E592" s="16">
        <f>E601+E610+E618+E626+E634+E642+E650+E658+E666+E674+E682+E690+E698+E706+E714</f>
        <v>489615.39293000003</v>
      </c>
      <c r="F592" s="16">
        <f>F601+F610+F618+F626+F634+F642+F650+F658+F666+F674+F682+F690+F698+F706+F714</f>
        <v>190394.62</v>
      </c>
      <c r="G592" s="16"/>
      <c r="H592" s="16"/>
      <c r="I592" s="16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12"/>
    </row>
    <row r="593" spans="1:23" s="7" customFormat="1" x14ac:dyDescent="0.7">
      <c r="A593" s="116"/>
      <c r="B593" s="113" t="s">
        <v>0</v>
      </c>
      <c r="C593" s="114"/>
      <c r="D593" s="16"/>
      <c r="E593" s="16"/>
      <c r="F593" s="16"/>
      <c r="G593" s="16"/>
      <c r="H593" s="16"/>
      <c r="I593" s="16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12"/>
    </row>
    <row r="594" spans="1:23" s="7" customFormat="1" x14ac:dyDescent="0.7">
      <c r="A594" s="116"/>
      <c r="B594" s="113" t="s">
        <v>1</v>
      </c>
      <c r="C594" s="114"/>
      <c r="D594" s="16">
        <f>SUM(E594:H594)</f>
        <v>647701.75496000005</v>
      </c>
      <c r="E594" s="16">
        <f>E603+E612+E620+E628+E636+E644+E652+E660+E668+E676+E684+E692+E700+E708+E716</f>
        <v>457307.13496</v>
      </c>
      <c r="F594" s="16">
        <f>F603+F612+F620+F628+F636+F644+F652+F660+F668+F676+F684+F692+F700+F708+F716</f>
        <v>190394.62</v>
      </c>
      <c r="G594" s="16"/>
      <c r="H594" s="16"/>
      <c r="I594" s="16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12"/>
    </row>
    <row r="595" spans="1:23" s="7" customFormat="1" ht="144" customHeight="1" x14ac:dyDescent="0.7">
      <c r="A595" s="116"/>
      <c r="B595" s="128" t="s">
        <v>357</v>
      </c>
      <c r="C595" s="129"/>
      <c r="D595" s="16">
        <f>SUM(E595:H595)</f>
        <v>32308.257969999999</v>
      </c>
      <c r="E595" s="16">
        <f>E604+E613+E621+E629+E637+E645+E653+E661+E669+E677+E685+E693+E701+E709+E717</f>
        <v>32308.257969999999</v>
      </c>
      <c r="F595" s="16"/>
      <c r="G595" s="16"/>
      <c r="H595" s="16"/>
      <c r="I595" s="16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12"/>
    </row>
    <row r="596" spans="1:23" s="7" customFormat="1" ht="72" customHeight="1" x14ac:dyDescent="0.7">
      <c r="A596" s="116"/>
      <c r="B596" s="113" t="s">
        <v>2</v>
      </c>
      <c r="C596" s="114"/>
      <c r="D596" s="16"/>
      <c r="E596" s="16"/>
      <c r="F596" s="16"/>
      <c r="G596" s="16"/>
      <c r="H596" s="16"/>
      <c r="I596" s="16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12"/>
    </row>
    <row r="597" spans="1:23" s="7" customFormat="1" ht="102" customHeight="1" x14ac:dyDescent="0.7">
      <c r="A597" s="117"/>
      <c r="B597" s="113" t="s">
        <v>3</v>
      </c>
      <c r="C597" s="114"/>
      <c r="D597" s="16"/>
      <c r="E597" s="16"/>
      <c r="F597" s="16"/>
      <c r="G597" s="16"/>
      <c r="H597" s="16"/>
      <c r="I597" s="16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12"/>
    </row>
    <row r="598" spans="1:23" s="7" customFormat="1" x14ac:dyDescent="0.7">
      <c r="A598" s="74" t="s">
        <v>142</v>
      </c>
      <c r="B598" s="75"/>
      <c r="C598" s="75"/>
      <c r="D598" s="75"/>
      <c r="E598" s="75"/>
      <c r="F598" s="75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  <c r="V598" s="76"/>
      <c r="W598" s="12"/>
    </row>
    <row r="599" spans="1:23" s="7" customFormat="1" x14ac:dyDescent="0.7">
      <c r="A599" s="77"/>
      <c r="B599" s="89" t="s">
        <v>265</v>
      </c>
      <c r="C599" s="90"/>
      <c r="D599" s="90"/>
      <c r="E599" s="90"/>
      <c r="F599" s="90"/>
      <c r="G599" s="90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  <c r="S599" s="90"/>
      <c r="T599" s="90"/>
      <c r="U599" s="90"/>
      <c r="V599" s="91"/>
      <c r="W599" s="12"/>
    </row>
    <row r="600" spans="1:23" s="7" customFormat="1" ht="114" customHeight="1" x14ac:dyDescent="0.7">
      <c r="A600" s="78"/>
      <c r="B600" s="92" t="s">
        <v>60</v>
      </c>
      <c r="C600" s="86" t="s">
        <v>103</v>
      </c>
      <c r="D600" s="87"/>
      <c r="E600" s="87"/>
      <c r="F600" s="87"/>
      <c r="G600" s="87"/>
      <c r="H600" s="88"/>
      <c r="I600" s="29"/>
      <c r="J600" s="65" t="s">
        <v>161</v>
      </c>
      <c r="K600" s="68"/>
      <c r="L600" s="68" t="s">
        <v>88</v>
      </c>
      <c r="M600" s="68" t="s">
        <v>143</v>
      </c>
      <c r="N600" s="68" t="s">
        <v>92</v>
      </c>
      <c r="O600" s="68"/>
      <c r="P600" s="68" t="s">
        <v>92</v>
      </c>
      <c r="Q600" s="71" t="s">
        <v>266</v>
      </c>
      <c r="R600" s="68" t="s">
        <v>11</v>
      </c>
      <c r="S600" s="68" t="s">
        <v>12</v>
      </c>
      <c r="T600" s="65" t="s">
        <v>7</v>
      </c>
      <c r="U600" s="68" t="s">
        <v>267</v>
      </c>
      <c r="V600" s="68" t="s">
        <v>158</v>
      </c>
      <c r="W600" s="12"/>
    </row>
    <row r="601" spans="1:23" s="7" customFormat="1" x14ac:dyDescent="0.7">
      <c r="A601" s="78"/>
      <c r="B601" s="93"/>
      <c r="C601" s="44" t="s">
        <v>5</v>
      </c>
      <c r="D601" s="17">
        <f>SUM(D602:D606)</f>
        <v>175630.78206</v>
      </c>
      <c r="E601" s="18">
        <f>SUM(E602:E606)</f>
        <v>175630.78206</v>
      </c>
      <c r="F601" s="18"/>
      <c r="G601" s="18"/>
      <c r="H601" s="18"/>
      <c r="I601" s="13"/>
      <c r="J601" s="66"/>
      <c r="K601" s="69"/>
      <c r="L601" s="69"/>
      <c r="M601" s="69"/>
      <c r="N601" s="69"/>
      <c r="O601" s="69"/>
      <c r="P601" s="69"/>
      <c r="Q601" s="72"/>
      <c r="R601" s="69"/>
      <c r="S601" s="69"/>
      <c r="T601" s="66"/>
      <c r="U601" s="69"/>
      <c r="V601" s="69"/>
      <c r="W601" s="12"/>
    </row>
    <row r="602" spans="1:23" s="7" customFormat="1" ht="91.5" x14ac:dyDescent="0.7">
      <c r="A602" s="78"/>
      <c r="B602" s="93"/>
      <c r="C602" s="44" t="s">
        <v>0</v>
      </c>
      <c r="D602" s="17"/>
      <c r="E602" s="18"/>
      <c r="F602" s="18"/>
      <c r="G602" s="18"/>
      <c r="H602" s="18"/>
      <c r="I602" s="13"/>
      <c r="J602" s="66"/>
      <c r="K602" s="69"/>
      <c r="L602" s="69"/>
      <c r="M602" s="69"/>
      <c r="N602" s="69"/>
      <c r="O602" s="69"/>
      <c r="P602" s="69"/>
      <c r="Q602" s="72"/>
      <c r="R602" s="69"/>
      <c r="S602" s="69"/>
      <c r="T602" s="66"/>
      <c r="U602" s="69"/>
      <c r="V602" s="69"/>
      <c r="W602" s="12"/>
    </row>
    <row r="603" spans="1:23" s="7" customFormat="1" ht="91.5" x14ac:dyDescent="0.7">
      <c r="A603" s="78"/>
      <c r="B603" s="93"/>
      <c r="C603" s="44" t="s">
        <v>1</v>
      </c>
      <c r="D603" s="17">
        <f>SUM(E603:H603)</f>
        <v>143322.52408999999</v>
      </c>
      <c r="E603" s="18">
        <f>45000+49864.5459+48457.97819</f>
        <v>143322.52408999999</v>
      </c>
      <c r="F603" s="18"/>
      <c r="G603" s="18"/>
      <c r="H603" s="18"/>
      <c r="I603" s="13"/>
      <c r="J603" s="66"/>
      <c r="K603" s="69"/>
      <c r="L603" s="69"/>
      <c r="M603" s="69"/>
      <c r="N603" s="69"/>
      <c r="O603" s="69"/>
      <c r="P603" s="69"/>
      <c r="Q603" s="72"/>
      <c r="R603" s="69"/>
      <c r="S603" s="69"/>
      <c r="T603" s="66"/>
      <c r="U603" s="69"/>
      <c r="V603" s="69"/>
      <c r="W603" s="12"/>
    </row>
    <row r="604" spans="1:23" s="7" customFormat="1" ht="274.5" x14ac:dyDescent="0.7">
      <c r="A604" s="78"/>
      <c r="B604" s="93"/>
      <c r="C604" s="44" t="s">
        <v>357</v>
      </c>
      <c r="D604" s="17">
        <f>SUM(E604:H604)</f>
        <v>32308.257969999999</v>
      </c>
      <c r="E604" s="18">
        <v>32308.257969999999</v>
      </c>
      <c r="F604" s="18"/>
      <c r="G604" s="18"/>
      <c r="H604" s="18"/>
      <c r="I604" s="18"/>
      <c r="J604" s="66"/>
      <c r="K604" s="69"/>
      <c r="L604" s="69"/>
      <c r="M604" s="69"/>
      <c r="N604" s="69"/>
      <c r="O604" s="69"/>
      <c r="P604" s="69"/>
      <c r="Q604" s="72"/>
      <c r="R604" s="69"/>
      <c r="S604" s="69"/>
      <c r="T604" s="66"/>
      <c r="U604" s="69"/>
      <c r="V604" s="69"/>
      <c r="W604" s="12"/>
    </row>
    <row r="605" spans="1:23" s="7" customFormat="1" ht="105.75" customHeight="1" x14ac:dyDescent="0.7">
      <c r="A605" s="78"/>
      <c r="B605" s="93"/>
      <c r="C605" s="44" t="s">
        <v>2</v>
      </c>
      <c r="D605" s="17"/>
      <c r="E605" s="18"/>
      <c r="F605" s="18"/>
      <c r="G605" s="18"/>
      <c r="H605" s="18"/>
      <c r="I605" s="13"/>
      <c r="J605" s="66"/>
      <c r="K605" s="69"/>
      <c r="L605" s="69"/>
      <c r="M605" s="69"/>
      <c r="N605" s="69"/>
      <c r="O605" s="69"/>
      <c r="P605" s="69"/>
      <c r="Q605" s="72"/>
      <c r="R605" s="69"/>
      <c r="S605" s="69"/>
      <c r="T605" s="66"/>
      <c r="U605" s="69"/>
      <c r="V605" s="69"/>
      <c r="W605" s="12"/>
    </row>
    <row r="606" spans="1:23" s="7" customFormat="1" ht="91.5" x14ac:dyDescent="0.7">
      <c r="A606" s="79"/>
      <c r="B606" s="94"/>
      <c r="C606" s="44" t="s">
        <v>3</v>
      </c>
      <c r="D606" s="17"/>
      <c r="E606" s="18"/>
      <c r="F606" s="18"/>
      <c r="G606" s="18"/>
      <c r="H606" s="18"/>
      <c r="I606" s="13"/>
      <c r="J606" s="67"/>
      <c r="K606" s="70"/>
      <c r="L606" s="70"/>
      <c r="M606" s="70"/>
      <c r="N606" s="70"/>
      <c r="O606" s="70"/>
      <c r="P606" s="70"/>
      <c r="Q606" s="73"/>
      <c r="R606" s="70"/>
      <c r="S606" s="70"/>
      <c r="T606" s="67"/>
      <c r="U606" s="70"/>
      <c r="V606" s="70"/>
      <c r="W606" s="12"/>
    </row>
    <row r="607" spans="1:23" s="7" customFormat="1" ht="45.75" customHeight="1" x14ac:dyDescent="0.7">
      <c r="A607" s="74" t="s">
        <v>16</v>
      </c>
      <c r="B607" s="75"/>
      <c r="C607" s="75"/>
      <c r="D607" s="75"/>
      <c r="E607" s="75"/>
      <c r="F607" s="75"/>
      <c r="G607" s="75"/>
      <c r="H607" s="75"/>
      <c r="I607" s="75"/>
      <c r="J607" s="75"/>
      <c r="K607" s="75"/>
      <c r="L607" s="75"/>
      <c r="M607" s="75"/>
      <c r="N607" s="75"/>
      <c r="O607" s="75"/>
      <c r="P607" s="75"/>
      <c r="Q607" s="75"/>
      <c r="R607" s="75"/>
      <c r="S607" s="75"/>
      <c r="T607" s="75"/>
      <c r="U607" s="75"/>
      <c r="V607" s="76"/>
      <c r="W607" s="12"/>
    </row>
    <row r="608" spans="1:23" s="7" customFormat="1" x14ac:dyDescent="0.7">
      <c r="A608" s="77"/>
      <c r="B608" s="89" t="s">
        <v>260</v>
      </c>
      <c r="C608" s="90"/>
      <c r="D608" s="90"/>
      <c r="E608" s="90"/>
      <c r="F608" s="90"/>
      <c r="G608" s="90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0"/>
      <c r="S608" s="90"/>
      <c r="T608" s="90"/>
      <c r="U608" s="90"/>
      <c r="V608" s="91"/>
      <c r="W608" s="12"/>
    </row>
    <row r="609" spans="1:23" s="7" customFormat="1" ht="63" customHeight="1" x14ac:dyDescent="0.7">
      <c r="A609" s="78"/>
      <c r="B609" s="92" t="s">
        <v>332</v>
      </c>
      <c r="C609" s="86" t="s">
        <v>259</v>
      </c>
      <c r="D609" s="87"/>
      <c r="E609" s="87"/>
      <c r="F609" s="87"/>
      <c r="G609" s="87"/>
      <c r="H609" s="88"/>
      <c r="I609" s="45"/>
      <c r="J609" s="65" t="s">
        <v>162</v>
      </c>
      <c r="K609" s="65" t="s">
        <v>262</v>
      </c>
      <c r="L609" s="65" t="s">
        <v>87</v>
      </c>
      <c r="M609" s="65" t="s">
        <v>261</v>
      </c>
      <c r="N609" s="65" t="s">
        <v>179</v>
      </c>
      <c r="O609" s="65" t="s">
        <v>625</v>
      </c>
      <c r="P609" s="65" t="s">
        <v>179</v>
      </c>
      <c r="Q609" s="71"/>
      <c r="R609" s="65" t="s">
        <v>11</v>
      </c>
      <c r="S609" s="65" t="s">
        <v>10</v>
      </c>
      <c r="T609" s="65" t="s">
        <v>19</v>
      </c>
      <c r="U609" s="65"/>
      <c r="V609" s="65" t="s">
        <v>263</v>
      </c>
      <c r="W609" s="12"/>
    </row>
    <row r="610" spans="1:23" s="7" customFormat="1" x14ac:dyDescent="0.7">
      <c r="A610" s="78"/>
      <c r="B610" s="93"/>
      <c r="C610" s="44" t="s">
        <v>5</v>
      </c>
      <c r="D610" s="17">
        <f>SUM(D611:D614)</f>
        <v>195841.61599999998</v>
      </c>
      <c r="E610" s="18">
        <f t="shared" ref="E610:F610" si="72">SUM(E611:E614)</f>
        <v>20446.995999999999</v>
      </c>
      <c r="F610" s="18">
        <f t="shared" si="72"/>
        <v>175394.62</v>
      </c>
      <c r="G610" s="18"/>
      <c r="H610" s="18"/>
      <c r="I610" s="18"/>
      <c r="J610" s="66"/>
      <c r="K610" s="66"/>
      <c r="L610" s="66"/>
      <c r="M610" s="66"/>
      <c r="N610" s="66"/>
      <c r="O610" s="66"/>
      <c r="P610" s="66"/>
      <c r="Q610" s="72"/>
      <c r="R610" s="66"/>
      <c r="S610" s="66"/>
      <c r="T610" s="66"/>
      <c r="U610" s="66"/>
      <c r="V610" s="66"/>
      <c r="W610" s="12"/>
    </row>
    <row r="611" spans="1:23" s="7" customFormat="1" ht="91.5" x14ac:dyDescent="0.7">
      <c r="A611" s="78"/>
      <c r="B611" s="93"/>
      <c r="C611" s="44" t="s">
        <v>0</v>
      </c>
      <c r="D611" s="17"/>
      <c r="E611" s="18"/>
      <c r="F611" s="18"/>
      <c r="G611" s="18"/>
      <c r="H611" s="18"/>
      <c r="I611" s="18"/>
      <c r="J611" s="66"/>
      <c r="K611" s="66"/>
      <c r="L611" s="66"/>
      <c r="M611" s="66"/>
      <c r="N611" s="66"/>
      <c r="O611" s="66"/>
      <c r="P611" s="66"/>
      <c r="Q611" s="72"/>
      <c r="R611" s="66"/>
      <c r="S611" s="66"/>
      <c r="T611" s="66"/>
      <c r="U611" s="66"/>
      <c r="V611" s="66"/>
      <c r="W611" s="12"/>
    </row>
    <row r="612" spans="1:23" s="7" customFormat="1" ht="91.5" x14ac:dyDescent="0.7">
      <c r="A612" s="78"/>
      <c r="B612" s="93"/>
      <c r="C612" s="44" t="s">
        <v>1</v>
      </c>
      <c r="D612" s="17">
        <f>SUM(E612:H612)</f>
        <v>195841.61599999998</v>
      </c>
      <c r="E612" s="18">
        <f>1000+19446.996</f>
        <v>20446.995999999999</v>
      </c>
      <c r="F612" s="18">
        <v>175394.62</v>
      </c>
      <c r="G612" s="18"/>
      <c r="H612" s="18"/>
      <c r="I612" s="18"/>
      <c r="J612" s="66"/>
      <c r="K612" s="66"/>
      <c r="L612" s="66"/>
      <c r="M612" s="66"/>
      <c r="N612" s="66"/>
      <c r="O612" s="66"/>
      <c r="P612" s="66"/>
      <c r="Q612" s="72"/>
      <c r="R612" s="66"/>
      <c r="S612" s="66"/>
      <c r="T612" s="66"/>
      <c r="U612" s="66"/>
      <c r="V612" s="66"/>
      <c r="W612" s="12"/>
    </row>
    <row r="613" spans="1:23" s="7" customFormat="1" ht="94.5" customHeight="1" x14ac:dyDescent="0.7">
      <c r="A613" s="78"/>
      <c r="B613" s="93"/>
      <c r="C613" s="44" t="s">
        <v>2</v>
      </c>
      <c r="D613" s="17"/>
      <c r="E613" s="18"/>
      <c r="F613" s="18"/>
      <c r="G613" s="18"/>
      <c r="H613" s="18"/>
      <c r="I613" s="18"/>
      <c r="J613" s="66"/>
      <c r="K613" s="66"/>
      <c r="L613" s="66"/>
      <c r="M613" s="66"/>
      <c r="N613" s="66"/>
      <c r="O613" s="66"/>
      <c r="P613" s="66"/>
      <c r="Q613" s="72"/>
      <c r="R613" s="66"/>
      <c r="S613" s="66"/>
      <c r="T613" s="66"/>
      <c r="U613" s="66"/>
      <c r="V613" s="66"/>
      <c r="W613" s="12"/>
    </row>
    <row r="614" spans="1:23" s="7" customFormat="1" ht="91.5" x14ac:dyDescent="0.7">
      <c r="A614" s="79"/>
      <c r="B614" s="94"/>
      <c r="C614" s="44" t="s">
        <v>3</v>
      </c>
      <c r="D614" s="17"/>
      <c r="E614" s="18"/>
      <c r="F614" s="18"/>
      <c r="G614" s="18"/>
      <c r="H614" s="18"/>
      <c r="I614" s="18"/>
      <c r="J614" s="67"/>
      <c r="K614" s="67"/>
      <c r="L614" s="67"/>
      <c r="M614" s="67"/>
      <c r="N614" s="67"/>
      <c r="O614" s="67"/>
      <c r="P614" s="67"/>
      <c r="Q614" s="73"/>
      <c r="R614" s="67"/>
      <c r="S614" s="67"/>
      <c r="T614" s="67"/>
      <c r="U614" s="67"/>
      <c r="V614" s="67"/>
      <c r="W614" s="12"/>
    </row>
    <row r="615" spans="1:23" s="7" customFormat="1" x14ac:dyDescent="0.7">
      <c r="A615" s="74" t="s">
        <v>16</v>
      </c>
      <c r="B615" s="75"/>
      <c r="C615" s="75"/>
      <c r="D615" s="75"/>
      <c r="E615" s="75"/>
      <c r="F615" s="75"/>
      <c r="G615" s="75"/>
      <c r="H615" s="75"/>
      <c r="I615" s="75"/>
      <c r="J615" s="75"/>
      <c r="K615" s="75"/>
      <c r="L615" s="75"/>
      <c r="M615" s="75"/>
      <c r="N615" s="75"/>
      <c r="O615" s="75"/>
      <c r="P615" s="75"/>
      <c r="Q615" s="75"/>
      <c r="R615" s="75"/>
      <c r="S615" s="75"/>
      <c r="T615" s="75"/>
      <c r="U615" s="75"/>
      <c r="V615" s="76"/>
      <c r="W615" s="12"/>
    </row>
    <row r="616" spans="1:23" s="7" customFormat="1" x14ac:dyDescent="0.7">
      <c r="A616" s="77"/>
      <c r="B616" s="80" t="s">
        <v>260</v>
      </c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2"/>
      <c r="W616" s="12"/>
    </row>
    <row r="617" spans="1:23" s="7" customFormat="1" ht="69" customHeight="1" x14ac:dyDescent="0.7">
      <c r="A617" s="78"/>
      <c r="B617" s="83" t="s">
        <v>79</v>
      </c>
      <c r="C617" s="95" t="s">
        <v>264</v>
      </c>
      <c r="D617" s="96"/>
      <c r="E617" s="96"/>
      <c r="F617" s="96"/>
      <c r="G617" s="96"/>
      <c r="H617" s="97"/>
      <c r="I617" s="29"/>
      <c r="J617" s="65" t="s">
        <v>157</v>
      </c>
      <c r="K617" s="68"/>
      <c r="L617" s="68" t="s">
        <v>87</v>
      </c>
      <c r="M617" s="68" t="s">
        <v>102</v>
      </c>
      <c r="N617" s="68" t="s">
        <v>179</v>
      </c>
      <c r="O617" s="68" t="s">
        <v>625</v>
      </c>
      <c r="P617" s="68" t="s">
        <v>179</v>
      </c>
      <c r="Q617" s="71" t="s">
        <v>105</v>
      </c>
      <c r="R617" s="68" t="s">
        <v>11</v>
      </c>
      <c r="S617" s="68" t="s">
        <v>13</v>
      </c>
      <c r="T617" s="65" t="s">
        <v>7</v>
      </c>
      <c r="U617" s="68"/>
      <c r="V617" s="68" t="s">
        <v>110</v>
      </c>
      <c r="W617" s="12"/>
    </row>
    <row r="618" spans="1:23" s="7" customFormat="1" x14ac:dyDescent="0.7">
      <c r="A618" s="78"/>
      <c r="B618" s="84"/>
      <c r="C618" s="32" t="s">
        <v>5</v>
      </c>
      <c r="D618" s="19">
        <f>SUM(D619:D622)</f>
        <v>232585.45173</v>
      </c>
      <c r="E618" s="13">
        <f>SUM(E619:E622)</f>
        <v>232585.45173</v>
      </c>
      <c r="F618" s="13"/>
      <c r="G618" s="13"/>
      <c r="H618" s="13"/>
      <c r="I618" s="13"/>
      <c r="J618" s="66"/>
      <c r="K618" s="69"/>
      <c r="L618" s="69"/>
      <c r="M618" s="69"/>
      <c r="N618" s="69"/>
      <c r="O618" s="69"/>
      <c r="P618" s="69"/>
      <c r="Q618" s="72"/>
      <c r="R618" s="69"/>
      <c r="S618" s="69"/>
      <c r="T618" s="66"/>
      <c r="U618" s="69"/>
      <c r="V618" s="69"/>
      <c r="W618" s="12"/>
    </row>
    <row r="619" spans="1:23" s="7" customFormat="1" ht="91.5" x14ac:dyDescent="0.7">
      <c r="A619" s="78"/>
      <c r="B619" s="84"/>
      <c r="C619" s="32" t="s">
        <v>0</v>
      </c>
      <c r="D619" s="19"/>
      <c r="E619" s="13"/>
      <c r="F619" s="13"/>
      <c r="G619" s="13"/>
      <c r="H619" s="13"/>
      <c r="I619" s="13"/>
      <c r="J619" s="66"/>
      <c r="K619" s="69"/>
      <c r="L619" s="69"/>
      <c r="M619" s="69"/>
      <c r="N619" s="69"/>
      <c r="O619" s="69"/>
      <c r="P619" s="69"/>
      <c r="Q619" s="72"/>
      <c r="R619" s="69"/>
      <c r="S619" s="69"/>
      <c r="T619" s="66"/>
      <c r="U619" s="69"/>
      <c r="V619" s="69"/>
      <c r="W619" s="12"/>
    </row>
    <row r="620" spans="1:23" s="7" customFormat="1" ht="91.5" x14ac:dyDescent="0.7">
      <c r="A620" s="78"/>
      <c r="B620" s="84"/>
      <c r="C620" s="32" t="s">
        <v>1</v>
      </c>
      <c r="D620" s="19">
        <f>SUM(E620:H620)</f>
        <v>232585.45173</v>
      </c>
      <c r="E620" s="13">
        <f>154786.4+76760-1000+2039.05173</f>
        <v>232585.45173</v>
      </c>
      <c r="F620" s="13"/>
      <c r="G620" s="13"/>
      <c r="H620" s="13"/>
      <c r="I620" s="13"/>
      <c r="J620" s="66"/>
      <c r="K620" s="69"/>
      <c r="L620" s="69"/>
      <c r="M620" s="69"/>
      <c r="N620" s="69"/>
      <c r="O620" s="69"/>
      <c r="P620" s="69"/>
      <c r="Q620" s="72"/>
      <c r="R620" s="69"/>
      <c r="S620" s="69"/>
      <c r="T620" s="66"/>
      <c r="U620" s="69"/>
      <c r="V620" s="69"/>
      <c r="W620" s="12"/>
    </row>
    <row r="621" spans="1:23" s="7" customFormat="1" ht="99" customHeight="1" x14ac:dyDescent="0.7">
      <c r="A621" s="78"/>
      <c r="B621" s="84"/>
      <c r="C621" s="32" t="s">
        <v>2</v>
      </c>
      <c r="D621" s="19"/>
      <c r="E621" s="13"/>
      <c r="F621" s="13"/>
      <c r="G621" s="13"/>
      <c r="H621" s="13"/>
      <c r="I621" s="13"/>
      <c r="J621" s="66"/>
      <c r="K621" s="69"/>
      <c r="L621" s="69"/>
      <c r="M621" s="69"/>
      <c r="N621" s="69"/>
      <c r="O621" s="69"/>
      <c r="P621" s="69"/>
      <c r="Q621" s="72"/>
      <c r="R621" s="69"/>
      <c r="S621" s="69"/>
      <c r="T621" s="66"/>
      <c r="U621" s="69"/>
      <c r="V621" s="69"/>
      <c r="W621" s="12"/>
    </row>
    <row r="622" spans="1:23" s="7" customFormat="1" ht="91.5" x14ac:dyDescent="0.7">
      <c r="A622" s="79"/>
      <c r="B622" s="85"/>
      <c r="C622" s="32" t="s">
        <v>3</v>
      </c>
      <c r="D622" s="19"/>
      <c r="E622" s="13"/>
      <c r="F622" s="13"/>
      <c r="G622" s="13"/>
      <c r="H622" s="13"/>
      <c r="I622" s="13"/>
      <c r="J622" s="67"/>
      <c r="K622" s="70"/>
      <c r="L622" s="70"/>
      <c r="M622" s="70"/>
      <c r="N622" s="70"/>
      <c r="O622" s="70"/>
      <c r="P622" s="70"/>
      <c r="Q622" s="73"/>
      <c r="R622" s="70"/>
      <c r="S622" s="70"/>
      <c r="T622" s="67"/>
      <c r="U622" s="70"/>
      <c r="V622" s="70"/>
      <c r="W622" s="12"/>
    </row>
    <row r="623" spans="1:23" s="7" customFormat="1" x14ac:dyDescent="0.7">
      <c r="A623" s="74" t="s">
        <v>625</v>
      </c>
      <c r="B623" s="75"/>
      <c r="C623" s="75"/>
      <c r="D623" s="75"/>
      <c r="E623" s="75"/>
      <c r="F623" s="75"/>
      <c r="G623" s="75"/>
      <c r="H623" s="75"/>
      <c r="I623" s="75"/>
      <c r="J623" s="75"/>
      <c r="K623" s="75"/>
      <c r="L623" s="75"/>
      <c r="M623" s="75"/>
      <c r="N623" s="75"/>
      <c r="O623" s="75"/>
      <c r="P623" s="75"/>
      <c r="Q623" s="75"/>
      <c r="R623" s="75"/>
      <c r="S623" s="75"/>
      <c r="T623" s="75"/>
      <c r="U623" s="75"/>
      <c r="V623" s="76"/>
      <c r="W623" s="12"/>
    </row>
    <row r="624" spans="1:23" s="7" customFormat="1" x14ac:dyDescent="0.7">
      <c r="A624" s="77"/>
      <c r="B624" s="80" t="s">
        <v>260</v>
      </c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2"/>
      <c r="W624" s="12"/>
    </row>
    <row r="625" spans="1:23" s="7" customFormat="1" ht="106.5" customHeight="1" x14ac:dyDescent="0.7">
      <c r="A625" s="78"/>
      <c r="B625" s="83" t="s">
        <v>407</v>
      </c>
      <c r="C625" s="86" t="s">
        <v>401</v>
      </c>
      <c r="D625" s="87"/>
      <c r="E625" s="87"/>
      <c r="F625" s="87"/>
      <c r="G625" s="87"/>
      <c r="H625" s="88"/>
      <c r="I625" s="29"/>
      <c r="J625" s="65"/>
      <c r="K625" s="65" t="s">
        <v>73</v>
      </c>
      <c r="L625" s="65" t="s">
        <v>88</v>
      </c>
      <c r="M625" s="65" t="s">
        <v>408</v>
      </c>
      <c r="N625" s="65" t="s">
        <v>402</v>
      </c>
      <c r="O625" s="65" t="s">
        <v>625</v>
      </c>
      <c r="P625" s="65" t="s">
        <v>402</v>
      </c>
      <c r="Q625" s="71" t="s">
        <v>409</v>
      </c>
      <c r="R625" s="65" t="s">
        <v>11</v>
      </c>
      <c r="S625" s="65" t="s">
        <v>400</v>
      </c>
      <c r="T625" s="65" t="s">
        <v>208</v>
      </c>
      <c r="U625" s="65"/>
      <c r="V625" s="65"/>
      <c r="W625" s="12"/>
    </row>
    <row r="626" spans="1:23" s="7" customFormat="1" x14ac:dyDescent="0.7">
      <c r="A626" s="78"/>
      <c r="B626" s="84"/>
      <c r="C626" s="32" t="s">
        <v>5</v>
      </c>
      <c r="D626" s="19">
        <f>SUM(D627:D630)</f>
        <v>1500.010000000002</v>
      </c>
      <c r="E626" s="13">
        <f t="shared" ref="E626" si="73">SUM(E627:E630)</f>
        <v>1500.010000000002</v>
      </c>
      <c r="F626" s="13"/>
      <c r="G626" s="13"/>
      <c r="H626" s="13"/>
      <c r="I626" s="13"/>
      <c r="J626" s="66"/>
      <c r="K626" s="66"/>
      <c r="L626" s="66"/>
      <c r="M626" s="66"/>
      <c r="N626" s="66"/>
      <c r="O626" s="66"/>
      <c r="P626" s="66"/>
      <c r="Q626" s="72"/>
      <c r="R626" s="66"/>
      <c r="S626" s="66"/>
      <c r="T626" s="66"/>
      <c r="U626" s="66"/>
      <c r="V626" s="66"/>
      <c r="W626" s="12"/>
    </row>
    <row r="627" spans="1:23" s="7" customFormat="1" ht="91.5" x14ac:dyDescent="0.7">
      <c r="A627" s="78"/>
      <c r="B627" s="84"/>
      <c r="C627" s="32" t="s">
        <v>0</v>
      </c>
      <c r="D627" s="19"/>
      <c r="E627" s="13"/>
      <c r="F627" s="13"/>
      <c r="G627" s="13"/>
      <c r="H627" s="13"/>
      <c r="I627" s="13"/>
      <c r="J627" s="66"/>
      <c r="K627" s="66"/>
      <c r="L627" s="66"/>
      <c r="M627" s="66"/>
      <c r="N627" s="66"/>
      <c r="O627" s="66"/>
      <c r="P627" s="66"/>
      <c r="Q627" s="72"/>
      <c r="R627" s="66"/>
      <c r="S627" s="66"/>
      <c r="T627" s="66"/>
      <c r="U627" s="66"/>
      <c r="V627" s="66"/>
      <c r="W627" s="12"/>
    </row>
    <row r="628" spans="1:23" s="7" customFormat="1" ht="91.5" x14ac:dyDescent="0.7">
      <c r="A628" s="78"/>
      <c r="B628" s="84"/>
      <c r="C628" s="32" t="s">
        <v>1</v>
      </c>
      <c r="D628" s="19">
        <f>SUM(E628:H628)</f>
        <v>1500.010000000002</v>
      </c>
      <c r="E628" s="18">
        <f>26635-5142-3508.99-16484</f>
        <v>1500.010000000002</v>
      </c>
      <c r="F628" s="13"/>
      <c r="G628" s="13"/>
      <c r="H628" s="13"/>
      <c r="I628" s="13"/>
      <c r="J628" s="66"/>
      <c r="K628" s="66"/>
      <c r="L628" s="66"/>
      <c r="M628" s="66"/>
      <c r="N628" s="66"/>
      <c r="O628" s="66"/>
      <c r="P628" s="66"/>
      <c r="Q628" s="72"/>
      <c r="R628" s="66"/>
      <c r="S628" s="66"/>
      <c r="T628" s="66"/>
      <c r="U628" s="66"/>
      <c r="V628" s="66"/>
      <c r="W628" s="12"/>
    </row>
    <row r="629" spans="1:23" s="7" customFormat="1" ht="95.25" customHeight="1" x14ac:dyDescent="0.7">
      <c r="A629" s="78"/>
      <c r="B629" s="84"/>
      <c r="C629" s="32" t="s">
        <v>2</v>
      </c>
      <c r="D629" s="19"/>
      <c r="E629" s="13"/>
      <c r="F629" s="13"/>
      <c r="G629" s="13"/>
      <c r="H629" s="13"/>
      <c r="I629" s="13"/>
      <c r="J629" s="66"/>
      <c r="K629" s="66"/>
      <c r="L629" s="66"/>
      <c r="M629" s="66"/>
      <c r="N629" s="66"/>
      <c r="O629" s="66"/>
      <c r="P629" s="66"/>
      <c r="Q629" s="72"/>
      <c r="R629" s="66"/>
      <c r="S629" s="66"/>
      <c r="T629" s="66"/>
      <c r="U629" s="66"/>
      <c r="V629" s="66"/>
      <c r="W629" s="12"/>
    </row>
    <row r="630" spans="1:23" s="7" customFormat="1" ht="91.5" x14ac:dyDescent="0.7">
      <c r="A630" s="79"/>
      <c r="B630" s="85"/>
      <c r="C630" s="32" t="s">
        <v>3</v>
      </c>
      <c r="D630" s="19"/>
      <c r="E630" s="13"/>
      <c r="F630" s="13"/>
      <c r="G630" s="13"/>
      <c r="H630" s="13"/>
      <c r="I630" s="13"/>
      <c r="J630" s="67"/>
      <c r="K630" s="67"/>
      <c r="L630" s="67"/>
      <c r="M630" s="67"/>
      <c r="N630" s="67"/>
      <c r="O630" s="67"/>
      <c r="P630" s="67"/>
      <c r="Q630" s="73"/>
      <c r="R630" s="67"/>
      <c r="S630" s="67"/>
      <c r="T630" s="67"/>
      <c r="U630" s="67"/>
      <c r="V630" s="67"/>
      <c r="W630" s="12"/>
    </row>
    <row r="631" spans="1:23" s="7" customFormat="1" x14ac:dyDescent="0.7">
      <c r="A631" s="74" t="s">
        <v>625</v>
      </c>
      <c r="B631" s="75"/>
      <c r="C631" s="75"/>
      <c r="D631" s="75"/>
      <c r="E631" s="75"/>
      <c r="F631" s="75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  <c r="R631" s="75"/>
      <c r="S631" s="75"/>
      <c r="T631" s="75"/>
      <c r="U631" s="75"/>
      <c r="V631" s="76"/>
      <c r="W631" s="12"/>
    </row>
    <row r="632" spans="1:23" s="7" customFormat="1" x14ac:dyDescent="0.7">
      <c r="A632" s="77"/>
      <c r="B632" s="80" t="s">
        <v>260</v>
      </c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2"/>
      <c r="W632" s="12"/>
    </row>
    <row r="633" spans="1:23" s="7" customFormat="1" ht="99" customHeight="1" x14ac:dyDescent="0.7">
      <c r="A633" s="78"/>
      <c r="B633" s="83" t="s">
        <v>413</v>
      </c>
      <c r="C633" s="86" t="s">
        <v>403</v>
      </c>
      <c r="D633" s="87"/>
      <c r="E633" s="87"/>
      <c r="F633" s="87"/>
      <c r="G633" s="87"/>
      <c r="H633" s="88"/>
      <c r="I633" s="29"/>
      <c r="J633" s="65"/>
      <c r="K633" s="65" t="s">
        <v>73</v>
      </c>
      <c r="L633" s="65" t="s">
        <v>88</v>
      </c>
      <c r="M633" s="65" t="s">
        <v>404</v>
      </c>
      <c r="N633" s="65" t="s">
        <v>405</v>
      </c>
      <c r="O633" s="65" t="s">
        <v>625</v>
      </c>
      <c r="P633" s="65" t="s">
        <v>405</v>
      </c>
      <c r="Q633" s="71" t="s">
        <v>406</v>
      </c>
      <c r="R633" s="65" t="s">
        <v>11</v>
      </c>
      <c r="S633" s="65" t="s">
        <v>400</v>
      </c>
      <c r="T633" s="65" t="s">
        <v>208</v>
      </c>
      <c r="U633" s="65"/>
      <c r="V633" s="65"/>
      <c r="W633" s="12"/>
    </row>
    <row r="634" spans="1:23" s="7" customFormat="1" x14ac:dyDescent="0.7">
      <c r="A634" s="78"/>
      <c r="B634" s="84"/>
      <c r="C634" s="32" t="s">
        <v>5</v>
      </c>
      <c r="D634" s="19">
        <f>SUM(D635:D638)</f>
        <v>3591.1379999999999</v>
      </c>
      <c r="E634" s="13">
        <f>SUM(E635:E638)</f>
        <v>3591.1379999999999</v>
      </c>
      <c r="F634" s="13"/>
      <c r="G634" s="13"/>
      <c r="H634" s="13"/>
      <c r="I634" s="13"/>
      <c r="J634" s="66"/>
      <c r="K634" s="66"/>
      <c r="L634" s="66"/>
      <c r="M634" s="66"/>
      <c r="N634" s="66"/>
      <c r="O634" s="66"/>
      <c r="P634" s="66"/>
      <c r="Q634" s="72"/>
      <c r="R634" s="66"/>
      <c r="S634" s="66"/>
      <c r="T634" s="66"/>
      <c r="U634" s="66"/>
      <c r="V634" s="66"/>
      <c r="W634" s="12"/>
    </row>
    <row r="635" spans="1:23" s="7" customFormat="1" ht="91.5" x14ac:dyDescent="0.7">
      <c r="A635" s="78"/>
      <c r="B635" s="84"/>
      <c r="C635" s="32" t="s">
        <v>0</v>
      </c>
      <c r="D635" s="19"/>
      <c r="E635" s="13"/>
      <c r="F635" s="13"/>
      <c r="G635" s="13"/>
      <c r="H635" s="13"/>
      <c r="I635" s="13"/>
      <c r="J635" s="66"/>
      <c r="K635" s="66"/>
      <c r="L635" s="66"/>
      <c r="M635" s="66"/>
      <c r="N635" s="66"/>
      <c r="O635" s="66"/>
      <c r="P635" s="66"/>
      <c r="Q635" s="72"/>
      <c r="R635" s="66"/>
      <c r="S635" s="66"/>
      <c r="T635" s="66"/>
      <c r="U635" s="66"/>
      <c r="V635" s="66"/>
      <c r="W635" s="12"/>
    </row>
    <row r="636" spans="1:23" s="7" customFormat="1" ht="91.5" x14ac:dyDescent="0.7">
      <c r="A636" s="78"/>
      <c r="B636" s="84"/>
      <c r="C636" s="32" t="s">
        <v>1</v>
      </c>
      <c r="D636" s="19">
        <f>SUM(E636:H636)</f>
        <v>3591.1379999999999</v>
      </c>
      <c r="E636" s="18">
        <f>3600-8.862</f>
        <v>3591.1379999999999</v>
      </c>
      <c r="F636" s="13"/>
      <c r="G636" s="13"/>
      <c r="H636" s="13"/>
      <c r="I636" s="13"/>
      <c r="J636" s="66"/>
      <c r="K636" s="66"/>
      <c r="L636" s="66"/>
      <c r="M636" s="66"/>
      <c r="N636" s="66"/>
      <c r="O636" s="66"/>
      <c r="P636" s="66"/>
      <c r="Q636" s="72"/>
      <c r="R636" s="66"/>
      <c r="S636" s="66"/>
      <c r="T636" s="66"/>
      <c r="U636" s="66"/>
      <c r="V636" s="66"/>
      <c r="W636" s="12"/>
    </row>
    <row r="637" spans="1:23" s="7" customFormat="1" ht="95.25" customHeight="1" x14ac:dyDescent="0.7">
      <c r="A637" s="78"/>
      <c r="B637" s="84"/>
      <c r="C637" s="32" t="s">
        <v>2</v>
      </c>
      <c r="D637" s="19"/>
      <c r="E637" s="13"/>
      <c r="F637" s="13"/>
      <c r="G637" s="13"/>
      <c r="H637" s="13"/>
      <c r="I637" s="13"/>
      <c r="J637" s="66"/>
      <c r="K637" s="66"/>
      <c r="L637" s="66"/>
      <c r="M637" s="66"/>
      <c r="N637" s="66"/>
      <c r="O637" s="66"/>
      <c r="P637" s="66"/>
      <c r="Q637" s="72"/>
      <c r="R637" s="66"/>
      <c r="S637" s="66"/>
      <c r="T637" s="66"/>
      <c r="U637" s="66"/>
      <c r="V637" s="66"/>
      <c r="W637" s="12"/>
    </row>
    <row r="638" spans="1:23" s="7" customFormat="1" ht="91.5" x14ac:dyDescent="0.7">
      <c r="A638" s="79"/>
      <c r="B638" s="85"/>
      <c r="C638" s="32" t="s">
        <v>3</v>
      </c>
      <c r="D638" s="19"/>
      <c r="E638" s="13"/>
      <c r="F638" s="13"/>
      <c r="G638" s="13"/>
      <c r="H638" s="13"/>
      <c r="I638" s="13"/>
      <c r="J638" s="67"/>
      <c r="K638" s="67"/>
      <c r="L638" s="67"/>
      <c r="M638" s="67"/>
      <c r="N638" s="67"/>
      <c r="O638" s="67"/>
      <c r="P638" s="67"/>
      <c r="Q638" s="73"/>
      <c r="R638" s="67"/>
      <c r="S638" s="67"/>
      <c r="T638" s="67"/>
      <c r="U638" s="67"/>
      <c r="V638" s="67"/>
      <c r="W638" s="12"/>
    </row>
    <row r="639" spans="1:23" s="7" customFormat="1" ht="46.5" customHeight="1" x14ac:dyDescent="0.7">
      <c r="A639" s="74" t="s">
        <v>625</v>
      </c>
      <c r="B639" s="75"/>
      <c r="C639" s="75"/>
      <c r="D639" s="75"/>
      <c r="E639" s="75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6"/>
      <c r="W639" s="12"/>
    </row>
    <row r="640" spans="1:23" s="7" customFormat="1" x14ac:dyDescent="0.7">
      <c r="A640" s="77"/>
      <c r="B640" s="89" t="s">
        <v>260</v>
      </c>
      <c r="C640" s="90"/>
      <c r="D640" s="90"/>
      <c r="E640" s="90"/>
      <c r="F640" s="90"/>
      <c r="G640" s="90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0"/>
      <c r="S640" s="90"/>
      <c r="T640" s="90"/>
      <c r="U640" s="90"/>
      <c r="V640" s="91"/>
      <c r="W640" s="12"/>
    </row>
    <row r="641" spans="1:23" s="7" customFormat="1" ht="110.25" customHeight="1" x14ac:dyDescent="0.7">
      <c r="A641" s="78"/>
      <c r="B641" s="92" t="s">
        <v>414</v>
      </c>
      <c r="C641" s="86" t="s">
        <v>410</v>
      </c>
      <c r="D641" s="87"/>
      <c r="E641" s="87"/>
      <c r="F641" s="87"/>
      <c r="G641" s="87"/>
      <c r="H641" s="88"/>
      <c r="I641" s="45"/>
      <c r="J641" s="65"/>
      <c r="K641" s="65" t="s">
        <v>73</v>
      </c>
      <c r="L641" s="65" t="s">
        <v>88</v>
      </c>
      <c r="M641" s="65" t="s">
        <v>411</v>
      </c>
      <c r="N641" s="65" t="s">
        <v>402</v>
      </c>
      <c r="O641" s="65" t="s">
        <v>625</v>
      </c>
      <c r="P641" s="65" t="s">
        <v>402</v>
      </c>
      <c r="Q641" s="71" t="s">
        <v>412</v>
      </c>
      <c r="R641" s="65" t="s">
        <v>11</v>
      </c>
      <c r="S641" s="65" t="s">
        <v>12</v>
      </c>
      <c r="T641" s="65" t="s">
        <v>208</v>
      </c>
      <c r="U641" s="65"/>
      <c r="V641" s="65"/>
      <c r="W641" s="12"/>
    </row>
    <row r="642" spans="1:23" s="7" customFormat="1" x14ac:dyDescent="0.7">
      <c r="A642" s="78"/>
      <c r="B642" s="93"/>
      <c r="C642" s="44" t="s">
        <v>5</v>
      </c>
      <c r="D642" s="17">
        <f>SUM(D643:D646)</f>
        <v>410</v>
      </c>
      <c r="E642" s="18">
        <f>SUM(E643:E646)</f>
        <v>410</v>
      </c>
      <c r="F642" s="18"/>
      <c r="G642" s="18"/>
      <c r="H642" s="18"/>
      <c r="I642" s="18"/>
      <c r="J642" s="66"/>
      <c r="K642" s="66"/>
      <c r="L642" s="66"/>
      <c r="M642" s="66"/>
      <c r="N642" s="66"/>
      <c r="O642" s="66"/>
      <c r="P642" s="66"/>
      <c r="Q642" s="72"/>
      <c r="R642" s="66"/>
      <c r="S642" s="66"/>
      <c r="T642" s="66"/>
      <c r="U642" s="66"/>
      <c r="V642" s="66"/>
      <c r="W642" s="12"/>
    </row>
    <row r="643" spans="1:23" s="7" customFormat="1" ht="91.5" x14ac:dyDescent="0.7">
      <c r="A643" s="78"/>
      <c r="B643" s="93"/>
      <c r="C643" s="44" t="s">
        <v>0</v>
      </c>
      <c r="D643" s="17"/>
      <c r="E643" s="18"/>
      <c r="F643" s="18"/>
      <c r="G643" s="18"/>
      <c r="H643" s="18"/>
      <c r="I643" s="18"/>
      <c r="J643" s="66"/>
      <c r="K643" s="66"/>
      <c r="L643" s="66"/>
      <c r="M643" s="66"/>
      <c r="N643" s="66"/>
      <c r="O643" s="66"/>
      <c r="P643" s="66"/>
      <c r="Q643" s="72"/>
      <c r="R643" s="66"/>
      <c r="S643" s="66"/>
      <c r="T643" s="66"/>
      <c r="U643" s="66"/>
      <c r="V643" s="66"/>
      <c r="W643" s="12"/>
    </row>
    <row r="644" spans="1:23" s="7" customFormat="1" ht="91.5" x14ac:dyDescent="0.7">
      <c r="A644" s="78"/>
      <c r="B644" s="93"/>
      <c r="C644" s="44" t="s">
        <v>1</v>
      </c>
      <c r="D644" s="17">
        <f>SUM(E644:H644)</f>
        <v>410</v>
      </c>
      <c r="E644" s="18">
        <f>280+130</f>
        <v>410</v>
      </c>
      <c r="F644" s="18"/>
      <c r="G644" s="18"/>
      <c r="H644" s="18"/>
      <c r="I644" s="18"/>
      <c r="J644" s="66"/>
      <c r="K644" s="66"/>
      <c r="L644" s="66"/>
      <c r="M644" s="66"/>
      <c r="N644" s="66"/>
      <c r="O644" s="66"/>
      <c r="P644" s="66"/>
      <c r="Q644" s="72"/>
      <c r="R644" s="66"/>
      <c r="S644" s="66"/>
      <c r="T644" s="66"/>
      <c r="U644" s="66"/>
      <c r="V644" s="66"/>
      <c r="W644" s="12"/>
    </row>
    <row r="645" spans="1:23" s="7" customFormat="1" ht="95.25" customHeight="1" x14ac:dyDescent="0.7">
      <c r="A645" s="78"/>
      <c r="B645" s="93"/>
      <c r="C645" s="44" t="s">
        <v>2</v>
      </c>
      <c r="D645" s="17"/>
      <c r="E645" s="18"/>
      <c r="F645" s="18"/>
      <c r="G645" s="18"/>
      <c r="H645" s="18"/>
      <c r="I645" s="18"/>
      <c r="J645" s="66"/>
      <c r="K645" s="66"/>
      <c r="L645" s="66"/>
      <c r="M645" s="66"/>
      <c r="N645" s="66"/>
      <c r="O645" s="66"/>
      <c r="P645" s="66"/>
      <c r="Q645" s="72"/>
      <c r="R645" s="66"/>
      <c r="S645" s="66"/>
      <c r="T645" s="66"/>
      <c r="U645" s="66"/>
      <c r="V645" s="66"/>
      <c r="W645" s="12"/>
    </row>
    <row r="646" spans="1:23" s="7" customFormat="1" ht="91.5" x14ac:dyDescent="0.7">
      <c r="A646" s="79"/>
      <c r="B646" s="94"/>
      <c r="C646" s="44" t="s">
        <v>3</v>
      </c>
      <c r="D646" s="17"/>
      <c r="E646" s="18"/>
      <c r="F646" s="18"/>
      <c r="G646" s="18"/>
      <c r="H646" s="18"/>
      <c r="I646" s="18"/>
      <c r="J646" s="67"/>
      <c r="K646" s="67"/>
      <c r="L646" s="67"/>
      <c r="M646" s="67"/>
      <c r="N646" s="67"/>
      <c r="O646" s="67"/>
      <c r="P646" s="67"/>
      <c r="Q646" s="73"/>
      <c r="R646" s="67"/>
      <c r="S646" s="67"/>
      <c r="T646" s="67"/>
      <c r="U646" s="67"/>
      <c r="V646" s="67"/>
      <c r="W646" s="12"/>
    </row>
    <row r="647" spans="1:23" s="7" customFormat="1" ht="46.5" customHeight="1" x14ac:dyDescent="0.7">
      <c r="A647" s="74" t="s">
        <v>625</v>
      </c>
      <c r="B647" s="75"/>
      <c r="C647" s="75"/>
      <c r="D647" s="75"/>
      <c r="E647" s="75"/>
      <c r="F647" s="75"/>
      <c r="G647" s="75"/>
      <c r="H647" s="75"/>
      <c r="I647" s="75"/>
      <c r="J647" s="75"/>
      <c r="K647" s="75"/>
      <c r="L647" s="75"/>
      <c r="M647" s="75"/>
      <c r="N647" s="75"/>
      <c r="O647" s="75"/>
      <c r="P647" s="75"/>
      <c r="Q647" s="75"/>
      <c r="R647" s="75"/>
      <c r="S647" s="75"/>
      <c r="T647" s="75"/>
      <c r="U647" s="75"/>
      <c r="V647" s="76"/>
      <c r="W647" s="12"/>
    </row>
    <row r="648" spans="1:23" s="7" customFormat="1" ht="46.5" customHeight="1" x14ac:dyDescent="0.7">
      <c r="A648" s="77"/>
      <c r="B648" s="89" t="s">
        <v>260</v>
      </c>
      <c r="C648" s="90"/>
      <c r="D648" s="90"/>
      <c r="E648" s="90"/>
      <c r="F648" s="90"/>
      <c r="G648" s="90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  <c r="S648" s="90"/>
      <c r="T648" s="90"/>
      <c r="U648" s="90"/>
      <c r="V648" s="91"/>
      <c r="W648" s="12"/>
    </row>
    <row r="649" spans="1:23" s="7" customFormat="1" ht="120.75" customHeight="1" x14ac:dyDescent="0.7">
      <c r="A649" s="78"/>
      <c r="B649" s="92" t="s">
        <v>415</v>
      </c>
      <c r="C649" s="86" t="s">
        <v>417</v>
      </c>
      <c r="D649" s="87"/>
      <c r="E649" s="87"/>
      <c r="F649" s="87"/>
      <c r="G649" s="87"/>
      <c r="H649" s="88"/>
      <c r="I649" s="45"/>
      <c r="J649" s="65"/>
      <c r="K649" s="65" t="s">
        <v>73</v>
      </c>
      <c r="L649" s="65" t="s">
        <v>88</v>
      </c>
      <c r="M649" s="65"/>
      <c r="N649" s="65" t="s">
        <v>418</v>
      </c>
      <c r="O649" s="65" t="s">
        <v>625</v>
      </c>
      <c r="P649" s="65" t="s">
        <v>418</v>
      </c>
      <c r="Q649" s="71" t="s">
        <v>419</v>
      </c>
      <c r="R649" s="65" t="s">
        <v>11</v>
      </c>
      <c r="S649" s="65" t="s">
        <v>420</v>
      </c>
      <c r="T649" s="65" t="s">
        <v>208</v>
      </c>
      <c r="U649" s="65"/>
      <c r="V649" s="65"/>
      <c r="W649" s="12"/>
    </row>
    <row r="650" spans="1:23" s="7" customFormat="1" x14ac:dyDescent="0.7">
      <c r="A650" s="78"/>
      <c r="B650" s="93"/>
      <c r="C650" s="44" t="s">
        <v>5</v>
      </c>
      <c r="D650" s="17">
        <f>SUM(D651:D654)</f>
        <v>11150.645</v>
      </c>
      <c r="E650" s="18">
        <f t="shared" ref="E650" si="74">SUM(E651:E654)</f>
        <v>11150.645</v>
      </c>
      <c r="F650" s="18"/>
      <c r="G650" s="18"/>
      <c r="H650" s="18"/>
      <c r="I650" s="18"/>
      <c r="J650" s="66"/>
      <c r="K650" s="66"/>
      <c r="L650" s="66"/>
      <c r="M650" s="66"/>
      <c r="N650" s="66"/>
      <c r="O650" s="66"/>
      <c r="P650" s="66"/>
      <c r="Q650" s="72"/>
      <c r="R650" s="66"/>
      <c r="S650" s="66"/>
      <c r="T650" s="66"/>
      <c r="U650" s="66"/>
      <c r="V650" s="66"/>
      <c r="W650" s="12"/>
    </row>
    <row r="651" spans="1:23" s="7" customFormat="1" ht="91.5" x14ac:dyDescent="0.7">
      <c r="A651" s="78"/>
      <c r="B651" s="93"/>
      <c r="C651" s="44" t="s">
        <v>0</v>
      </c>
      <c r="D651" s="17"/>
      <c r="E651" s="18"/>
      <c r="F651" s="18"/>
      <c r="G651" s="18"/>
      <c r="H651" s="18"/>
      <c r="I651" s="18"/>
      <c r="J651" s="66"/>
      <c r="K651" s="66"/>
      <c r="L651" s="66"/>
      <c r="M651" s="66"/>
      <c r="N651" s="66"/>
      <c r="O651" s="66"/>
      <c r="P651" s="66"/>
      <c r="Q651" s="72"/>
      <c r="R651" s="66"/>
      <c r="S651" s="66"/>
      <c r="T651" s="66"/>
      <c r="U651" s="66"/>
      <c r="V651" s="66"/>
      <c r="W651" s="12"/>
    </row>
    <row r="652" spans="1:23" s="7" customFormat="1" ht="91.5" x14ac:dyDescent="0.7">
      <c r="A652" s="78"/>
      <c r="B652" s="93"/>
      <c r="C652" s="44" t="s">
        <v>1</v>
      </c>
      <c r="D652" s="17">
        <f>SUM(E652:H652)</f>
        <v>11150.645</v>
      </c>
      <c r="E652" s="18">
        <f>23820.53812-1774.0296-335.3965-10560.46702</f>
        <v>11150.645</v>
      </c>
      <c r="F652" s="18"/>
      <c r="G652" s="18"/>
      <c r="H652" s="18"/>
      <c r="I652" s="18"/>
      <c r="J652" s="66"/>
      <c r="K652" s="66"/>
      <c r="L652" s="66"/>
      <c r="M652" s="66"/>
      <c r="N652" s="66"/>
      <c r="O652" s="66"/>
      <c r="P652" s="66"/>
      <c r="Q652" s="72"/>
      <c r="R652" s="66"/>
      <c r="S652" s="66"/>
      <c r="T652" s="66"/>
      <c r="U652" s="66"/>
      <c r="V652" s="66"/>
      <c r="W652" s="12"/>
    </row>
    <row r="653" spans="1:23" s="7" customFormat="1" ht="106.5" customHeight="1" x14ac:dyDescent="0.7">
      <c r="A653" s="78"/>
      <c r="B653" s="93"/>
      <c r="C653" s="44" t="s">
        <v>2</v>
      </c>
      <c r="D653" s="17"/>
      <c r="E653" s="18"/>
      <c r="F653" s="18"/>
      <c r="G653" s="18"/>
      <c r="H653" s="18"/>
      <c r="I653" s="18"/>
      <c r="J653" s="66"/>
      <c r="K653" s="66"/>
      <c r="L653" s="66"/>
      <c r="M653" s="66"/>
      <c r="N653" s="66"/>
      <c r="O653" s="66"/>
      <c r="P653" s="66"/>
      <c r="Q653" s="72"/>
      <c r="R653" s="66"/>
      <c r="S653" s="66"/>
      <c r="T653" s="66"/>
      <c r="U653" s="66"/>
      <c r="V653" s="66"/>
      <c r="W653" s="12"/>
    </row>
    <row r="654" spans="1:23" s="7" customFormat="1" ht="91.5" x14ac:dyDescent="0.7">
      <c r="A654" s="79"/>
      <c r="B654" s="94"/>
      <c r="C654" s="44" t="s">
        <v>3</v>
      </c>
      <c r="D654" s="17"/>
      <c r="E654" s="18"/>
      <c r="F654" s="18"/>
      <c r="G654" s="18"/>
      <c r="H654" s="18"/>
      <c r="I654" s="18"/>
      <c r="J654" s="67"/>
      <c r="K654" s="67"/>
      <c r="L654" s="67"/>
      <c r="M654" s="67"/>
      <c r="N654" s="67"/>
      <c r="O654" s="67"/>
      <c r="P654" s="67"/>
      <c r="Q654" s="73"/>
      <c r="R654" s="67"/>
      <c r="S654" s="67"/>
      <c r="T654" s="67"/>
      <c r="U654" s="67"/>
      <c r="V654" s="67"/>
      <c r="W654" s="12"/>
    </row>
    <row r="655" spans="1:23" s="7" customFormat="1" x14ac:dyDescent="0.7">
      <c r="A655" s="74" t="s">
        <v>625</v>
      </c>
      <c r="B655" s="75"/>
      <c r="C655" s="75"/>
      <c r="D655" s="75"/>
      <c r="E655" s="75"/>
      <c r="F655" s="75"/>
      <c r="G655" s="75"/>
      <c r="H655" s="75"/>
      <c r="I655" s="75"/>
      <c r="J655" s="75"/>
      <c r="K655" s="75"/>
      <c r="L655" s="75"/>
      <c r="M655" s="75"/>
      <c r="N655" s="75"/>
      <c r="O655" s="75"/>
      <c r="P655" s="75"/>
      <c r="Q655" s="75"/>
      <c r="R655" s="75"/>
      <c r="S655" s="75"/>
      <c r="T655" s="75"/>
      <c r="U655" s="75"/>
      <c r="V655" s="76"/>
      <c r="W655" s="12"/>
    </row>
    <row r="656" spans="1:23" s="7" customFormat="1" x14ac:dyDescent="0.7">
      <c r="A656" s="77"/>
      <c r="B656" s="89" t="s">
        <v>260</v>
      </c>
      <c r="C656" s="90"/>
      <c r="D656" s="90"/>
      <c r="E656" s="90"/>
      <c r="F656" s="90"/>
      <c r="G656" s="90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90"/>
      <c r="S656" s="90"/>
      <c r="T656" s="90"/>
      <c r="U656" s="90"/>
      <c r="V656" s="91"/>
      <c r="W656" s="12"/>
    </row>
    <row r="657" spans="1:23" s="7" customFormat="1" x14ac:dyDescent="0.7">
      <c r="A657" s="78"/>
      <c r="B657" s="92" t="s">
        <v>422</v>
      </c>
      <c r="C657" s="86" t="s">
        <v>423</v>
      </c>
      <c r="D657" s="87"/>
      <c r="E657" s="87"/>
      <c r="F657" s="87"/>
      <c r="G657" s="87"/>
      <c r="H657" s="88"/>
      <c r="I657" s="45"/>
      <c r="J657" s="65" t="s">
        <v>73</v>
      </c>
      <c r="K657" s="65"/>
      <c r="L657" s="65" t="s">
        <v>88</v>
      </c>
      <c r="M657" s="65" t="s">
        <v>424</v>
      </c>
      <c r="N657" s="65" t="s">
        <v>402</v>
      </c>
      <c r="O657" s="65" t="s">
        <v>625</v>
      </c>
      <c r="P657" s="65" t="s">
        <v>402</v>
      </c>
      <c r="Q657" s="71"/>
      <c r="R657" s="65" t="s">
        <v>11</v>
      </c>
      <c r="S657" s="65" t="s">
        <v>425</v>
      </c>
      <c r="T657" s="65" t="s">
        <v>7</v>
      </c>
      <c r="U657" s="65"/>
      <c r="V657" s="65"/>
      <c r="W657" s="12"/>
    </row>
    <row r="658" spans="1:23" s="7" customFormat="1" x14ac:dyDescent="0.7">
      <c r="A658" s="78"/>
      <c r="B658" s="93"/>
      <c r="C658" s="44" t="s">
        <v>5</v>
      </c>
      <c r="D658" s="17">
        <f>SUM(D659:D662)</f>
        <v>27012.163</v>
      </c>
      <c r="E658" s="18">
        <f>SUM(E659:E662)</f>
        <v>27012.163</v>
      </c>
      <c r="F658" s="18"/>
      <c r="G658" s="18"/>
      <c r="H658" s="18"/>
      <c r="I658" s="18"/>
      <c r="J658" s="66"/>
      <c r="K658" s="66"/>
      <c r="L658" s="66"/>
      <c r="M658" s="66"/>
      <c r="N658" s="66"/>
      <c r="O658" s="66"/>
      <c r="P658" s="66"/>
      <c r="Q658" s="72"/>
      <c r="R658" s="66"/>
      <c r="S658" s="66"/>
      <c r="T658" s="66"/>
      <c r="U658" s="66"/>
      <c r="V658" s="66"/>
      <c r="W658" s="12"/>
    </row>
    <row r="659" spans="1:23" s="7" customFormat="1" ht="91.5" x14ac:dyDescent="0.7">
      <c r="A659" s="78"/>
      <c r="B659" s="93"/>
      <c r="C659" s="44" t="s">
        <v>0</v>
      </c>
      <c r="D659" s="17"/>
      <c r="E659" s="18"/>
      <c r="F659" s="18"/>
      <c r="G659" s="18"/>
      <c r="H659" s="18"/>
      <c r="I659" s="18"/>
      <c r="J659" s="66"/>
      <c r="K659" s="66"/>
      <c r="L659" s="66"/>
      <c r="M659" s="66"/>
      <c r="N659" s="66"/>
      <c r="O659" s="66"/>
      <c r="P659" s="66"/>
      <c r="Q659" s="72"/>
      <c r="R659" s="66"/>
      <c r="S659" s="66"/>
      <c r="T659" s="66"/>
      <c r="U659" s="66"/>
      <c r="V659" s="66"/>
      <c r="W659" s="12"/>
    </row>
    <row r="660" spans="1:23" s="7" customFormat="1" ht="91.5" x14ac:dyDescent="0.7">
      <c r="A660" s="78"/>
      <c r="B660" s="93"/>
      <c r="C660" s="44" t="s">
        <v>1</v>
      </c>
      <c r="D660" s="17">
        <f>SUM(E660:H660)</f>
        <v>27012.163</v>
      </c>
      <c r="E660" s="18">
        <f>30400-3600+3450-3237.837</f>
        <v>27012.163</v>
      </c>
      <c r="F660" s="18"/>
      <c r="G660" s="18"/>
      <c r="H660" s="18"/>
      <c r="I660" s="18"/>
      <c r="J660" s="66"/>
      <c r="K660" s="66"/>
      <c r="L660" s="66"/>
      <c r="M660" s="66"/>
      <c r="N660" s="66"/>
      <c r="O660" s="66"/>
      <c r="P660" s="66"/>
      <c r="Q660" s="72"/>
      <c r="R660" s="66"/>
      <c r="S660" s="66"/>
      <c r="T660" s="66"/>
      <c r="U660" s="66"/>
      <c r="V660" s="66"/>
      <c r="W660" s="12"/>
    </row>
    <row r="661" spans="1:23" s="7" customFormat="1" ht="99" customHeight="1" x14ac:dyDescent="0.7">
      <c r="A661" s="78"/>
      <c r="B661" s="93"/>
      <c r="C661" s="44" t="s">
        <v>2</v>
      </c>
      <c r="D661" s="17"/>
      <c r="E661" s="18"/>
      <c r="F661" s="18"/>
      <c r="G661" s="18"/>
      <c r="H661" s="18"/>
      <c r="I661" s="18"/>
      <c r="J661" s="66"/>
      <c r="K661" s="66"/>
      <c r="L661" s="66"/>
      <c r="M661" s="66"/>
      <c r="N661" s="66"/>
      <c r="O661" s="66"/>
      <c r="P661" s="66"/>
      <c r="Q661" s="72"/>
      <c r="R661" s="66"/>
      <c r="S661" s="66"/>
      <c r="T661" s="66"/>
      <c r="U661" s="66"/>
      <c r="V661" s="66"/>
      <c r="W661" s="12"/>
    </row>
    <row r="662" spans="1:23" s="7" customFormat="1" ht="91.5" x14ac:dyDescent="0.7">
      <c r="A662" s="79"/>
      <c r="B662" s="94"/>
      <c r="C662" s="44" t="s">
        <v>3</v>
      </c>
      <c r="D662" s="17"/>
      <c r="E662" s="18"/>
      <c r="F662" s="18"/>
      <c r="G662" s="18"/>
      <c r="H662" s="18"/>
      <c r="I662" s="18"/>
      <c r="J662" s="67"/>
      <c r="K662" s="67"/>
      <c r="L662" s="67"/>
      <c r="M662" s="67"/>
      <c r="N662" s="67"/>
      <c r="O662" s="67"/>
      <c r="P662" s="67"/>
      <c r="Q662" s="73"/>
      <c r="R662" s="67"/>
      <c r="S662" s="67"/>
      <c r="T662" s="67"/>
      <c r="U662" s="67"/>
      <c r="V662" s="67"/>
      <c r="W662" s="12"/>
    </row>
    <row r="663" spans="1:23" s="7" customFormat="1" x14ac:dyDescent="0.7">
      <c r="A663" s="74" t="s">
        <v>625</v>
      </c>
      <c r="B663" s="75"/>
      <c r="C663" s="75"/>
      <c r="D663" s="75"/>
      <c r="E663" s="75"/>
      <c r="F663" s="75"/>
      <c r="G663" s="75"/>
      <c r="H663" s="75"/>
      <c r="I663" s="75"/>
      <c r="J663" s="75"/>
      <c r="K663" s="75"/>
      <c r="L663" s="75"/>
      <c r="M663" s="75"/>
      <c r="N663" s="75"/>
      <c r="O663" s="75"/>
      <c r="P663" s="75"/>
      <c r="Q663" s="75"/>
      <c r="R663" s="75"/>
      <c r="S663" s="75"/>
      <c r="T663" s="75"/>
      <c r="U663" s="75"/>
      <c r="V663" s="76"/>
      <c r="W663" s="12"/>
    </row>
    <row r="664" spans="1:23" s="7" customFormat="1" x14ac:dyDescent="0.7">
      <c r="A664" s="77"/>
      <c r="B664" s="89" t="s">
        <v>260</v>
      </c>
      <c r="C664" s="90"/>
      <c r="D664" s="90"/>
      <c r="E664" s="90"/>
      <c r="F664" s="90"/>
      <c r="G664" s="90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0"/>
      <c r="S664" s="90"/>
      <c r="T664" s="90"/>
      <c r="U664" s="90"/>
      <c r="V664" s="91"/>
      <c r="W664" s="12"/>
    </row>
    <row r="665" spans="1:23" s="7" customFormat="1" ht="76.5" customHeight="1" x14ac:dyDescent="0.7">
      <c r="A665" s="78"/>
      <c r="B665" s="92" t="s">
        <v>416</v>
      </c>
      <c r="C665" s="86" t="s">
        <v>448</v>
      </c>
      <c r="D665" s="87"/>
      <c r="E665" s="87"/>
      <c r="F665" s="87"/>
      <c r="G665" s="87"/>
      <c r="H665" s="88"/>
      <c r="I665" s="45"/>
      <c r="J665" s="65" t="s">
        <v>399</v>
      </c>
      <c r="K665" s="65"/>
      <c r="L665" s="65" t="s">
        <v>88</v>
      </c>
      <c r="M665" s="65" t="s">
        <v>449</v>
      </c>
      <c r="N665" s="65" t="s">
        <v>144</v>
      </c>
      <c r="O665" s="65" t="s">
        <v>625</v>
      </c>
      <c r="P665" s="65" t="s">
        <v>144</v>
      </c>
      <c r="Q665" s="71" t="s">
        <v>450</v>
      </c>
      <c r="R665" s="65" t="s">
        <v>18</v>
      </c>
      <c r="S665" s="65" t="s">
        <v>420</v>
      </c>
      <c r="T665" s="65" t="s">
        <v>7</v>
      </c>
      <c r="U665" s="65"/>
      <c r="V665" s="65" t="s">
        <v>451</v>
      </c>
      <c r="W665" s="12"/>
    </row>
    <row r="666" spans="1:23" s="7" customFormat="1" x14ac:dyDescent="0.7">
      <c r="A666" s="78"/>
      <c r="B666" s="93"/>
      <c r="C666" s="44" t="s">
        <v>5</v>
      </c>
      <c r="D666" s="17">
        <f>SUM(D667:D670)</f>
        <v>9146.3688000000002</v>
      </c>
      <c r="E666" s="18">
        <f>SUM(E667:E670)</f>
        <v>9146.3688000000002</v>
      </c>
      <c r="F666" s="18"/>
      <c r="G666" s="18"/>
      <c r="H666" s="18"/>
      <c r="I666" s="18"/>
      <c r="J666" s="66"/>
      <c r="K666" s="66"/>
      <c r="L666" s="66"/>
      <c r="M666" s="66"/>
      <c r="N666" s="66"/>
      <c r="O666" s="66"/>
      <c r="P666" s="66"/>
      <c r="Q666" s="72"/>
      <c r="R666" s="66"/>
      <c r="S666" s="66"/>
      <c r="T666" s="66"/>
      <c r="U666" s="66"/>
      <c r="V666" s="66"/>
      <c r="W666" s="12"/>
    </row>
    <row r="667" spans="1:23" s="7" customFormat="1" ht="52.5" customHeight="1" x14ac:dyDescent="0.7">
      <c r="A667" s="78"/>
      <c r="B667" s="93"/>
      <c r="C667" s="44" t="s">
        <v>0</v>
      </c>
      <c r="D667" s="17"/>
      <c r="E667" s="18"/>
      <c r="F667" s="18"/>
      <c r="G667" s="18"/>
      <c r="H667" s="18"/>
      <c r="I667" s="18"/>
      <c r="J667" s="66"/>
      <c r="K667" s="66"/>
      <c r="L667" s="66"/>
      <c r="M667" s="66"/>
      <c r="N667" s="66"/>
      <c r="O667" s="66"/>
      <c r="P667" s="66"/>
      <c r="Q667" s="72"/>
      <c r="R667" s="66"/>
      <c r="S667" s="66"/>
      <c r="T667" s="66"/>
      <c r="U667" s="66"/>
      <c r="V667" s="66"/>
      <c r="W667" s="12"/>
    </row>
    <row r="668" spans="1:23" s="7" customFormat="1" ht="91.5" x14ac:dyDescent="0.7">
      <c r="A668" s="78"/>
      <c r="B668" s="93"/>
      <c r="C668" s="44" t="s">
        <v>1</v>
      </c>
      <c r="D668" s="17">
        <f>SUM(E668:H668)</f>
        <v>9146.3688000000002</v>
      </c>
      <c r="E668" s="18">
        <v>9146.3688000000002</v>
      </c>
      <c r="F668" s="18"/>
      <c r="G668" s="18"/>
      <c r="H668" s="18"/>
      <c r="I668" s="18"/>
      <c r="J668" s="66"/>
      <c r="K668" s="66"/>
      <c r="L668" s="66"/>
      <c r="M668" s="66"/>
      <c r="N668" s="66"/>
      <c r="O668" s="66"/>
      <c r="P668" s="66"/>
      <c r="Q668" s="72"/>
      <c r="R668" s="66"/>
      <c r="S668" s="66"/>
      <c r="T668" s="66"/>
      <c r="U668" s="66"/>
      <c r="V668" s="66"/>
      <c r="W668" s="12"/>
    </row>
    <row r="669" spans="1:23" s="7" customFormat="1" ht="99" customHeight="1" x14ac:dyDescent="0.7">
      <c r="A669" s="78"/>
      <c r="B669" s="93"/>
      <c r="C669" s="44" t="s">
        <v>2</v>
      </c>
      <c r="D669" s="17"/>
      <c r="E669" s="18"/>
      <c r="F669" s="18"/>
      <c r="G669" s="18"/>
      <c r="H669" s="18"/>
      <c r="I669" s="18"/>
      <c r="J669" s="66"/>
      <c r="K669" s="66"/>
      <c r="L669" s="66"/>
      <c r="M669" s="66"/>
      <c r="N669" s="66"/>
      <c r="O669" s="66"/>
      <c r="P669" s="66"/>
      <c r="Q669" s="72"/>
      <c r="R669" s="66"/>
      <c r="S669" s="66"/>
      <c r="T669" s="66"/>
      <c r="U669" s="66"/>
      <c r="V669" s="66"/>
      <c r="W669" s="12"/>
    </row>
    <row r="670" spans="1:23" s="7" customFormat="1" ht="91.5" x14ac:dyDescent="0.7">
      <c r="A670" s="79"/>
      <c r="B670" s="94"/>
      <c r="C670" s="44" t="s">
        <v>3</v>
      </c>
      <c r="D670" s="17"/>
      <c r="E670" s="18"/>
      <c r="F670" s="18"/>
      <c r="G670" s="18"/>
      <c r="H670" s="18"/>
      <c r="I670" s="18"/>
      <c r="J670" s="67"/>
      <c r="K670" s="67"/>
      <c r="L670" s="67"/>
      <c r="M670" s="67"/>
      <c r="N670" s="67"/>
      <c r="O670" s="67"/>
      <c r="P670" s="67"/>
      <c r="Q670" s="73"/>
      <c r="R670" s="67"/>
      <c r="S670" s="67"/>
      <c r="T670" s="67"/>
      <c r="U670" s="67"/>
      <c r="V670" s="67"/>
      <c r="W670" s="12"/>
    </row>
    <row r="671" spans="1:23" s="7" customFormat="1" x14ac:dyDescent="0.7">
      <c r="A671" s="74" t="s">
        <v>16</v>
      </c>
      <c r="B671" s="75"/>
      <c r="C671" s="75"/>
      <c r="D671" s="75"/>
      <c r="E671" s="75"/>
      <c r="F671" s="75"/>
      <c r="G671" s="75"/>
      <c r="H671" s="75"/>
      <c r="I671" s="75"/>
      <c r="J671" s="75"/>
      <c r="K671" s="75"/>
      <c r="L671" s="75"/>
      <c r="M671" s="75"/>
      <c r="N671" s="75"/>
      <c r="O671" s="75"/>
      <c r="P671" s="75"/>
      <c r="Q671" s="75"/>
      <c r="R671" s="75"/>
      <c r="S671" s="75"/>
      <c r="T671" s="75"/>
      <c r="U671" s="75"/>
      <c r="V671" s="76"/>
      <c r="W671" s="12"/>
    </row>
    <row r="672" spans="1:23" s="7" customFormat="1" x14ac:dyDescent="0.7">
      <c r="A672" s="77"/>
      <c r="B672" s="89" t="s">
        <v>260</v>
      </c>
      <c r="C672" s="90"/>
      <c r="D672" s="90"/>
      <c r="E672" s="90"/>
      <c r="F672" s="90"/>
      <c r="G672" s="90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90"/>
      <c r="S672" s="90"/>
      <c r="T672" s="90"/>
      <c r="U672" s="90"/>
      <c r="V672" s="91"/>
      <c r="W672" s="12"/>
    </row>
    <row r="673" spans="1:23" s="7" customFormat="1" ht="61.5" customHeight="1" x14ac:dyDescent="0.7">
      <c r="A673" s="78"/>
      <c r="B673" s="92" t="s">
        <v>426</v>
      </c>
      <c r="C673" s="86" t="s">
        <v>512</v>
      </c>
      <c r="D673" s="87"/>
      <c r="E673" s="87"/>
      <c r="F673" s="87"/>
      <c r="G673" s="87"/>
      <c r="H673" s="88"/>
      <c r="I673" s="45"/>
      <c r="J673" s="65" t="s">
        <v>516</v>
      </c>
      <c r="K673" s="68"/>
      <c r="L673" s="68" t="s">
        <v>87</v>
      </c>
      <c r="M673" s="68" t="s">
        <v>513</v>
      </c>
      <c r="N673" s="68" t="s">
        <v>179</v>
      </c>
      <c r="O673" s="65" t="s">
        <v>625</v>
      </c>
      <c r="P673" s="68" t="s">
        <v>179</v>
      </c>
      <c r="Q673" s="71" t="s">
        <v>514</v>
      </c>
      <c r="R673" s="68" t="s">
        <v>11</v>
      </c>
      <c r="S673" s="68" t="s">
        <v>10</v>
      </c>
      <c r="T673" s="65" t="s">
        <v>7</v>
      </c>
      <c r="U673" s="68"/>
      <c r="V673" s="68" t="s">
        <v>515</v>
      </c>
      <c r="W673" s="12"/>
    </row>
    <row r="674" spans="1:23" s="7" customFormat="1" x14ac:dyDescent="0.7">
      <c r="A674" s="78"/>
      <c r="B674" s="93"/>
      <c r="C674" s="44" t="s">
        <v>5</v>
      </c>
      <c r="D674" s="17">
        <f>SUM(D675:D678)</f>
        <v>3057.1272399999998</v>
      </c>
      <c r="E674" s="18">
        <f>SUM(E675:E678)</f>
        <v>3057.1272399999998</v>
      </c>
      <c r="F674" s="18"/>
      <c r="G674" s="18"/>
      <c r="H674" s="18"/>
      <c r="I674" s="18"/>
      <c r="J674" s="66"/>
      <c r="K674" s="69"/>
      <c r="L674" s="69"/>
      <c r="M674" s="69"/>
      <c r="N674" s="69"/>
      <c r="O674" s="66"/>
      <c r="P674" s="69"/>
      <c r="Q674" s="72"/>
      <c r="R674" s="69"/>
      <c r="S674" s="69"/>
      <c r="T674" s="66"/>
      <c r="U674" s="69"/>
      <c r="V674" s="69"/>
      <c r="W674" s="12"/>
    </row>
    <row r="675" spans="1:23" s="7" customFormat="1" ht="91.5" x14ac:dyDescent="0.7">
      <c r="A675" s="78"/>
      <c r="B675" s="93"/>
      <c r="C675" s="44" t="s">
        <v>0</v>
      </c>
      <c r="D675" s="17"/>
      <c r="E675" s="18"/>
      <c r="F675" s="18"/>
      <c r="G675" s="18"/>
      <c r="H675" s="18"/>
      <c r="I675" s="18"/>
      <c r="J675" s="66"/>
      <c r="K675" s="69"/>
      <c r="L675" s="69"/>
      <c r="M675" s="69"/>
      <c r="N675" s="69"/>
      <c r="O675" s="66"/>
      <c r="P675" s="69"/>
      <c r="Q675" s="72"/>
      <c r="R675" s="69"/>
      <c r="S675" s="69"/>
      <c r="T675" s="66"/>
      <c r="U675" s="69"/>
      <c r="V675" s="69"/>
      <c r="W675" s="12"/>
    </row>
    <row r="676" spans="1:23" s="7" customFormat="1" ht="91.5" x14ac:dyDescent="0.7">
      <c r="A676" s="78"/>
      <c r="B676" s="93"/>
      <c r="C676" s="44" t="s">
        <v>1</v>
      </c>
      <c r="D676" s="17">
        <f>SUM(E676:H676)</f>
        <v>3057.1272399999998</v>
      </c>
      <c r="E676" s="18">
        <f>3200-142.87276</f>
        <v>3057.1272399999998</v>
      </c>
      <c r="F676" s="18"/>
      <c r="G676" s="18"/>
      <c r="H676" s="18"/>
      <c r="I676" s="18"/>
      <c r="J676" s="66"/>
      <c r="K676" s="69"/>
      <c r="L676" s="69"/>
      <c r="M676" s="69"/>
      <c r="N676" s="69"/>
      <c r="O676" s="66"/>
      <c r="P676" s="69"/>
      <c r="Q676" s="72"/>
      <c r="R676" s="69"/>
      <c r="S676" s="69"/>
      <c r="T676" s="66"/>
      <c r="U676" s="69"/>
      <c r="V676" s="69"/>
      <c r="W676" s="12"/>
    </row>
    <row r="677" spans="1:23" s="7" customFormat="1" ht="105" customHeight="1" x14ac:dyDescent="0.7">
      <c r="A677" s="78"/>
      <c r="B677" s="93"/>
      <c r="C677" s="44" t="s">
        <v>2</v>
      </c>
      <c r="D677" s="17"/>
      <c r="E677" s="18"/>
      <c r="F677" s="18"/>
      <c r="G677" s="18"/>
      <c r="H677" s="18"/>
      <c r="I677" s="18"/>
      <c r="J677" s="66"/>
      <c r="K677" s="69"/>
      <c r="L677" s="69"/>
      <c r="M677" s="69"/>
      <c r="N677" s="69"/>
      <c r="O677" s="66"/>
      <c r="P677" s="69"/>
      <c r="Q677" s="72"/>
      <c r="R677" s="69"/>
      <c r="S677" s="69"/>
      <c r="T677" s="66"/>
      <c r="U677" s="69"/>
      <c r="V677" s="69"/>
      <c r="W677" s="12"/>
    </row>
    <row r="678" spans="1:23" s="7" customFormat="1" ht="91.5" x14ac:dyDescent="0.7">
      <c r="A678" s="79"/>
      <c r="B678" s="94"/>
      <c r="C678" s="44" t="s">
        <v>3</v>
      </c>
      <c r="D678" s="17"/>
      <c r="E678" s="18"/>
      <c r="F678" s="18"/>
      <c r="G678" s="18"/>
      <c r="H678" s="18"/>
      <c r="I678" s="18"/>
      <c r="J678" s="67"/>
      <c r="K678" s="70"/>
      <c r="L678" s="70"/>
      <c r="M678" s="70"/>
      <c r="N678" s="70"/>
      <c r="O678" s="67"/>
      <c r="P678" s="70"/>
      <c r="Q678" s="73"/>
      <c r="R678" s="70"/>
      <c r="S678" s="70"/>
      <c r="T678" s="67"/>
      <c r="U678" s="70"/>
      <c r="V678" s="70"/>
      <c r="W678" s="12"/>
    </row>
    <row r="679" spans="1:23" s="7" customFormat="1" x14ac:dyDescent="0.7">
      <c r="A679" s="74" t="s">
        <v>625</v>
      </c>
      <c r="B679" s="75"/>
      <c r="C679" s="75"/>
      <c r="D679" s="75"/>
      <c r="E679" s="75"/>
      <c r="F679" s="75"/>
      <c r="G679" s="75"/>
      <c r="H679" s="75"/>
      <c r="I679" s="75"/>
      <c r="J679" s="75"/>
      <c r="K679" s="75"/>
      <c r="L679" s="75"/>
      <c r="M679" s="75"/>
      <c r="N679" s="75"/>
      <c r="O679" s="75"/>
      <c r="P679" s="75"/>
      <c r="Q679" s="75"/>
      <c r="R679" s="75"/>
      <c r="S679" s="75"/>
      <c r="T679" s="75"/>
      <c r="U679" s="75"/>
      <c r="V679" s="76"/>
      <c r="W679" s="12"/>
    </row>
    <row r="680" spans="1:23" s="7" customFormat="1" x14ac:dyDescent="0.7">
      <c r="A680" s="77"/>
      <c r="B680" s="89" t="s">
        <v>260</v>
      </c>
      <c r="C680" s="90"/>
      <c r="D680" s="90"/>
      <c r="E680" s="90"/>
      <c r="F680" s="90"/>
      <c r="G680" s="90"/>
      <c r="H680" s="90"/>
      <c r="I680" s="90"/>
      <c r="J680" s="90"/>
      <c r="K680" s="90"/>
      <c r="L680" s="90"/>
      <c r="M680" s="90"/>
      <c r="N680" s="90"/>
      <c r="O680" s="90"/>
      <c r="P680" s="90"/>
      <c r="Q680" s="90"/>
      <c r="R680" s="90"/>
      <c r="S680" s="90"/>
      <c r="T680" s="90"/>
      <c r="U680" s="90"/>
      <c r="V680" s="91"/>
      <c r="W680" s="12"/>
    </row>
    <row r="681" spans="1:23" s="7" customFormat="1" ht="105" customHeight="1" x14ac:dyDescent="0.7">
      <c r="A681" s="78"/>
      <c r="B681" s="92" t="s">
        <v>447</v>
      </c>
      <c r="C681" s="86" t="s">
        <v>545</v>
      </c>
      <c r="D681" s="87"/>
      <c r="E681" s="87"/>
      <c r="F681" s="87"/>
      <c r="G681" s="87"/>
      <c r="H681" s="88"/>
      <c r="I681" s="45"/>
      <c r="J681" s="65" t="s">
        <v>546</v>
      </c>
      <c r="K681" s="65" t="s">
        <v>547</v>
      </c>
      <c r="L681" s="65" t="s">
        <v>88</v>
      </c>
      <c r="M681" s="65" t="s">
        <v>548</v>
      </c>
      <c r="N681" s="65" t="s">
        <v>421</v>
      </c>
      <c r="O681" s="65" t="s">
        <v>625</v>
      </c>
      <c r="P681" s="65" t="s">
        <v>421</v>
      </c>
      <c r="Q681" s="71" t="s">
        <v>549</v>
      </c>
      <c r="R681" s="65" t="s">
        <v>11</v>
      </c>
      <c r="S681" s="65" t="s">
        <v>400</v>
      </c>
      <c r="T681" s="65" t="s">
        <v>7</v>
      </c>
      <c r="U681" s="65"/>
      <c r="V681" s="65" t="s">
        <v>550</v>
      </c>
      <c r="W681" s="12"/>
    </row>
    <row r="682" spans="1:23" s="7" customFormat="1" x14ac:dyDescent="0.7">
      <c r="A682" s="78"/>
      <c r="B682" s="93"/>
      <c r="C682" s="44" t="s">
        <v>5</v>
      </c>
      <c r="D682" s="17">
        <f>SUM(D683:D686)</f>
        <v>3116.4229999999998</v>
      </c>
      <c r="E682" s="18">
        <f>SUM(E683:E686)</f>
        <v>3116.4229999999998</v>
      </c>
      <c r="F682" s="18"/>
      <c r="G682" s="18"/>
      <c r="H682" s="18"/>
      <c r="I682" s="18"/>
      <c r="J682" s="66"/>
      <c r="K682" s="66"/>
      <c r="L682" s="66"/>
      <c r="M682" s="66"/>
      <c r="N682" s="66"/>
      <c r="O682" s="66"/>
      <c r="P682" s="66"/>
      <c r="Q682" s="72"/>
      <c r="R682" s="66"/>
      <c r="S682" s="66"/>
      <c r="T682" s="66"/>
      <c r="U682" s="66"/>
      <c r="V682" s="66"/>
      <c r="W682" s="12"/>
    </row>
    <row r="683" spans="1:23" s="7" customFormat="1" ht="91.5" x14ac:dyDescent="0.7">
      <c r="A683" s="78"/>
      <c r="B683" s="93"/>
      <c r="C683" s="44" t="s">
        <v>0</v>
      </c>
      <c r="D683" s="17"/>
      <c r="E683" s="18"/>
      <c r="F683" s="18"/>
      <c r="G683" s="18"/>
      <c r="H683" s="18"/>
      <c r="I683" s="18"/>
      <c r="J683" s="66"/>
      <c r="K683" s="66"/>
      <c r="L683" s="66"/>
      <c r="M683" s="66"/>
      <c r="N683" s="66"/>
      <c r="O683" s="66"/>
      <c r="P683" s="66"/>
      <c r="Q683" s="72"/>
      <c r="R683" s="66"/>
      <c r="S683" s="66"/>
      <c r="T683" s="66"/>
      <c r="U683" s="66"/>
      <c r="V683" s="66"/>
      <c r="W683" s="12"/>
    </row>
    <row r="684" spans="1:23" s="7" customFormat="1" ht="45.75" customHeight="1" x14ac:dyDescent="0.7">
      <c r="A684" s="78"/>
      <c r="B684" s="93"/>
      <c r="C684" s="44" t="s">
        <v>1</v>
      </c>
      <c r="D684" s="17">
        <f>SUM(E684:H684)</f>
        <v>3116.4229999999998</v>
      </c>
      <c r="E684" s="18">
        <f>3057.433+58.99</f>
        <v>3116.4229999999998</v>
      </c>
      <c r="F684" s="18"/>
      <c r="G684" s="18"/>
      <c r="H684" s="18"/>
      <c r="I684" s="18"/>
      <c r="J684" s="66"/>
      <c r="K684" s="66"/>
      <c r="L684" s="66"/>
      <c r="M684" s="66"/>
      <c r="N684" s="66"/>
      <c r="O684" s="66"/>
      <c r="P684" s="66"/>
      <c r="Q684" s="72"/>
      <c r="R684" s="66"/>
      <c r="S684" s="66"/>
      <c r="T684" s="66"/>
      <c r="U684" s="66"/>
      <c r="V684" s="66"/>
      <c r="W684" s="12"/>
    </row>
    <row r="685" spans="1:23" s="7" customFormat="1" ht="90" customHeight="1" x14ac:dyDescent="0.7">
      <c r="A685" s="78"/>
      <c r="B685" s="93"/>
      <c r="C685" s="44" t="s">
        <v>2</v>
      </c>
      <c r="D685" s="17"/>
      <c r="E685" s="18"/>
      <c r="F685" s="18"/>
      <c r="G685" s="18"/>
      <c r="H685" s="18"/>
      <c r="I685" s="18"/>
      <c r="J685" s="66"/>
      <c r="K685" s="66"/>
      <c r="L685" s="66"/>
      <c r="M685" s="66"/>
      <c r="N685" s="66"/>
      <c r="O685" s="66"/>
      <c r="P685" s="66"/>
      <c r="Q685" s="72"/>
      <c r="R685" s="66"/>
      <c r="S685" s="66"/>
      <c r="T685" s="66"/>
      <c r="U685" s="66"/>
      <c r="V685" s="66"/>
      <c r="W685" s="12"/>
    </row>
    <row r="686" spans="1:23" s="7" customFormat="1" ht="91.5" x14ac:dyDescent="0.7">
      <c r="A686" s="79"/>
      <c r="B686" s="94"/>
      <c r="C686" s="44" t="s">
        <v>3</v>
      </c>
      <c r="D686" s="17"/>
      <c r="E686" s="18"/>
      <c r="F686" s="18"/>
      <c r="G686" s="18"/>
      <c r="H686" s="18"/>
      <c r="I686" s="18"/>
      <c r="J686" s="67"/>
      <c r="K686" s="67"/>
      <c r="L686" s="67"/>
      <c r="M686" s="67"/>
      <c r="N686" s="67"/>
      <c r="O686" s="67"/>
      <c r="P686" s="67"/>
      <c r="Q686" s="73"/>
      <c r="R686" s="67"/>
      <c r="S686" s="67"/>
      <c r="T686" s="67"/>
      <c r="U686" s="67"/>
      <c r="V686" s="67"/>
      <c r="W686" s="12"/>
    </row>
    <row r="687" spans="1:23" s="7" customFormat="1" x14ac:dyDescent="0.7">
      <c r="A687" s="74" t="s">
        <v>625</v>
      </c>
      <c r="B687" s="75"/>
      <c r="C687" s="75"/>
      <c r="D687" s="75"/>
      <c r="E687" s="75"/>
      <c r="F687" s="75"/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  <c r="V687" s="76"/>
      <c r="W687" s="12"/>
    </row>
    <row r="688" spans="1:23" s="7" customFormat="1" x14ac:dyDescent="0.7">
      <c r="A688" s="77"/>
      <c r="B688" s="89" t="s">
        <v>260</v>
      </c>
      <c r="C688" s="90"/>
      <c r="D688" s="90"/>
      <c r="E688" s="90"/>
      <c r="F688" s="90"/>
      <c r="G688" s="90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  <c r="S688" s="90"/>
      <c r="T688" s="90"/>
      <c r="U688" s="90"/>
      <c r="V688" s="91"/>
      <c r="W688" s="12"/>
    </row>
    <row r="689" spans="1:23" s="7" customFormat="1" ht="196.5" customHeight="1" x14ac:dyDescent="0.7">
      <c r="A689" s="78"/>
      <c r="B689" s="92" t="s">
        <v>511</v>
      </c>
      <c r="C689" s="86" t="s">
        <v>636</v>
      </c>
      <c r="D689" s="87"/>
      <c r="E689" s="87"/>
      <c r="F689" s="87"/>
      <c r="G689" s="87"/>
      <c r="H689" s="88"/>
      <c r="I689" s="45"/>
      <c r="J689" s="65"/>
      <c r="K689" s="65" t="s">
        <v>613</v>
      </c>
      <c r="L689" s="68" t="s">
        <v>87</v>
      </c>
      <c r="M689" s="65" t="s">
        <v>594</v>
      </c>
      <c r="N689" s="65" t="s">
        <v>625</v>
      </c>
      <c r="O689" s="65" t="s">
        <v>625</v>
      </c>
      <c r="P689" s="65" t="s">
        <v>625</v>
      </c>
      <c r="Q689" s="71" t="s">
        <v>595</v>
      </c>
      <c r="R689" s="65" t="s">
        <v>11</v>
      </c>
      <c r="S689" s="65" t="s">
        <v>10</v>
      </c>
      <c r="T689" s="65" t="s">
        <v>7</v>
      </c>
      <c r="U689" s="65"/>
      <c r="V689" s="65"/>
      <c r="W689" s="12"/>
    </row>
    <row r="690" spans="1:23" s="7" customFormat="1" x14ac:dyDescent="0.7">
      <c r="A690" s="78"/>
      <c r="B690" s="93"/>
      <c r="C690" s="44" t="s">
        <v>5</v>
      </c>
      <c r="D690" s="17">
        <f>SUM(D691:D694)</f>
        <v>1524.0596</v>
      </c>
      <c r="E690" s="18">
        <f>SUM(E691:E694)</f>
        <v>1524.0596</v>
      </c>
      <c r="F690" s="18"/>
      <c r="G690" s="18"/>
      <c r="H690" s="18"/>
      <c r="I690" s="18"/>
      <c r="J690" s="66"/>
      <c r="K690" s="66"/>
      <c r="L690" s="69"/>
      <c r="M690" s="66"/>
      <c r="N690" s="66"/>
      <c r="O690" s="66"/>
      <c r="P690" s="66"/>
      <c r="Q690" s="72"/>
      <c r="R690" s="66"/>
      <c r="S690" s="66"/>
      <c r="T690" s="66"/>
      <c r="U690" s="66"/>
      <c r="V690" s="66"/>
      <c r="W690" s="12"/>
    </row>
    <row r="691" spans="1:23" s="7" customFormat="1" ht="91.5" x14ac:dyDescent="0.7">
      <c r="A691" s="78"/>
      <c r="B691" s="93"/>
      <c r="C691" s="44" t="s">
        <v>0</v>
      </c>
      <c r="D691" s="17"/>
      <c r="E691" s="18"/>
      <c r="F691" s="18"/>
      <c r="G691" s="18"/>
      <c r="H691" s="18"/>
      <c r="I691" s="18"/>
      <c r="J691" s="66"/>
      <c r="K691" s="66"/>
      <c r="L691" s="69"/>
      <c r="M691" s="66"/>
      <c r="N691" s="66"/>
      <c r="O691" s="66"/>
      <c r="P691" s="66"/>
      <c r="Q691" s="72"/>
      <c r="R691" s="66"/>
      <c r="S691" s="66"/>
      <c r="T691" s="66"/>
      <c r="U691" s="66"/>
      <c r="V691" s="66"/>
      <c r="W691" s="12"/>
    </row>
    <row r="692" spans="1:23" s="7" customFormat="1" ht="45.75" customHeight="1" x14ac:dyDescent="0.7">
      <c r="A692" s="78"/>
      <c r="B692" s="93"/>
      <c r="C692" s="44" t="s">
        <v>1</v>
      </c>
      <c r="D692" s="17">
        <f>SUM(E692:H692)</f>
        <v>1524.0596</v>
      </c>
      <c r="E692" s="18">
        <f>1524.0296+0.03</f>
        <v>1524.0596</v>
      </c>
      <c r="F692" s="18"/>
      <c r="G692" s="18"/>
      <c r="H692" s="18"/>
      <c r="I692" s="18"/>
      <c r="J692" s="66"/>
      <c r="K692" s="66"/>
      <c r="L692" s="69"/>
      <c r="M692" s="66"/>
      <c r="N692" s="66"/>
      <c r="O692" s="66"/>
      <c r="P692" s="66"/>
      <c r="Q692" s="72"/>
      <c r="R692" s="66"/>
      <c r="S692" s="66"/>
      <c r="T692" s="66"/>
      <c r="U692" s="66"/>
      <c r="V692" s="66"/>
      <c r="W692" s="12"/>
    </row>
    <row r="693" spans="1:23" s="7" customFormat="1" ht="93.75" customHeight="1" x14ac:dyDescent="0.7">
      <c r="A693" s="78"/>
      <c r="B693" s="93"/>
      <c r="C693" s="44" t="s">
        <v>2</v>
      </c>
      <c r="D693" s="17"/>
      <c r="E693" s="18"/>
      <c r="F693" s="18"/>
      <c r="G693" s="18"/>
      <c r="H693" s="18"/>
      <c r="I693" s="18"/>
      <c r="J693" s="66"/>
      <c r="K693" s="66"/>
      <c r="L693" s="69"/>
      <c r="M693" s="66"/>
      <c r="N693" s="66"/>
      <c r="O693" s="66"/>
      <c r="P693" s="66"/>
      <c r="Q693" s="72"/>
      <c r="R693" s="66"/>
      <c r="S693" s="66"/>
      <c r="T693" s="66"/>
      <c r="U693" s="66"/>
      <c r="V693" s="66"/>
      <c r="W693" s="12"/>
    </row>
    <row r="694" spans="1:23" s="7" customFormat="1" ht="91.5" x14ac:dyDescent="0.7">
      <c r="A694" s="79"/>
      <c r="B694" s="94"/>
      <c r="C694" s="44" t="s">
        <v>3</v>
      </c>
      <c r="D694" s="17"/>
      <c r="E694" s="18"/>
      <c r="F694" s="18"/>
      <c r="G694" s="18"/>
      <c r="H694" s="18"/>
      <c r="I694" s="18"/>
      <c r="J694" s="67"/>
      <c r="K694" s="67"/>
      <c r="L694" s="70"/>
      <c r="M694" s="67"/>
      <c r="N694" s="67"/>
      <c r="O694" s="67"/>
      <c r="P694" s="67"/>
      <c r="Q694" s="73"/>
      <c r="R694" s="67"/>
      <c r="S694" s="67"/>
      <c r="T694" s="67"/>
      <c r="U694" s="67"/>
      <c r="V694" s="67"/>
      <c r="W694" s="12"/>
    </row>
    <row r="695" spans="1:23" s="7" customFormat="1" x14ac:dyDescent="0.7">
      <c r="A695" s="74" t="s">
        <v>625</v>
      </c>
      <c r="B695" s="75"/>
      <c r="C695" s="75"/>
      <c r="D695" s="75"/>
      <c r="E695" s="75"/>
      <c r="F695" s="75"/>
      <c r="G695" s="75"/>
      <c r="H695" s="75"/>
      <c r="I695" s="75"/>
      <c r="J695" s="75"/>
      <c r="K695" s="75"/>
      <c r="L695" s="75"/>
      <c r="M695" s="75"/>
      <c r="N695" s="75"/>
      <c r="O695" s="75"/>
      <c r="P695" s="75"/>
      <c r="Q695" s="75"/>
      <c r="R695" s="75"/>
      <c r="S695" s="75"/>
      <c r="T695" s="75"/>
      <c r="U695" s="75"/>
      <c r="V695" s="76"/>
      <c r="W695" s="12"/>
    </row>
    <row r="696" spans="1:23" s="7" customFormat="1" ht="61.5" customHeight="1" x14ac:dyDescent="0.7">
      <c r="A696" s="77"/>
      <c r="B696" s="89" t="s">
        <v>260</v>
      </c>
      <c r="C696" s="90"/>
      <c r="D696" s="90"/>
      <c r="E696" s="90"/>
      <c r="F696" s="90"/>
      <c r="G696" s="90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90"/>
      <c r="U696" s="90"/>
      <c r="V696" s="91"/>
      <c r="W696" s="12"/>
    </row>
    <row r="697" spans="1:23" s="7" customFormat="1" ht="199.5" customHeight="1" x14ac:dyDescent="0.7">
      <c r="A697" s="78"/>
      <c r="B697" s="92" t="s">
        <v>624</v>
      </c>
      <c r="C697" s="86" t="s">
        <v>637</v>
      </c>
      <c r="D697" s="87"/>
      <c r="E697" s="87"/>
      <c r="F697" s="87"/>
      <c r="G697" s="87"/>
      <c r="H697" s="88"/>
      <c r="I697" s="45"/>
      <c r="J697" s="65" t="s">
        <v>74</v>
      </c>
      <c r="K697" s="65" t="s">
        <v>73</v>
      </c>
      <c r="L697" s="68" t="s">
        <v>87</v>
      </c>
      <c r="M697" s="65" t="s">
        <v>593</v>
      </c>
      <c r="N697" s="65" t="s">
        <v>625</v>
      </c>
      <c r="O697" s="65" t="s">
        <v>625</v>
      </c>
      <c r="P697" s="65" t="s">
        <v>625</v>
      </c>
      <c r="Q697" s="71" t="s">
        <v>596</v>
      </c>
      <c r="R697" s="65" t="s">
        <v>11</v>
      </c>
      <c r="S697" s="65" t="s">
        <v>10</v>
      </c>
      <c r="T697" s="65" t="s">
        <v>7</v>
      </c>
      <c r="U697" s="65"/>
      <c r="V697" s="65"/>
      <c r="W697" s="12"/>
    </row>
    <row r="698" spans="1:23" s="7" customFormat="1" x14ac:dyDescent="0.7">
      <c r="A698" s="78"/>
      <c r="B698" s="93"/>
      <c r="C698" s="44" t="s">
        <v>5</v>
      </c>
      <c r="D698" s="17">
        <f>SUM(D699:D702)</f>
        <v>108.86199999999999</v>
      </c>
      <c r="E698" s="18">
        <f>SUM(E699:E702)</f>
        <v>108.86199999999999</v>
      </c>
      <c r="F698" s="18"/>
      <c r="G698" s="18"/>
      <c r="H698" s="18"/>
      <c r="I698" s="18"/>
      <c r="J698" s="66"/>
      <c r="K698" s="66"/>
      <c r="L698" s="69"/>
      <c r="M698" s="66"/>
      <c r="N698" s="66"/>
      <c r="O698" s="66"/>
      <c r="P698" s="66"/>
      <c r="Q698" s="72"/>
      <c r="R698" s="66"/>
      <c r="S698" s="66"/>
      <c r="T698" s="66"/>
      <c r="U698" s="66"/>
      <c r="V698" s="66"/>
      <c r="W698" s="12"/>
    </row>
    <row r="699" spans="1:23" s="7" customFormat="1" ht="91.5" x14ac:dyDescent="0.7">
      <c r="A699" s="78"/>
      <c r="B699" s="93"/>
      <c r="C699" s="44" t="s">
        <v>0</v>
      </c>
      <c r="D699" s="17"/>
      <c r="E699" s="18"/>
      <c r="F699" s="18"/>
      <c r="G699" s="18"/>
      <c r="H699" s="18"/>
      <c r="I699" s="18"/>
      <c r="J699" s="66"/>
      <c r="K699" s="66"/>
      <c r="L699" s="69"/>
      <c r="M699" s="66"/>
      <c r="N699" s="66"/>
      <c r="O699" s="66"/>
      <c r="P699" s="66"/>
      <c r="Q699" s="72"/>
      <c r="R699" s="66"/>
      <c r="S699" s="66"/>
      <c r="T699" s="66"/>
      <c r="U699" s="66"/>
      <c r="V699" s="66"/>
      <c r="W699" s="12"/>
    </row>
    <row r="700" spans="1:23" s="7" customFormat="1" ht="45.75" customHeight="1" x14ac:dyDescent="0.7">
      <c r="A700" s="78"/>
      <c r="B700" s="93"/>
      <c r="C700" s="44" t="s">
        <v>1</v>
      </c>
      <c r="D700" s="17">
        <f>SUM(E700:H700)</f>
        <v>108.86199999999999</v>
      </c>
      <c r="E700" s="18">
        <f>120+8.862-20</f>
        <v>108.86199999999999</v>
      </c>
      <c r="F700" s="18"/>
      <c r="G700" s="18"/>
      <c r="H700" s="18"/>
      <c r="I700" s="18"/>
      <c r="J700" s="66"/>
      <c r="K700" s="66"/>
      <c r="L700" s="69"/>
      <c r="M700" s="66"/>
      <c r="N700" s="66"/>
      <c r="O700" s="66"/>
      <c r="P700" s="66"/>
      <c r="Q700" s="72"/>
      <c r="R700" s="66"/>
      <c r="S700" s="66"/>
      <c r="T700" s="66"/>
      <c r="U700" s="66"/>
      <c r="V700" s="66"/>
      <c r="W700" s="12"/>
    </row>
    <row r="701" spans="1:23" s="7" customFormat="1" ht="95.25" customHeight="1" x14ac:dyDescent="0.7">
      <c r="A701" s="78"/>
      <c r="B701" s="93"/>
      <c r="C701" s="44" t="s">
        <v>2</v>
      </c>
      <c r="D701" s="17"/>
      <c r="E701" s="18"/>
      <c r="F701" s="18"/>
      <c r="G701" s="18"/>
      <c r="H701" s="18"/>
      <c r="I701" s="18"/>
      <c r="J701" s="66"/>
      <c r="K701" s="66"/>
      <c r="L701" s="69"/>
      <c r="M701" s="66"/>
      <c r="N701" s="66"/>
      <c r="O701" s="66"/>
      <c r="P701" s="66"/>
      <c r="Q701" s="72"/>
      <c r="R701" s="66"/>
      <c r="S701" s="66"/>
      <c r="T701" s="66"/>
      <c r="U701" s="66"/>
      <c r="V701" s="66"/>
      <c r="W701" s="12"/>
    </row>
    <row r="702" spans="1:23" s="7" customFormat="1" ht="91.5" x14ac:dyDescent="0.7">
      <c r="A702" s="79"/>
      <c r="B702" s="94"/>
      <c r="C702" s="44" t="s">
        <v>3</v>
      </c>
      <c r="D702" s="17"/>
      <c r="E702" s="18"/>
      <c r="F702" s="18"/>
      <c r="G702" s="18"/>
      <c r="H702" s="18"/>
      <c r="I702" s="18"/>
      <c r="J702" s="67"/>
      <c r="K702" s="67"/>
      <c r="L702" s="70"/>
      <c r="M702" s="67"/>
      <c r="N702" s="67"/>
      <c r="O702" s="67"/>
      <c r="P702" s="67"/>
      <c r="Q702" s="73"/>
      <c r="R702" s="67"/>
      <c r="S702" s="67"/>
      <c r="T702" s="67"/>
      <c r="U702" s="67"/>
      <c r="V702" s="67"/>
      <c r="W702" s="12"/>
    </row>
    <row r="703" spans="1:23" s="7" customFormat="1" x14ac:dyDescent="0.7">
      <c r="A703" s="74" t="s">
        <v>16</v>
      </c>
      <c r="B703" s="75"/>
      <c r="C703" s="75"/>
      <c r="D703" s="75"/>
      <c r="E703" s="75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6"/>
      <c r="W703" s="12"/>
    </row>
    <row r="704" spans="1:23" s="7" customFormat="1" x14ac:dyDescent="0.7">
      <c r="A704" s="77"/>
      <c r="B704" s="89" t="s">
        <v>260</v>
      </c>
      <c r="C704" s="90"/>
      <c r="D704" s="90"/>
      <c r="E704" s="90"/>
      <c r="F704" s="90"/>
      <c r="G704" s="90"/>
      <c r="H704" s="90"/>
      <c r="I704" s="90"/>
      <c r="J704" s="90"/>
      <c r="K704" s="90"/>
      <c r="L704" s="90"/>
      <c r="M704" s="90"/>
      <c r="N704" s="90"/>
      <c r="O704" s="90"/>
      <c r="P704" s="90"/>
      <c r="Q704" s="90"/>
      <c r="R704" s="90"/>
      <c r="S704" s="90"/>
      <c r="T704" s="90"/>
      <c r="U704" s="90"/>
      <c r="V704" s="91"/>
      <c r="W704" s="12"/>
    </row>
    <row r="705" spans="1:23" s="7" customFormat="1" ht="107.25" customHeight="1" x14ac:dyDescent="0.7">
      <c r="A705" s="78"/>
      <c r="B705" s="92" t="s">
        <v>639</v>
      </c>
      <c r="C705" s="86" t="s">
        <v>698</v>
      </c>
      <c r="D705" s="87"/>
      <c r="E705" s="87"/>
      <c r="F705" s="87"/>
      <c r="G705" s="87"/>
      <c r="H705" s="88"/>
      <c r="I705" s="45"/>
      <c r="J705" s="65"/>
      <c r="K705" s="65" t="s">
        <v>74</v>
      </c>
      <c r="L705" s="68" t="s">
        <v>87</v>
      </c>
      <c r="M705" s="65" t="s">
        <v>408</v>
      </c>
      <c r="N705" s="68" t="s">
        <v>179</v>
      </c>
      <c r="O705" s="65" t="s">
        <v>625</v>
      </c>
      <c r="P705" s="68" t="s">
        <v>179</v>
      </c>
      <c r="Q705" s="71" t="s">
        <v>640</v>
      </c>
      <c r="R705" s="65" t="s">
        <v>11</v>
      </c>
      <c r="S705" s="65" t="s">
        <v>400</v>
      </c>
      <c r="T705" s="65" t="s">
        <v>208</v>
      </c>
      <c r="U705" s="65"/>
      <c r="V705" s="65"/>
      <c r="W705" s="12"/>
    </row>
    <row r="706" spans="1:23" s="7" customFormat="1" x14ac:dyDescent="0.7">
      <c r="A706" s="78"/>
      <c r="B706" s="93"/>
      <c r="C706" s="44" t="s">
        <v>5</v>
      </c>
      <c r="D706" s="17">
        <f>SUM(D707:D710)</f>
        <v>15000</v>
      </c>
      <c r="E706" s="18"/>
      <c r="F706" s="18">
        <f>SUM(F707:F710)</f>
        <v>15000</v>
      </c>
      <c r="G706" s="18"/>
      <c r="H706" s="18"/>
      <c r="I706" s="18"/>
      <c r="J706" s="66"/>
      <c r="K706" s="66"/>
      <c r="L706" s="69"/>
      <c r="M706" s="66"/>
      <c r="N706" s="69"/>
      <c r="O706" s="66"/>
      <c r="P706" s="69"/>
      <c r="Q706" s="72"/>
      <c r="R706" s="66"/>
      <c r="S706" s="66"/>
      <c r="T706" s="66"/>
      <c r="U706" s="66"/>
      <c r="V706" s="66"/>
      <c r="W706" s="12"/>
    </row>
    <row r="707" spans="1:23" s="7" customFormat="1" ht="91.5" x14ac:dyDescent="0.7">
      <c r="A707" s="78"/>
      <c r="B707" s="93"/>
      <c r="C707" s="44" t="s">
        <v>0</v>
      </c>
      <c r="D707" s="17"/>
      <c r="E707" s="18"/>
      <c r="F707" s="18"/>
      <c r="G707" s="18"/>
      <c r="H707" s="18"/>
      <c r="I707" s="18"/>
      <c r="J707" s="66"/>
      <c r="K707" s="66"/>
      <c r="L707" s="69"/>
      <c r="M707" s="66"/>
      <c r="N707" s="69"/>
      <c r="O707" s="66"/>
      <c r="P707" s="69"/>
      <c r="Q707" s="72"/>
      <c r="R707" s="66"/>
      <c r="S707" s="66"/>
      <c r="T707" s="66"/>
      <c r="U707" s="66"/>
      <c r="V707" s="66"/>
      <c r="W707" s="12"/>
    </row>
    <row r="708" spans="1:23" s="7" customFormat="1" ht="45.75" customHeight="1" x14ac:dyDescent="0.7">
      <c r="A708" s="78"/>
      <c r="B708" s="93"/>
      <c r="C708" s="44" t="s">
        <v>1</v>
      </c>
      <c r="D708" s="17">
        <f>SUM(E708:H708)</f>
        <v>15000</v>
      </c>
      <c r="E708" s="18"/>
      <c r="F708" s="18">
        <v>15000</v>
      </c>
      <c r="G708" s="18"/>
      <c r="H708" s="18"/>
      <c r="I708" s="18"/>
      <c r="J708" s="66"/>
      <c r="K708" s="66"/>
      <c r="L708" s="69"/>
      <c r="M708" s="66"/>
      <c r="N708" s="69"/>
      <c r="O708" s="66"/>
      <c r="P708" s="69"/>
      <c r="Q708" s="72"/>
      <c r="R708" s="66"/>
      <c r="S708" s="66"/>
      <c r="T708" s="66"/>
      <c r="U708" s="66"/>
      <c r="V708" s="66"/>
      <c r="W708" s="12"/>
    </row>
    <row r="709" spans="1:23" s="7" customFormat="1" ht="97.5" customHeight="1" x14ac:dyDescent="0.7">
      <c r="A709" s="78"/>
      <c r="B709" s="93"/>
      <c r="C709" s="44" t="s">
        <v>2</v>
      </c>
      <c r="D709" s="17"/>
      <c r="E709" s="18"/>
      <c r="F709" s="18"/>
      <c r="G709" s="18"/>
      <c r="H709" s="18"/>
      <c r="I709" s="18"/>
      <c r="J709" s="66"/>
      <c r="K709" s="66"/>
      <c r="L709" s="69"/>
      <c r="M709" s="66"/>
      <c r="N709" s="69"/>
      <c r="O709" s="66"/>
      <c r="P709" s="69"/>
      <c r="Q709" s="72"/>
      <c r="R709" s="66"/>
      <c r="S709" s="66"/>
      <c r="T709" s="66"/>
      <c r="U709" s="66"/>
      <c r="V709" s="66"/>
      <c r="W709" s="12"/>
    </row>
    <row r="710" spans="1:23" s="7" customFormat="1" ht="91.5" x14ac:dyDescent="0.7">
      <c r="A710" s="79"/>
      <c r="B710" s="94"/>
      <c r="C710" s="44" t="s">
        <v>3</v>
      </c>
      <c r="D710" s="17"/>
      <c r="E710" s="18"/>
      <c r="F710" s="18"/>
      <c r="G710" s="18"/>
      <c r="H710" s="18"/>
      <c r="I710" s="18"/>
      <c r="J710" s="67"/>
      <c r="K710" s="67"/>
      <c r="L710" s="70"/>
      <c r="M710" s="67"/>
      <c r="N710" s="70"/>
      <c r="O710" s="67"/>
      <c r="P710" s="70"/>
      <c r="Q710" s="73"/>
      <c r="R710" s="67"/>
      <c r="S710" s="67"/>
      <c r="T710" s="67"/>
      <c r="U710" s="67"/>
      <c r="V710" s="67"/>
      <c r="W710" s="12"/>
    </row>
    <row r="711" spans="1:23" s="7" customFormat="1" x14ac:dyDescent="0.7">
      <c r="A711" s="74" t="s">
        <v>16</v>
      </c>
      <c r="B711" s="75"/>
      <c r="C711" s="75"/>
      <c r="D711" s="75"/>
      <c r="E711" s="75"/>
      <c r="F711" s="75"/>
      <c r="G711" s="75"/>
      <c r="H711" s="75"/>
      <c r="I711" s="75"/>
      <c r="J711" s="75"/>
      <c r="K711" s="75"/>
      <c r="L711" s="75"/>
      <c r="M711" s="75"/>
      <c r="N711" s="75"/>
      <c r="O711" s="75"/>
      <c r="P711" s="75"/>
      <c r="Q711" s="75"/>
      <c r="R711" s="75"/>
      <c r="S711" s="75"/>
      <c r="T711" s="75"/>
      <c r="U711" s="75"/>
      <c r="V711" s="76"/>
      <c r="W711" s="12"/>
    </row>
    <row r="712" spans="1:23" s="7" customFormat="1" x14ac:dyDescent="0.7">
      <c r="A712" s="77"/>
      <c r="B712" s="89" t="s">
        <v>260</v>
      </c>
      <c r="C712" s="90"/>
      <c r="D712" s="90"/>
      <c r="E712" s="90"/>
      <c r="F712" s="90"/>
      <c r="G712" s="90"/>
      <c r="H712" s="90"/>
      <c r="I712" s="90"/>
      <c r="J712" s="90"/>
      <c r="K712" s="90"/>
      <c r="L712" s="90"/>
      <c r="M712" s="90"/>
      <c r="N712" s="90"/>
      <c r="O712" s="90"/>
      <c r="P712" s="90"/>
      <c r="Q712" s="90"/>
      <c r="R712" s="90"/>
      <c r="S712" s="90"/>
      <c r="T712" s="90"/>
      <c r="U712" s="90"/>
      <c r="V712" s="91"/>
      <c r="W712" s="12"/>
    </row>
    <row r="713" spans="1:23" s="7" customFormat="1" ht="177.75" customHeight="1" x14ac:dyDescent="0.7">
      <c r="A713" s="78"/>
      <c r="B713" s="92" t="s">
        <v>682</v>
      </c>
      <c r="C713" s="86" t="s">
        <v>683</v>
      </c>
      <c r="D713" s="87"/>
      <c r="E713" s="87"/>
      <c r="F713" s="87"/>
      <c r="G713" s="87"/>
      <c r="H713" s="88"/>
      <c r="I713" s="45"/>
      <c r="J713" s="65"/>
      <c r="K713" s="65"/>
      <c r="L713" s="65" t="s">
        <v>88</v>
      </c>
      <c r="M713" s="65" t="s">
        <v>684</v>
      </c>
      <c r="N713" s="65" t="s">
        <v>418</v>
      </c>
      <c r="O713" s="65" t="s">
        <v>625</v>
      </c>
      <c r="P713" s="65" t="s">
        <v>418</v>
      </c>
      <c r="Q713" s="71" t="s">
        <v>685</v>
      </c>
      <c r="R713" s="65" t="s">
        <v>11</v>
      </c>
      <c r="S713" s="65" t="s">
        <v>420</v>
      </c>
      <c r="T713" s="65" t="s">
        <v>7</v>
      </c>
      <c r="U713" s="65"/>
      <c r="V713" s="65" t="s">
        <v>686</v>
      </c>
      <c r="W713" s="12"/>
    </row>
    <row r="714" spans="1:23" s="7" customFormat="1" x14ac:dyDescent="0.7">
      <c r="A714" s="78"/>
      <c r="B714" s="93"/>
      <c r="C714" s="44" t="s">
        <v>5</v>
      </c>
      <c r="D714" s="17">
        <f>SUM(D715:D718)</f>
        <v>335.36649999999997</v>
      </c>
      <c r="E714" s="18">
        <f>SUM(E715:E718)</f>
        <v>335.36649999999997</v>
      </c>
      <c r="F714" s="18"/>
      <c r="G714" s="18"/>
      <c r="H714" s="18"/>
      <c r="I714" s="18"/>
      <c r="J714" s="66"/>
      <c r="K714" s="66"/>
      <c r="L714" s="66"/>
      <c r="M714" s="66"/>
      <c r="N714" s="66"/>
      <c r="O714" s="66"/>
      <c r="P714" s="66"/>
      <c r="Q714" s="72"/>
      <c r="R714" s="66"/>
      <c r="S714" s="66"/>
      <c r="T714" s="66"/>
      <c r="U714" s="66"/>
      <c r="V714" s="66"/>
      <c r="W714" s="12"/>
    </row>
    <row r="715" spans="1:23" s="7" customFormat="1" ht="91.5" x14ac:dyDescent="0.7">
      <c r="A715" s="78"/>
      <c r="B715" s="93"/>
      <c r="C715" s="44" t="s">
        <v>0</v>
      </c>
      <c r="D715" s="17"/>
      <c r="E715" s="18"/>
      <c r="F715" s="18"/>
      <c r="G715" s="18"/>
      <c r="H715" s="18"/>
      <c r="I715" s="18"/>
      <c r="J715" s="66"/>
      <c r="K715" s="66"/>
      <c r="L715" s="66"/>
      <c r="M715" s="66"/>
      <c r="N715" s="66"/>
      <c r="O715" s="66"/>
      <c r="P715" s="66"/>
      <c r="Q715" s="72"/>
      <c r="R715" s="66"/>
      <c r="S715" s="66"/>
      <c r="T715" s="66"/>
      <c r="U715" s="66"/>
      <c r="V715" s="66"/>
      <c r="W715" s="12"/>
    </row>
    <row r="716" spans="1:23" s="7" customFormat="1" ht="91.5" x14ac:dyDescent="0.7">
      <c r="A716" s="78"/>
      <c r="B716" s="93"/>
      <c r="C716" s="44" t="s">
        <v>1</v>
      </c>
      <c r="D716" s="17">
        <f>SUM(E716:H716)</f>
        <v>335.36649999999997</v>
      </c>
      <c r="E716" s="18">
        <v>335.36649999999997</v>
      </c>
      <c r="F716" s="18"/>
      <c r="G716" s="18"/>
      <c r="H716" s="18"/>
      <c r="I716" s="18"/>
      <c r="J716" s="66"/>
      <c r="K716" s="66"/>
      <c r="L716" s="66"/>
      <c r="M716" s="66"/>
      <c r="N716" s="66"/>
      <c r="O716" s="66"/>
      <c r="P716" s="66"/>
      <c r="Q716" s="72"/>
      <c r="R716" s="66"/>
      <c r="S716" s="66"/>
      <c r="T716" s="66"/>
      <c r="U716" s="66"/>
      <c r="V716" s="66"/>
      <c r="W716" s="12"/>
    </row>
    <row r="717" spans="1:23" s="7" customFormat="1" ht="91.5" x14ac:dyDescent="0.7">
      <c r="A717" s="78"/>
      <c r="B717" s="93"/>
      <c r="C717" s="44" t="s">
        <v>2</v>
      </c>
      <c r="D717" s="17"/>
      <c r="E717" s="18"/>
      <c r="F717" s="18"/>
      <c r="G717" s="18"/>
      <c r="H717" s="18"/>
      <c r="I717" s="18"/>
      <c r="J717" s="66"/>
      <c r="K717" s="66"/>
      <c r="L717" s="66"/>
      <c r="M717" s="66"/>
      <c r="N717" s="66"/>
      <c r="O717" s="66"/>
      <c r="P717" s="66"/>
      <c r="Q717" s="72"/>
      <c r="R717" s="66"/>
      <c r="S717" s="66"/>
      <c r="T717" s="66"/>
      <c r="U717" s="66"/>
      <c r="V717" s="66"/>
      <c r="W717" s="12"/>
    </row>
    <row r="718" spans="1:23" s="7" customFormat="1" ht="91.5" x14ac:dyDescent="0.7">
      <c r="A718" s="79"/>
      <c r="B718" s="94"/>
      <c r="C718" s="44" t="s">
        <v>3</v>
      </c>
      <c r="D718" s="17"/>
      <c r="E718" s="18"/>
      <c r="F718" s="18"/>
      <c r="G718" s="18"/>
      <c r="H718" s="18"/>
      <c r="I718" s="18"/>
      <c r="J718" s="67"/>
      <c r="K718" s="67"/>
      <c r="L718" s="67"/>
      <c r="M718" s="67"/>
      <c r="N718" s="67"/>
      <c r="O718" s="67"/>
      <c r="P718" s="67"/>
      <c r="Q718" s="73"/>
      <c r="R718" s="67"/>
      <c r="S718" s="67"/>
      <c r="T718" s="67"/>
      <c r="U718" s="67"/>
      <c r="V718" s="67"/>
      <c r="W718" s="12"/>
    </row>
    <row r="719" spans="1:23" s="7" customFormat="1" x14ac:dyDescent="0.7">
      <c r="A719" s="115" t="s">
        <v>61</v>
      </c>
      <c r="B719" s="118" t="s">
        <v>268</v>
      </c>
      <c r="C719" s="119"/>
      <c r="D719" s="119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20"/>
      <c r="W719" s="12"/>
    </row>
    <row r="720" spans="1:23" s="7" customFormat="1" x14ac:dyDescent="0.7">
      <c r="A720" s="116"/>
      <c r="B720" s="113" t="s">
        <v>5</v>
      </c>
      <c r="C720" s="114"/>
      <c r="D720" s="16">
        <f>SUM(D721:D724)</f>
        <v>26954.416055935933</v>
      </c>
      <c r="E720" s="16">
        <f>E728+E736</f>
        <v>26954.416055935933</v>
      </c>
      <c r="F720" s="16"/>
      <c r="G720" s="16"/>
      <c r="H720" s="16"/>
      <c r="I720" s="16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12"/>
    </row>
    <row r="721" spans="1:23" s="7" customFormat="1" ht="45.75" customHeight="1" x14ac:dyDescent="0.7">
      <c r="A721" s="116"/>
      <c r="B721" s="113" t="s">
        <v>0</v>
      </c>
      <c r="C721" s="114"/>
      <c r="D721" s="16"/>
      <c r="E721" s="16"/>
      <c r="F721" s="16"/>
      <c r="G721" s="16"/>
      <c r="H721" s="16"/>
      <c r="I721" s="16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12"/>
    </row>
    <row r="722" spans="1:23" s="7" customFormat="1" x14ac:dyDescent="0.7">
      <c r="A722" s="116"/>
      <c r="B722" s="113" t="s">
        <v>1</v>
      </c>
      <c r="C722" s="114"/>
      <c r="D722" s="16">
        <f>SUM(E722:H722)</f>
        <v>26927.464399999997</v>
      </c>
      <c r="E722" s="16">
        <f t="shared" ref="E722:E723" si="75">E730+E738</f>
        <v>26927.464399999997</v>
      </c>
      <c r="F722" s="16"/>
      <c r="G722" s="16"/>
      <c r="H722" s="16"/>
      <c r="I722" s="16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12"/>
    </row>
    <row r="723" spans="1:23" s="7" customFormat="1" x14ac:dyDescent="0.7">
      <c r="A723" s="116"/>
      <c r="B723" s="113" t="s">
        <v>2</v>
      </c>
      <c r="C723" s="114"/>
      <c r="D723" s="16">
        <f>SUM(E723:H723)</f>
        <v>26.951655935935936</v>
      </c>
      <c r="E723" s="16">
        <f t="shared" si="75"/>
        <v>26.951655935935936</v>
      </c>
      <c r="F723" s="16"/>
      <c r="G723" s="16"/>
      <c r="H723" s="16"/>
      <c r="I723" s="16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12"/>
    </row>
    <row r="724" spans="1:23" s="7" customFormat="1" ht="105.75" customHeight="1" x14ac:dyDescent="0.7">
      <c r="A724" s="117"/>
      <c r="B724" s="113" t="s">
        <v>3</v>
      </c>
      <c r="C724" s="114"/>
      <c r="D724" s="20"/>
      <c r="E724" s="16"/>
      <c r="F724" s="16"/>
      <c r="G724" s="16"/>
      <c r="H724" s="16"/>
      <c r="I724" s="16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12"/>
    </row>
    <row r="725" spans="1:23" s="7" customFormat="1" x14ac:dyDescent="0.7">
      <c r="A725" s="74" t="s">
        <v>337</v>
      </c>
      <c r="B725" s="75"/>
      <c r="C725" s="75"/>
      <c r="D725" s="75"/>
      <c r="E725" s="75"/>
      <c r="F725" s="75"/>
      <c r="G725" s="75"/>
      <c r="H725" s="75"/>
      <c r="I725" s="75"/>
      <c r="J725" s="75"/>
      <c r="K725" s="75"/>
      <c r="L725" s="75"/>
      <c r="M725" s="75"/>
      <c r="N725" s="75"/>
      <c r="O725" s="75"/>
      <c r="P725" s="75"/>
      <c r="Q725" s="75"/>
      <c r="R725" s="75"/>
      <c r="S725" s="75"/>
      <c r="T725" s="75"/>
      <c r="U725" s="75"/>
      <c r="V725" s="76"/>
      <c r="W725" s="12"/>
    </row>
    <row r="726" spans="1:23" s="7" customFormat="1" x14ac:dyDescent="0.7">
      <c r="A726" s="77"/>
      <c r="B726" s="89" t="s">
        <v>269</v>
      </c>
      <c r="C726" s="90"/>
      <c r="D726" s="90"/>
      <c r="E726" s="90"/>
      <c r="F726" s="90"/>
      <c r="G726" s="90"/>
      <c r="H726" s="90"/>
      <c r="I726" s="90"/>
      <c r="J726" s="90"/>
      <c r="K726" s="90"/>
      <c r="L726" s="90"/>
      <c r="M726" s="90"/>
      <c r="N726" s="90"/>
      <c r="O726" s="90"/>
      <c r="P726" s="90"/>
      <c r="Q726" s="90"/>
      <c r="R726" s="90"/>
      <c r="S726" s="90"/>
      <c r="T726" s="90"/>
      <c r="U726" s="90"/>
      <c r="V726" s="91"/>
      <c r="W726" s="12"/>
    </row>
    <row r="727" spans="1:23" s="7" customFormat="1" ht="331.5" customHeight="1" x14ac:dyDescent="0.7">
      <c r="A727" s="78"/>
      <c r="B727" s="92" t="s">
        <v>672</v>
      </c>
      <c r="C727" s="86" t="s">
        <v>635</v>
      </c>
      <c r="D727" s="87"/>
      <c r="E727" s="87"/>
      <c r="F727" s="87"/>
      <c r="G727" s="87"/>
      <c r="H727" s="88"/>
      <c r="I727" s="45"/>
      <c r="J727" s="65" t="s">
        <v>73</v>
      </c>
      <c r="K727" s="65"/>
      <c r="L727" s="65" t="s">
        <v>89</v>
      </c>
      <c r="M727" s="65" t="s">
        <v>523</v>
      </c>
      <c r="N727" s="65" t="s">
        <v>535</v>
      </c>
      <c r="O727" s="65" t="s">
        <v>535</v>
      </c>
      <c r="P727" s="65" t="s">
        <v>535</v>
      </c>
      <c r="Q727" s="71"/>
      <c r="R727" s="65" t="s">
        <v>9</v>
      </c>
      <c r="S727" s="65" t="s">
        <v>14</v>
      </c>
      <c r="T727" s="65" t="s">
        <v>19</v>
      </c>
      <c r="U727" s="65"/>
      <c r="V727" s="65" t="s">
        <v>355</v>
      </c>
      <c r="W727" s="12"/>
    </row>
    <row r="728" spans="1:23" s="7" customFormat="1" x14ac:dyDescent="0.7">
      <c r="A728" s="78"/>
      <c r="B728" s="93"/>
      <c r="C728" s="44" t="s">
        <v>5</v>
      </c>
      <c r="D728" s="17">
        <f t="shared" ref="D728" si="76">SUM(D729:D732)</f>
        <v>24195.935935935933</v>
      </c>
      <c r="E728" s="18">
        <f>SUM(E729:E732)</f>
        <v>24195.935935935933</v>
      </c>
      <c r="F728" s="18"/>
      <c r="G728" s="18"/>
      <c r="H728" s="18"/>
      <c r="I728" s="18"/>
      <c r="J728" s="66"/>
      <c r="K728" s="66"/>
      <c r="L728" s="66"/>
      <c r="M728" s="66"/>
      <c r="N728" s="66"/>
      <c r="O728" s="66"/>
      <c r="P728" s="66"/>
      <c r="Q728" s="72"/>
      <c r="R728" s="66"/>
      <c r="S728" s="66"/>
      <c r="T728" s="66"/>
      <c r="U728" s="66"/>
      <c r="V728" s="66"/>
      <c r="W728" s="12"/>
    </row>
    <row r="729" spans="1:23" s="7" customFormat="1" ht="52.5" customHeight="1" x14ac:dyDescent="0.7">
      <c r="A729" s="78"/>
      <c r="B729" s="93"/>
      <c r="C729" s="44" t="s">
        <v>0</v>
      </c>
      <c r="D729" s="17"/>
      <c r="E729" s="18"/>
      <c r="F729" s="18"/>
      <c r="G729" s="18"/>
      <c r="H729" s="18"/>
      <c r="I729" s="18"/>
      <c r="J729" s="66"/>
      <c r="K729" s="66"/>
      <c r="L729" s="66"/>
      <c r="M729" s="66"/>
      <c r="N729" s="66"/>
      <c r="O729" s="66"/>
      <c r="P729" s="66"/>
      <c r="Q729" s="72"/>
      <c r="R729" s="66"/>
      <c r="S729" s="66"/>
      <c r="T729" s="66"/>
      <c r="U729" s="66"/>
      <c r="V729" s="66"/>
      <c r="W729" s="12"/>
    </row>
    <row r="730" spans="1:23" s="7" customFormat="1" ht="91.5" x14ac:dyDescent="0.7">
      <c r="A730" s="78"/>
      <c r="B730" s="93"/>
      <c r="C730" s="44" t="s">
        <v>1</v>
      </c>
      <c r="D730" s="17">
        <f>SUM(E730:H730)</f>
        <v>24171.739999999998</v>
      </c>
      <c r="E730" s="18">
        <f>70000-40000-5828.26</f>
        <v>24171.739999999998</v>
      </c>
      <c r="F730" s="18"/>
      <c r="G730" s="18"/>
      <c r="H730" s="18"/>
      <c r="I730" s="18"/>
      <c r="J730" s="66"/>
      <c r="K730" s="66"/>
      <c r="L730" s="66"/>
      <c r="M730" s="66"/>
      <c r="N730" s="66"/>
      <c r="O730" s="66"/>
      <c r="P730" s="66"/>
      <c r="Q730" s="72"/>
      <c r="R730" s="66"/>
      <c r="S730" s="66"/>
      <c r="T730" s="66"/>
      <c r="U730" s="66"/>
      <c r="V730" s="66"/>
      <c r="W730" s="12"/>
    </row>
    <row r="731" spans="1:23" s="7" customFormat="1" ht="102.75" customHeight="1" x14ac:dyDescent="0.7">
      <c r="A731" s="78"/>
      <c r="B731" s="93"/>
      <c r="C731" s="44" t="s">
        <v>2</v>
      </c>
      <c r="D731" s="17">
        <f>SUM(E731:H731)</f>
        <v>24.195935935935935</v>
      </c>
      <c r="E731" s="18">
        <v>24.195935935935935</v>
      </c>
      <c r="F731" s="18"/>
      <c r="G731" s="18"/>
      <c r="H731" s="18"/>
      <c r="I731" s="18"/>
      <c r="J731" s="66"/>
      <c r="K731" s="66"/>
      <c r="L731" s="66"/>
      <c r="M731" s="66"/>
      <c r="N731" s="66"/>
      <c r="O731" s="66"/>
      <c r="P731" s="66"/>
      <c r="Q731" s="72"/>
      <c r="R731" s="66"/>
      <c r="S731" s="66"/>
      <c r="T731" s="66"/>
      <c r="U731" s="66"/>
      <c r="V731" s="66"/>
      <c r="W731" s="12"/>
    </row>
    <row r="732" spans="1:23" s="7" customFormat="1" ht="114" customHeight="1" x14ac:dyDescent="0.7">
      <c r="A732" s="79"/>
      <c r="B732" s="94"/>
      <c r="C732" s="44" t="s">
        <v>3</v>
      </c>
      <c r="D732" s="17"/>
      <c r="E732" s="18"/>
      <c r="F732" s="18"/>
      <c r="G732" s="18"/>
      <c r="H732" s="18"/>
      <c r="I732" s="18"/>
      <c r="J732" s="67"/>
      <c r="K732" s="67"/>
      <c r="L732" s="67"/>
      <c r="M732" s="67"/>
      <c r="N732" s="67"/>
      <c r="O732" s="67"/>
      <c r="P732" s="67"/>
      <c r="Q732" s="73"/>
      <c r="R732" s="67"/>
      <c r="S732" s="67"/>
      <c r="T732" s="67"/>
      <c r="U732" s="67"/>
      <c r="V732" s="67"/>
      <c r="W732" s="12"/>
    </row>
    <row r="733" spans="1:23" s="7" customFormat="1" x14ac:dyDescent="0.7">
      <c r="A733" s="74" t="s">
        <v>337</v>
      </c>
      <c r="B733" s="75"/>
      <c r="C733" s="75"/>
      <c r="D733" s="75"/>
      <c r="E733" s="75"/>
      <c r="F733" s="75"/>
      <c r="G733" s="75"/>
      <c r="H733" s="75"/>
      <c r="I733" s="75"/>
      <c r="J733" s="75"/>
      <c r="K733" s="75"/>
      <c r="L733" s="75"/>
      <c r="M733" s="75"/>
      <c r="N733" s="75"/>
      <c r="O733" s="75"/>
      <c r="P733" s="75"/>
      <c r="Q733" s="75"/>
      <c r="R733" s="75"/>
      <c r="S733" s="75"/>
      <c r="T733" s="75"/>
      <c r="U733" s="75"/>
      <c r="V733" s="76"/>
      <c r="W733" s="12"/>
    </row>
    <row r="734" spans="1:23" s="7" customFormat="1" x14ac:dyDescent="0.7">
      <c r="A734" s="77"/>
      <c r="B734" s="89" t="s">
        <v>269</v>
      </c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1"/>
      <c r="W734" s="12"/>
    </row>
    <row r="735" spans="1:23" s="7" customFormat="1" ht="106.5" customHeight="1" x14ac:dyDescent="0.7">
      <c r="A735" s="78"/>
      <c r="B735" s="92" t="s">
        <v>338</v>
      </c>
      <c r="C735" s="86" t="s">
        <v>524</v>
      </c>
      <c r="D735" s="87"/>
      <c r="E735" s="87"/>
      <c r="F735" s="87"/>
      <c r="G735" s="87"/>
      <c r="H735" s="88"/>
      <c r="I735" s="45"/>
      <c r="J735" s="65" t="s">
        <v>73</v>
      </c>
      <c r="K735" s="65" t="s">
        <v>73</v>
      </c>
      <c r="L735" s="65" t="s">
        <v>89</v>
      </c>
      <c r="M735" s="65"/>
      <c r="N735" s="65" t="s">
        <v>536</v>
      </c>
      <c r="O735" s="65" t="s">
        <v>536</v>
      </c>
      <c r="P735" s="65" t="s">
        <v>536</v>
      </c>
      <c r="Q735" s="71"/>
      <c r="R735" s="65" t="s">
        <v>9</v>
      </c>
      <c r="S735" s="65" t="s">
        <v>13</v>
      </c>
      <c r="T735" s="65" t="s">
        <v>118</v>
      </c>
      <c r="U735" s="65"/>
      <c r="V735" s="65"/>
      <c r="W735" s="12"/>
    </row>
    <row r="736" spans="1:23" s="7" customFormat="1" x14ac:dyDescent="0.7">
      <c r="A736" s="78"/>
      <c r="B736" s="93"/>
      <c r="C736" s="44" t="s">
        <v>5</v>
      </c>
      <c r="D736" s="17">
        <f t="shared" ref="D736" si="77">SUM(D737:D740)</f>
        <v>2758.4801200000002</v>
      </c>
      <c r="E736" s="18">
        <f>SUM(E737:E740)</f>
        <v>2758.4801200000002</v>
      </c>
      <c r="F736" s="18"/>
      <c r="G736" s="18"/>
      <c r="H736" s="18"/>
      <c r="I736" s="18"/>
      <c r="J736" s="66"/>
      <c r="K736" s="66"/>
      <c r="L736" s="66"/>
      <c r="M736" s="66"/>
      <c r="N736" s="66"/>
      <c r="O736" s="66"/>
      <c r="P736" s="66"/>
      <c r="Q736" s="72"/>
      <c r="R736" s="66"/>
      <c r="S736" s="66"/>
      <c r="T736" s="66"/>
      <c r="U736" s="66"/>
      <c r="V736" s="66"/>
      <c r="W736" s="12"/>
    </row>
    <row r="737" spans="1:23" s="7" customFormat="1" ht="46.5" customHeight="1" x14ac:dyDescent="0.7">
      <c r="A737" s="78"/>
      <c r="B737" s="93"/>
      <c r="C737" s="44" t="s">
        <v>0</v>
      </c>
      <c r="D737" s="17"/>
      <c r="E737" s="18"/>
      <c r="F737" s="18"/>
      <c r="G737" s="18"/>
      <c r="H737" s="18"/>
      <c r="I737" s="18"/>
      <c r="J737" s="66"/>
      <c r="K737" s="66"/>
      <c r="L737" s="66"/>
      <c r="M737" s="66"/>
      <c r="N737" s="66"/>
      <c r="O737" s="66"/>
      <c r="P737" s="66"/>
      <c r="Q737" s="72"/>
      <c r="R737" s="66"/>
      <c r="S737" s="66"/>
      <c r="T737" s="66"/>
      <c r="U737" s="66"/>
      <c r="V737" s="66"/>
      <c r="W737" s="12"/>
    </row>
    <row r="738" spans="1:23" s="7" customFormat="1" ht="91.5" x14ac:dyDescent="0.7">
      <c r="A738" s="78"/>
      <c r="B738" s="93"/>
      <c r="C738" s="44" t="s">
        <v>1</v>
      </c>
      <c r="D738" s="17">
        <f>SUM(E738:H738)</f>
        <v>2755.7244000000001</v>
      </c>
      <c r="E738" s="18">
        <f>8000-5244.2756</f>
        <v>2755.7244000000001</v>
      </c>
      <c r="F738" s="18"/>
      <c r="G738" s="18"/>
      <c r="H738" s="18"/>
      <c r="I738" s="18"/>
      <c r="J738" s="66"/>
      <c r="K738" s="66"/>
      <c r="L738" s="66"/>
      <c r="M738" s="66"/>
      <c r="N738" s="66"/>
      <c r="O738" s="66"/>
      <c r="P738" s="66"/>
      <c r="Q738" s="72"/>
      <c r="R738" s="66"/>
      <c r="S738" s="66"/>
      <c r="T738" s="66"/>
      <c r="U738" s="66"/>
      <c r="V738" s="66"/>
      <c r="W738" s="12"/>
    </row>
    <row r="739" spans="1:23" s="7" customFormat="1" ht="91.5" customHeight="1" x14ac:dyDescent="0.7">
      <c r="A739" s="78"/>
      <c r="B739" s="93"/>
      <c r="C739" s="44" t="s">
        <v>2</v>
      </c>
      <c r="D739" s="17">
        <f>SUM(E739:H739)</f>
        <v>2.7557200000000002</v>
      </c>
      <c r="E739" s="18">
        <v>2.7557200000000002</v>
      </c>
      <c r="F739" s="18"/>
      <c r="G739" s="18"/>
      <c r="H739" s="18"/>
      <c r="I739" s="18"/>
      <c r="J739" s="66"/>
      <c r="K739" s="66"/>
      <c r="L739" s="66"/>
      <c r="M739" s="66"/>
      <c r="N739" s="66"/>
      <c r="O739" s="66"/>
      <c r="P739" s="66"/>
      <c r="Q739" s="72"/>
      <c r="R739" s="66"/>
      <c r="S739" s="66"/>
      <c r="T739" s="66"/>
      <c r="U739" s="66"/>
      <c r="V739" s="66"/>
      <c r="W739" s="12"/>
    </row>
    <row r="740" spans="1:23" s="7" customFormat="1" ht="102.75" customHeight="1" x14ac:dyDescent="0.7">
      <c r="A740" s="79"/>
      <c r="B740" s="94"/>
      <c r="C740" s="44" t="s">
        <v>3</v>
      </c>
      <c r="D740" s="17"/>
      <c r="E740" s="18"/>
      <c r="F740" s="18"/>
      <c r="G740" s="18"/>
      <c r="H740" s="18"/>
      <c r="I740" s="18"/>
      <c r="J740" s="67"/>
      <c r="K740" s="67"/>
      <c r="L740" s="67"/>
      <c r="M740" s="67"/>
      <c r="N740" s="67"/>
      <c r="O740" s="67"/>
      <c r="P740" s="67"/>
      <c r="Q740" s="73"/>
      <c r="R740" s="67"/>
      <c r="S740" s="67"/>
      <c r="T740" s="67"/>
      <c r="U740" s="67"/>
      <c r="V740" s="67"/>
      <c r="W740" s="12"/>
    </row>
    <row r="741" spans="1:23" s="7" customFormat="1" ht="63.75" customHeight="1" x14ac:dyDescent="0.7">
      <c r="A741" s="115" t="s">
        <v>113</v>
      </c>
      <c r="B741" s="118" t="s">
        <v>270</v>
      </c>
      <c r="C741" s="119"/>
      <c r="D741" s="119"/>
      <c r="E741" s="119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20"/>
      <c r="W741" s="12"/>
    </row>
    <row r="742" spans="1:23" s="7" customFormat="1" x14ac:dyDescent="0.7">
      <c r="A742" s="116"/>
      <c r="B742" s="113" t="s">
        <v>5</v>
      </c>
      <c r="C742" s="114"/>
      <c r="D742" s="16">
        <f>SUM(D743:D746)</f>
        <v>3003469.4317162624</v>
      </c>
      <c r="E742" s="16">
        <f t="shared" ref="E742:G743" si="78">E750+E758+E766+E774+E782+E790+E798+E806+E814+E822+E830+E838+E846+E854+E862+E870+E878+E886+E894+E902+E910+E918+E926+E934+E942+E950+E958</f>
        <v>2222360.5367667675</v>
      </c>
      <c r="F742" s="16">
        <f t="shared" si="78"/>
        <v>254010.101010101</v>
      </c>
      <c r="G742" s="16">
        <f t="shared" si="78"/>
        <v>527098.79393939395</v>
      </c>
      <c r="H742" s="16"/>
      <c r="I742" s="16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12"/>
    </row>
    <row r="743" spans="1:23" s="7" customFormat="1" x14ac:dyDescent="0.7">
      <c r="A743" s="116"/>
      <c r="B743" s="113" t="s">
        <v>0</v>
      </c>
      <c r="C743" s="114"/>
      <c r="D743" s="16">
        <f>SUM(E743:H743)</f>
        <v>1075829.584</v>
      </c>
      <c r="E743" s="16">
        <f t="shared" si="78"/>
        <v>1075829.584</v>
      </c>
      <c r="F743" s="16"/>
      <c r="G743" s="16"/>
      <c r="H743" s="16"/>
      <c r="I743" s="16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12"/>
    </row>
    <row r="744" spans="1:23" s="7" customFormat="1" ht="61.5" customHeight="1" x14ac:dyDescent="0.7">
      <c r="A744" s="116"/>
      <c r="B744" s="113" t="s">
        <v>1</v>
      </c>
      <c r="C744" s="114"/>
      <c r="D744" s="16">
        <f>SUM(E744:H744)</f>
        <v>1905775.3616399998</v>
      </c>
      <c r="E744" s="16">
        <f>E752+E760+E768+E776+E784+E792+E800+E808+E816+E824+E832+E840+E848+E856+E864+E872+E880+E888+E896+E904+E912+E920+E928+E936+E944+E952+E960</f>
        <v>1137102.3716399998</v>
      </c>
      <c r="F744" s="16">
        <f t="shared" ref="F744:G745" si="79">F752+F760+F768+F776+F784+F792+F800+F808+F816+F824+F832+F840+F848+F856+F864+F872+F880+F888+F896+F904+F912+F920+F928+F936+F944+F952+F960</f>
        <v>250000</v>
      </c>
      <c r="G744" s="16">
        <f t="shared" si="79"/>
        <v>518672.99</v>
      </c>
      <c r="H744" s="16"/>
      <c r="I744" s="16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12"/>
    </row>
    <row r="745" spans="1:23" s="7" customFormat="1" ht="58.5" customHeight="1" x14ac:dyDescent="0.7">
      <c r="A745" s="116"/>
      <c r="B745" s="113" t="s">
        <v>2</v>
      </c>
      <c r="C745" s="114"/>
      <c r="D745" s="16">
        <f>SUM(E745:H745)</f>
        <v>21864.486076262641</v>
      </c>
      <c r="E745" s="16">
        <f>E753+E761+E769+E777+E785+E793+E801+E809+E817+E825+E833+E841+E849+E857+E865+E873+E881+E889+E897+E905+E913+E921+E929+E937+E945+E953+E961</f>
        <v>9428.5811267676763</v>
      </c>
      <c r="F745" s="16">
        <f t="shared" si="79"/>
        <v>4010.1010101010033</v>
      </c>
      <c r="G745" s="16">
        <f t="shared" si="79"/>
        <v>8425.8039393939598</v>
      </c>
      <c r="H745" s="16"/>
      <c r="I745" s="16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12"/>
    </row>
    <row r="746" spans="1:23" s="7" customFormat="1" ht="102.75" customHeight="1" x14ac:dyDescent="0.7">
      <c r="A746" s="117"/>
      <c r="B746" s="113" t="s">
        <v>3</v>
      </c>
      <c r="C746" s="114"/>
      <c r="D746" s="16"/>
      <c r="E746" s="16"/>
      <c r="F746" s="16"/>
      <c r="G746" s="16"/>
      <c r="H746" s="16"/>
      <c r="I746" s="16"/>
      <c r="J746" s="56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12"/>
    </row>
    <row r="747" spans="1:23" s="7" customFormat="1" x14ac:dyDescent="0.7">
      <c r="A747" s="74" t="s">
        <v>20</v>
      </c>
      <c r="B747" s="75"/>
      <c r="C747" s="75"/>
      <c r="D747" s="75"/>
      <c r="E747" s="75"/>
      <c r="F747" s="75"/>
      <c r="G747" s="75"/>
      <c r="H747" s="75"/>
      <c r="I747" s="75"/>
      <c r="J747" s="75"/>
      <c r="K747" s="75"/>
      <c r="L747" s="75"/>
      <c r="M747" s="75"/>
      <c r="N747" s="75"/>
      <c r="O747" s="75"/>
      <c r="P747" s="75"/>
      <c r="Q747" s="75"/>
      <c r="R747" s="75"/>
      <c r="S747" s="75"/>
      <c r="T747" s="75"/>
      <c r="U747" s="75"/>
      <c r="V747" s="76"/>
      <c r="W747" s="12"/>
    </row>
    <row r="748" spans="1:23" s="7" customFormat="1" ht="45.75" customHeight="1" x14ac:dyDescent="0.7">
      <c r="A748" s="77"/>
      <c r="B748" s="80" t="s">
        <v>271</v>
      </c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2"/>
      <c r="W748" s="12"/>
    </row>
    <row r="749" spans="1:23" s="7" customFormat="1" ht="93.75" customHeight="1" x14ac:dyDescent="0.7">
      <c r="A749" s="78"/>
      <c r="B749" s="83" t="s">
        <v>114</v>
      </c>
      <c r="C749" s="86" t="s">
        <v>147</v>
      </c>
      <c r="D749" s="87"/>
      <c r="E749" s="87"/>
      <c r="F749" s="87"/>
      <c r="G749" s="87"/>
      <c r="H749" s="88"/>
      <c r="I749" s="29"/>
      <c r="J749" s="65" t="s">
        <v>73</v>
      </c>
      <c r="K749" s="127" t="s">
        <v>72</v>
      </c>
      <c r="L749" s="65" t="s">
        <v>89</v>
      </c>
      <c r="M749" s="65" t="s">
        <v>148</v>
      </c>
      <c r="N749" s="65" t="s">
        <v>144</v>
      </c>
      <c r="O749" s="65" t="s">
        <v>144</v>
      </c>
      <c r="P749" s="65" t="s">
        <v>144</v>
      </c>
      <c r="Q749" s="71" t="s">
        <v>272</v>
      </c>
      <c r="R749" s="65" t="s">
        <v>9</v>
      </c>
      <c r="S749" s="65" t="s">
        <v>12</v>
      </c>
      <c r="T749" s="65" t="s">
        <v>149</v>
      </c>
      <c r="U749" s="65"/>
      <c r="V749" s="65" t="s">
        <v>606</v>
      </c>
      <c r="W749" s="12"/>
    </row>
    <row r="750" spans="1:23" s="7" customFormat="1" x14ac:dyDescent="0.7">
      <c r="A750" s="78"/>
      <c r="B750" s="84"/>
      <c r="C750" s="32" t="s">
        <v>5</v>
      </c>
      <c r="D750" s="19">
        <f t="shared" ref="D750" si="80">SUM(D751:D754)</f>
        <v>93742.940069999997</v>
      </c>
      <c r="E750" s="13">
        <f>SUM(E751:E754)</f>
        <v>93742.940069999997</v>
      </c>
      <c r="F750" s="13"/>
      <c r="G750" s="13"/>
      <c r="H750" s="13"/>
      <c r="I750" s="13"/>
      <c r="J750" s="66"/>
      <c r="K750" s="66"/>
      <c r="L750" s="66"/>
      <c r="M750" s="66"/>
      <c r="N750" s="66"/>
      <c r="O750" s="66"/>
      <c r="P750" s="66"/>
      <c r="Q750" s="72"/>
      <c r="R750" s="66"/>
      <c r="S750" s="66"/>
      <c r="T750" s="66"/>
      <c r="U750" s="66"/>
      <c r="V750" s="66"/>
      <c r="W750" s="12"/>
    </row>
    <row r="751" spans="1:23" s="7" customFormat="1" ht="91.5" x14ac:dyDescent="0.7">
      <c r="A751" s="78"/>
      <c r="B751" s="84"/>
      <c r="C751" s="32" t="s">
        <v>0</v>
      </c>
      <c r="D751" s="19"/>
      <c r="E751" s="18"/>
      <c r="F751" s="13"/>
      <c r="G751" s="13"/>
      <c r="H751" s="13"/>
      <c r="I751" s="13"/>
      <c r="J751" s="66"/>
      <c r="K751" s="66"/>
      <c r="L751" s="66"/>
      <c r="M751" s="66"/>
      <c r="N751" s="66"/>
      <c r="O751" s="66"/>
      <c r="P751" s="66"/>
      <c r="Q751" s="72"/>
      <c r="R751" s="66"/>
      <c r="S751" s="66"/>
      <c r="T751" s="66"/>
      <c r="U751" s="66"/>
      <c r="V751" s="66"/>
      <c r="W751" s="12"/>
    </row>
    <row r="752" spans="1:23" s="7" customFormat="1" ht="54" customHeight="1" x14ac:dyDescent="0.7">
      <c r="A752" s="78"/>
      <c r="B752" s="84"/>
      <c r="C752" s="32" t="s">
        <v>1</v>
      </c>
      <c r="D752" s="19">
        <f>SUM(E752:H752)</f>
        <v>92805.510670000003</v>
      </c>
      <c r="E752" s="18">
        <f>96356.47-2839.605-711.35433</f>
        <v>92805.510670000003</v>
      </c>
      <c r="F752" s="13"/>
      <c r="G752" s="13"/>
      <c r="H752" s="13"/>
      <c r="I752" s="13"/>
      <c r="J752" s="66"/>
      <c r="K752" s="66"/>
      <c r="L752" s="66"/>
      <c r="M752" s="66"/>
      <c r="N752" s="66"/>
      <c r="O752" s="66"/>
      <c r="P752" s="66"/>
      <c r="Q752" s="72"/>
      <c r="R752" s="66"/>
      <c r="S752" s="66"/>
      <c r="T752" s="66"/>
      <c r="U752" s="66"/>
      <c r="V752" s="66"/>
      <c r="W752" s="12"/>
    </row>
    <row r="753" spans="1:23" s="7" customFormat="1" ht="90.75" customHeight="1" x14ac:dyDescent="0.7">
      <c r="A753" s="78"/>
      <c r="B753" s="84"/>
      <c r="C753" s="32" t="s">
        <v>2</v>
      </c>
      <c r="D753" s="19">
        <f>SUM(E753:H753)</f>
        <v>937.42939999999999</v>
      </c>
      <c r="E753" s="18">
        <v>937.42939999999999</v>
      </c>
      <c r="F753" s="13"/>
      <c r="G753" s="13"/>
      <c r="H753" s="13"/>
      <c r="I753" s="13"/>
      <c r="J753" s="66"/>
      <c r="K753" s="66"/>
      <c r="L753" s="66"/>
      <c r="M753" s="66"/>
      <c r="N753" s="66"/>
      <c r="O753" s="66"/>
      <c r="P753" s="66"/>
      <c r="Q753" s="72"/>
      <c r="R753" s="66"/>
      <c r="S753" s="66"/>
      <c r="T753" s="66"/>
      <c r="U753" s="66"/>
      <c r="V753" s="66"/>
      <c r="W753" s="12"/>
    </row>
    <row r="754" spans="1:23" s="7" customFormat="1" ht="91.5" x14ac:dyDescent="0.7">
      <c r="A754" s="79"/>
      <c r="B754" s="85"/>
      <c r="C754" s="32" t="s">
        <v>3</v>
      </c>
      <c r="D754" s="19"/>
      <c r="E754" s="13"/>
      <c r="F754" s="13"/>
      <c r="G754" s="13"/>
      <c r="H754" s="13"/>
      <c r="I754" s="13"/>
      <c r="J754" s="67"/>
      <c r="K754" s="67"/>
      <c r="L754" s="67"/>
      <c r="M754" s="67"/>
      <c r="N754" s="67"/>
      <c r="O754" s="67"/>
      <c r="P754" s="67"/>
      <c r="Q754" s="73"/>
      <c r="R754" s="67"/>
      <c r="S754" s="67"/>
      <c r="T754" s="67"/>
      <c r="U754" s="67"/>
      <c r="V754" s="67"/>
      <c r="W754" s="12"/>
    </row>
    <row r="755" spans="1:23" s="7" customFormat="1" x14ac:dyDescent="0.7">
      <c r="A755" s="74" t="s">
        <v>20</v>
      </c>
      <c r="B755" s="75"/>
      <c r="C755" s="75"/>
      <c r="D755" s="75"/>
      <c r="E755" s="75"/>
      <c r="F755" s="75"/>
      <c r="G755" s="75"/>
      <c r="H755" s="75"/>
      <c r="I755" s="75"/>
      <c r="J755" s="75"/>
      <c r="K755" s="75"/>
      <c r="L755" s="75"/>
      <c r="M755" s="75"/>
      <c r="N755" s="75"/>
      <c r="O755" s="75"/>
      <c r="P755" s="75"/>
      <c r="Q755" s="75"/>
      <c r="R755" s="75"/>
      <c r="S755" s="75"/>
      <c r="T755" s="75"/>
      <c r="U755" s="75"/>
      <c r="V755" s="76"/>
      <c r="W755" s="12"/>
    </row>
    <row r="756" spans="1:23" s="7" customFormat="1" ht="45.75" customHeight="1" x14ac:dyDescent="0.7">
      <c r="A756" s="77"/>
      <c r="B756" s="80" t="s">
        <v>271</v>
      </c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2"/>
      <c r="W756" s="12"/>
    </row>
    <row r="757" spans="1:23" s="7" customFormat="1" ht="105" customHeight="1" x14ac:dyDescent="0.7">
      <c r="A757" s="78"/>
      <c r="B757" s="83" t="s">
        <v>293</v>
      </c>
      <c r="C757" s="86" t="s">
        <v>273</v>
      </c>
      <c r="D757" s="87"/>
      <c r="E757" s="87"/>
      <c r="F757" s="87"/>
      <c r="G757" s="87"/>
      <c r="H757" s="88"/>
      <c r="I757" s="29"/>
      <c r="J757" s="65" t="s">
        <v>74</v>
      </c>
      <c r="K757" s="127" t="s">
        <v>72</v>
      </c>
      <c r="L757" s="65" t="s">
        <v>89</v>
      </c>
      <c r="M757" s="130" t="s">
        <v>150</v>
      </c>
      <c r="N757" s="65" t="s">
        <v>144</v>
      </c>
      <c r="O757" s="65" t="s">
        <v>144</v>
      </c>
      <c r="P757" s="65" t="s">
        <v>144</v>
      </c>
      <c r="Q757" s="71" t="s">
        <v>274</v>
      </c>
      <c r="R757" s="65" t="s">
        <v>9</v>
      </c>
      <c r="S757" s="65" t="s">
        <v>12</v>
      </c>
      <c r="T757" s="65" t="s">
        <v>149</v>
      </c>
      <c r="U757" s="65"/>
      <c r="V757" s="65" t="s">
        <v>607</v>
      </c>
      <c r="W757" s="12"/>
    </row>
    <row r="758" spans="1:23" s="7" customFormat="1" x14ac:dyDescent="0.7">
      <c r="A758" s="78"/>
      <c r="B758" s="84"/>
      <c r="C758" s="32" t="s">
        <v>5</v>
      </c>
      <c r="D758" s="19">
        <f t="shared" ref="D758" si="81">SUM(D759:D762)</f>
        <v>179724.63</v>
      </c>
      <c r="E758" s="13">
        <f>SUM(E759:E762)</f>
        <v>179724.63</v>
      </c>
      <c r="F758" s="13"/>
      <c r="G758" s="13"/>
      <c r="H758" s="13"/>
      <c r="I758" s="13"/>
      <c r="J758" s="66"/>
      <c r="K758" s="66"/>
      <c r="L758" s="66"/>
      <c r="M758" s="130"/>
      <c r="N758" s="66"/>
      <c r="O758" s="66"/>
      <c r="P758" s="66"/>
      <c r="Q758" s="72"/>
      <c r="R758" s="66"/>
      <c r="S758" s="66"/>
      <c r="T758" s="66"/>
      <c r="U758" s="66"/>
      <c r="V758" s="66"/>
      <c r="W758" s="12"/>
    </row>
    <row r="759" spans="1:23" s="7" customFormat="1" ht="91.5" x14ac:dyDescent="0.7">
      <c r="A759" s="78"/>
      <c r="B759" s="84"/>
      <c r="C759" s="32" t="s">
        <v>0</v>
      </c>
      <c r="D759" s="19"/>
      <c r="E759" s="13"/>
      <c r="F759" s="13"/>
      <c r="G759" s="13"/>
      <c r="H759" s="13"/>
      <c r="I759" s="13"/>
      <c r="J759" s="66"/>
      <c r="K759" s="66"/>
      <c r="L759" s="66"/>
      <c r="M759" s="130"/>
      <c r="N759" s="66"/>
      <c r="O759" s="66"/>
      <c r="P759" s="66"/>
      <c r="Q759" s="72"/>
      <c r="R759" s="66"/>
      <c r="S759" s="66"/>
      <c r="T759" s="66"/>
      <c r="U759" s="66"/>
      <c r="V759" s="66"/>
      <c r="W759" s="12"/>
    </row>
    <row r="760" spans="1:23" s="7" customFormat="1" ht="91.5" x14ac:dyDescent="0.7">
      <c r="A760" s="78"/>
      <c r="B760" s="84"/>
      <c r="C760" s="32" t="s">
        <v>1</v>
      </c>
      <c r="D760" s="19">
        <f>SUM(E760:H760)</f>
        <v>177927.38370000001</v>
      </c>
      <c r="E760" s="18">
        <f>120945.971+58220.944-1239.5313</f>
        <v>177927.38370000001</v>
      </c>
      <c r="F760" s="13"/>
      <c r="G760" s="13"/>
      <c r="H760" s="13"/>
      <c r="I760" s="13"/>
      <c r="J760" s="66"/>
      <c r="K760" s="66"/>
      <c r="L760" s="66"/>
      <c r="M760" s="130"/>
      <c r="N760" s="66"/>
      <c r="O760" s="66"/>
      <c r="P760" s="66"/>
      <c r="Q760" s="72"/>
      <c r="R760" s="66"/>
      <c r="S760" s="66"/>
      <c r="T760" s="66"/>
      <c r="U760" s="66"/>
      <c r="V760" s="66"/>
      <c r="W760" s="12"/>
    </row>
    <row r="761" spans="1:23" s="7" customFormat="1" ht="98.25" customHeight="1" x14ac:dyDescent="0.7">
      <c r="A761" s="78"/>
      <c r="B761" s="84"/>
      <c r="C761" s="32" t="s">
        <v>2</v>
      </c>
      <c r="D761" s="19">
        <f>SUM(E761:H761)</f>
        <v>1797.2463</v>
      </c>
      <c r="E761" s="18">
        <v>1797.2463</v>
      </c>
      <c r="F761" s="13"/>
      <c r="G761" s="13"/>
      <c r="H761" s="13"/>
      <c r="I761" s="13"/>
      <c r="J761" s="66"/>
      <c r="K761" s="66"/>
      <c r="L761" s="66"/>
      <c r="M761" s="130"/>
      <c r="N761" s="66"/>
      <c r="O761" s="66"/>
      <c r="P761" s="66"/>
      <c r="Q761" s="72"/>
      <c r="R761" s="66"/>
      <c r="S761" s="66"/>
      <c r="T761" s="66"/>
      <c r="U761" s="66"/>
      <c r="V761" s="66"/>
      <c r="W761" s="12"/>
    </row>
    <row r="762" spans="1:23" s="7" customFormat="1" ht="91.5" x14ac:dyDescent="0.7">
      <c r="A762" s="79"/>
      <c r="B762" s="85"/>
      <c r="C762" s="32" t="s">
        <v>3</v>
      </c>
      <c r="D762" s="19"/>
      <c r="E762" s="13"/>
      <c r="F762" s="13"/>
      <c r="G762" s="13"/>
      <c r="H762" s="13"/>
      <c r="I762" s="13"/>
      <c r="J762" s="67"/>
      <c r="K762" s="67"/>
      <c r="L762" s="67"/>
      <c r="M762" s="130"/>
      <c r="N762" s="67"/>
      <c r="O762" s="67"/>
      <c r="P762" s="67"/>
      <c r="Q762" s="73"/>
      <c r="R762" s="67"/>
      <c r="S762" s="67"/>
      <c r="T762" s="67"/>
      <c r="U762" s="67"/>
      <c r="V762" s="67"/>
      <c r="W762" s="12"/>
    </row>
    <row r="763" spans="1:23" s="7" customFormat="1" x14ac:dyDescent="0.7">
      <c r="A763" s="74" t="s">
        <v>20</v>
      </c>
      <c r="B763" s="75"/>
      <c r="C763" s="75"/>
      <c r="D763" s="75"/>
      <c r="E763" s="75"/>
      <c r="F763" s="75"/>
      <c r="G763" s="75"/>
      <c r="H763" s="75"/>
      <c r="I763" s="75"/>
      <c r="J763" s="75"/>
      <c r="K763" s="75"/>
      <c r="L763" s="75"/>
      <c r="M763" s="75"/>
      <c r="N763" s="75"/>
      <c r="O763" s="75"/>
      <c r="P763" s="75"/>
      <c r="Q763" s="75"/>
      <c r="R763" s="75"/>
      <c r="S763" s="75"/>
      <c r="T763" s="75"/>
      <c r="U763" s="75"/>
      <c r="V763" s="76"/>
      <c r="W763" s="12"/>
    </row>
    <row r="764" spans="1:23" s="7" customFormat="1" x14ac:dyDescent="0.7">
      <c r="A764" s="77"/>
      <c r="B764" s="80" t="s">
        <v>271</v>
      </c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2"/>
      <c r="W764" s="12"/>
    </row>
    <row r="765" spans="1:23" s="7" customFormat="1" ht="123.75" customHeight="1" x14ac:dyDescent="0.7">
      <c r="A765" s="78"/>
      <c r="B765" s="83" t="s">
        <v>295</v>
      </c>
      <c r="C765" s="86" t="s">
        <v>275</v>
      </c>
      <c r="D765" s="87"/>
      <c r="E765" s="87"/>
      <c r="F765" s="87"/>
      <c r="G765" s="87"/>
      <c r="H765" s="88"/>
      <c r="I765" s="29"/>
      <c r="J765" s="65" t="s">
        <v>96</v>
      </c>
      <c r="K765" s="127" t="s">
        <v>72</v>
      </c>
      <c r="L765" s="65" t="s">
        <v>89</v>
      </c>
      <c r="M765" s="130" t="s">
        <v>151</v>
      </c>
      <c r="N765" s="65" t="s">
        <v>144</v>
      </c>
      <c r="O765" s="65" t="s">
        <v>144</v>
      </c>
      <c r="P765" s="65" t="s">
        <v>144</v>
      </c>
      <c r="Q765" s="71" t="s">
        <v>276</v>
      </c>
      <c r="R765" s="65" t="s">
        <v>9</v>
      </c>
      <c r="S765" s="65" t="s">
        <v>12</v>
      </c>
      <c r="T765" s="65" t="s">
        <v>149</v>
      </c>
      <c r="U765" s="65"/>
      <c r="V765" s="65" t="s">
        <v>608</v>
      </c>
      <c r="W765" s="12"/>
    </row>
    <row r="766" spans="1:23" s="7" customFormat="1" x14ac:dyDescent="0.7">
      <c r="A766" s="78"/>
      <c r="B766" s="84"/>
      <c r="C766" s="32" t="s">
        <v>5</v>
      </c>
      <c r="D766" s="19">
        <f t="shared" ref="D766" si="82">SUM(D767:D770)</f>
        <v>299750.49494949495</v>
      </c>
      <c r="E766" s="13"/>
      <c r="F766" s="13">
        <f>SUM(F767:F770)</f>
        <v>101010.101010101</v>
      </c>
      <c r="G766" s="13">
        <f>SUM(G767:G770)</f>
        <v>198740.39393939395</v>
      </c>
      <c r="H766" s="13"/>
      <c r="I766" s="13"/>
      <c r="J766" s="66"/>
      <c r="K766" s="66"/>
      <c r="L766" s="66"/>
      <c r="M766" s="130"/>
      <c r="N766" s="66"/>
      <c r="O766" s="66"/>
      <c r="P766" s="66"/>
      <c r="Q766" s="72"/>
      <c r="R766" s="66"/>
      <c r="S766" s="66"/>
      <c r="T766" s="66"/>
      <c r="U766" s="66"/>
      <c r="V766" s="66"/>
      <c r="W766" s="12"/>
    </row>
    <row r="767" spans="1:23" s="7" customFormat="1" ht="91.5" x14ac:dyDescent="0.7">
      <c r="A767" s="78"/>
      <c r="B767" s="84"/>
      <c r="C767" s="32" t="s">
        <v>0</v>
      </c>
      <c r="D767" s="19"/>
      <c r="E767" s="13"/>
      <c r="F767" s="13"/>
      <c r="G767" s="13"/>
      <c r="H767" s="13"/>
      <c r="I767" s="13"/>
      <c r="J767" s="66"/>
      <c r="K767" s="66"/>
      <c r="L767" s="66"/>
      <c r="M767" s="130"/>
      <c r="N767" s="66"/>
      <c r="O767" s="66"/>
      <c r="P767" s="66"/>
      <c r="Q767" s="72"/>
      <c r="R767" s="66"/>
      <c r="S767" s="66"/>
      <c r="T767" s="66"/>
      <c r="U767" s="66"/>
      <c r="V767" s="66"/>
      <c r="W767" s="12"/>
    </row>
    <row r="768" spans="1:23" s="7" customFormat="1" ht="91.5" x14ac:dyDescent="0.7">
      <c r="A768" s="78"/>
      <c r="B768" s="84"/>
      <c r="C768" s="32" t="s">
        <v>1</v>
      </c>
      <c r="D768" s="19">
        <f>SUM(E768:H768)</f>
        <v>296752.99</v>
      </c>
      <c r="E768" s="18"/>
      <c r="F768" s="13">
        <v>100000</v>
      </c>
      <c r="G768" s="13">
        <v>196752.99</v>
      </c>
      <c r="H768" s="13"/>
      <c r="I768" s="13"/>
      <c r="J768" s="66"/>
      <c r="K768" s="66"/>
      <c r="L768" s="66"/>
      <c r="M768" s="130"/>
      <c r="N768" s="66"/>
      <c r="O768" s="66"/>
      <c r="P768" s="66"/>
      <c r="Q768" s="72"/>
      <c r="R768" s="66"/>
      <c r="S768" s="66"/>
      <c r="T768" s="66"/>
      <c r="U768" s="66"/>
      <c r="V768" s="66"/>
      <c r="W768" s="12"/>
    </row>
    <row r="769" spans="1:23" s="7" customFormat="1" ht="98.25" customHeight="1" x14ac:dyDescent="0.7">
      <c r="A769" s="78"/>
      <c r="B769" s="84"/>
      <c r="C769" s="32" t="s">
        <v>2</v>
      </c>
      <c r="D769" s="19">
        <f>SUM(E769:H769)</f>
        <v>2997.5049494949635</v>
      </c>
      <c r="E769" s="18"/>
      <c r="F769" s="13">
        <v>1010.1010101010033</v>
      </c>
      <c r="G769" s="13">
        <v>1987.4039393939602</v>
      </c>
      <c r="H769" s="13"/>
      <c r="I769" s="13"/>
      <c r="J769" s="66"/>
      <c r="K769" s="66"/>
      <c r="L769" s="66"/>
      <c r="M769" s="130"/>
      <c r="N769" s="66"/>
      <c r="O769" s="66"/>
      <c r="P769" s="66"/>
      <c r="Q769" s="72"/>
      <c r="R769" s="66"/>
      <c r="S769" s="66"/>
      <c r="T769" s="66"/>
      <c r="U769" s="66"/>
      <c r="V769" s="66"/>
      <c r="W769" s="12"/>
    </row>
    <row r="770" spans="1:23" s="7" customFormat="1" ht="91.5" x14ac:dyDescent="0.7">
      <c r="A770" s="79"/>
      <c r="B770" s="85"/>
      <c r="C770" s="32" t="s">
        <v>3</v>
      </c>
      <c r="D770" s="19"/>
      <c r="E770" s="13"/>
      <c r="F770" s="13"/>
      <c r="G770" s="13"/>
      <c r="H770" s="13"/>
      <c r="I770" s="13"/>
      <c r="J770" s="67"/>
      <c r="K770" s="67"/>
      <c r="L770" s="67"/>
      <c r="M770" s="130"/>
      <c r="N770" s="67"/>
      <c r="O770" s="67"/>
      <c r="P770" s="67"/>
      <c r="Q770" s="73"/>
      <c r="R770" s="67"/>
      <c r="S770" s="67"/>
      <c r="T770" s="67"/>
      <c r="U770" s="67"/>
      <c r="V770" s="67"/>
      <c r="W770" s="12"/>
    </row>
    <row r="771" spans="1:23" s="7" customFormat="1" x14ac:dyDescent="0.7">
      <c r="A771" s="74" t="s">
        <v>20</v>
      </c>
      <c r="B771" s="75"/>
      <c r="C771" s="75"/>
      <c r="D771" s="75"/>
      <c r="E771" s="75"/>
      <c r="F771" s="75"/>
      <c r="G771" s="75"/>
      <c r="H771" s="75"/>
      <c r="I771" s="75"/>
      <c r="J771" s="75"/>
      <c r="K771" s="75"/>
      <c r="L771" s="75"/>
      <c r="M771" s="75"/>
      <c r="N771" s="75"/>
      <c r="O771" s="75"/>
      <c r="P771" s="75"/>
      <c r="Q771" s="75"/>
      <c r="R771" s="75"/>
      <c r="S771" s="75"/>
      <c r="T771" s="75"/>
      <c r="U771" s="75"/>
      <c r="V771" s="76"/>
      <c r="W771" s="12"/>
    </row>
    <row r="772" spans="1:23" s="7" customFormat="1" ht="63.75" customHeight="1" x14ac:dyDescent="0.7">
      <c r="A772" s="77"/>
      <c r="B772" s="80" t="s">
        <v>271</v>
      </c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2"/>
      <c r="W772" s="12"/>
    </row>
    <row r="773" spans="1:23" s="7" customFormat="1" ht="105" customHeight="1" x14ac:dyDescent="0.7">
      <c r="A773" s="78"/>
      <c r="B773" s="83" t="s">
        <v>294</v>
      </c>
      <c r="C773" s="86" t="s">
        <v>283</v>
      </c>
      <c r="D773" s="87"/>
      <c r="E773" s="87"/>
      <c r="F773" s="87"/>
      <c r="G773" s="87"/>
      <c r="H773" s="88"/>
      <c r="I773" s="29"/>
      <c r="J773" s="65" t="s">
        <v>96</v>
      </c>
      <c r="K773" s="127" t="s">
        <v>73</v>
      </c>
      <c r="L773" s="65" t="s">
        <v>89</v>
      </c>
      <c r="M773" s="65" t="s">
        <v>341</v>
      </c>
      <c r="N773" s="65" t="s">
        <v>530</v>
      </c>
      <c r="O773" s="65" t="s">
        <v>530</v>
      </c>
      <c r="P773" s="65" t="s">
        <v>530</v>
      </c>
      <c r="Q773" s="71" t="s">
        <v>284</v>
      </c>
      <c r="R773" s="65" t="s">
        <v>9</v>
      </c>
      <c r="S773" s="65" t="s">
        <v>529</v>
      </c>
      <c r="T773" s="65" t="s">
        <v>149</v>
      </c>
      <c r="U773" s="68"/>
      <c r="V773" s="68" t="s">
        <v>263</v>
      </c>
      <c r="W773" s="12"/>
    </row>
    <row r="774" spans="1:23" s="7" customFormat="1" x14ac:dyDescent="0.7">
      <c r="A774" s="78"/>
      <c r="B774" s="84"/>
      <c r="C774" s="32" t="s">
        <v>5</v>
      </c>
      <c r="D774" s="19">
        <f t="shared" ref="D774" si="83">SUM(D775:D778)</f>
        <v>335108.40000000002</v>
      </c>
      <c r="E774" s="13"/>
      <c r="F774" s="13">
        <f>SUM(F775:F778)</f>
        <v>6750</v>
      </c>
      <c r="G774" s="13">
        <f>SUM(G775:G778)</f>
        <v>328358.40000000002</v>
      </c>
      <c r="H774" s="13"/>
      <c r="I774" s="13"/>
      <c r="J774" s="66"/>
      <c r="K774" s="66"/>
      <c r="L774" s="66"/>
      <c r="M774" s="66"/>
      <c r="N774" s="66"/>
      <c r="O774" s="66"/>
      <c r="P774" s="66"/>
      <c r="Q774" s="72"/>
      <c r="R774" s="66"/>
      <c r="S774" s="66"/>
      <c r="T774" s="66"/>
      <c r="U774" s="69"/>
      <c r="V774" s="69"/>
      <c r="W774" s="12"/>
    </row>
    <row r="775" spans="1:23" s="7" customFormat="1" ht="91.5" x14ac:dyDescent="0.7">
      <c r="A775" s="78"/>
      <c r="B775" s="84"/>
      <c r="C775" s="32" t="s">
        <v>0</v>
      </c>
      <c r="D775" s="19"/>
      <c r="E775" s="13"/>
      <c r="F775" s="13"/>
      <c r="G775" s="13"/>
      <c r="H775" s="13"/>
      <c r="I775" s="13"/>
      <c r="J775" s="66"/>
      <c r="K775" s="66"/>
      <c r="L775" s="66"/>
      <c r="M775" s="66"/>
      <c r="N775" s="66"/>
      <c r="O775" s="66"/>
      <c r="P775" s="66"/>
      <c r="Q775" s="72"/>
      <c r="R775" s="66"/>
      <c r="S775" s="66"/>
      <c r="T775" s="66"/>
      <c r="U775" s="69"/>
      <c r="V775" s="69"/>
      <c r="W775" s="12"/>
    </row>
    <row r="776" spans="1:23" s="7" customFormat="1" ht="91.5" x14ac:dyDescent="0.7">
      <c r="A776" s="78"/>
      <c r="B776" s="84"/>
      <c r="C776" s="32" t="s">
        <v>1</v>
      </c>
      <c r="D776" s="19">
        <f>SUM(E776:H776)</f>
        <v>325670</v>
      </c>
      <c r="E776" s="13"/>
      <c r="F776" s="13">
        <v>3750</v>
      </c>
      <c r="G776" s="13">
        <v>321920</v>
      </c>
      <c r="H776" s="13"/>
      <c r="I776" s="13"/>
      <c r="J776" s="66"/>
      <c r="K776" s="66"/>
      <c r="L776" s="66"/>
      <c r="M776" s="66"/>
      <c r="N776" s="66"/>
      <c r="O776" s="66"/>
      <c r="P776" s="66"/>
      <c r="Q776" s="72"/>
      <c r="R776" s="66"/>
      <c r="S776" s="66"/>
      <c r="T776" s="66"/>
      <c r="U776" s="69"/>
      <c r="V776" s="69"/>
      <c r="W776" s="12"/>
    </row>
    <row r="777" spans="1:23" s="7" customFormat="1" ht="94.5" customHeight="1" x14ac:dyDescent="0.7">
      <c r="A777" s="78"/>
      <c r="B777" s="84"/>
      <c r="C777" s="32" t="s">
        <v>2</v>
      </c>
      <c r="D777" s="19">
        <f>SUM(E777:H777)</f>
        <v>9438.4</v>
      </c>
      <c r="E777" s="18"/>
      <c r="F777" s="13">
        <v>3000</v>
      </c>
      <c r="G777" s="13">
        <v>6438.4</v>
      </c>
      <c r="H777" s="13"/>
      <c r="I777" s="13"/>
      <c r="J777" s="66"/>
      <c r="K777" s="66"/>
      <c r="L777" s="66"/>
      <c r="M777" s="66"/>
      <c r="N777" s="66"/>
      <c r="O777" s="66"/>
      <c r="P777" s="66"/>
      <c r="Q777" s="72"/>
      <c r="R777" s="66"/>
      <c r="S777" s="66"/>
      <c r="T777" s="66"/>
      <c r="U777" s="69"/>
      <c r="V777" s="69"/>
      <c r="W777" s="12"/>
    </row>
    <row r="778" spans="1:23" s="7" customFormat="1" ht="91.5" x14ac:dyDescent="0.7">
      <c r="A778" s="79"/>
      <c r="B778" s="85"/>
      <c r="C778" s="32" t="s">
        <v>3</v>
      </c>
      <c r="D778" s="19"/>
      <c r="E778" s="13"/>
      <c r="F778" s="13"/>
      <c r="G778" s="13"/>
      <c r="H778" s="13"/>
      <c r="I778" s="13"/>
      <c r="J778" s="67"/>
      <c r="K778" s="67"/>
      <c r="L778" s="67"/>
      <c r="M778" s="67"/>
      <c r="N778" s="67"/>
      <c r="O778" s="67"/>
      <c r="P778" s="67"/>
      <c r="Q778" s="73"/>
      <c r="R778" s="67"/>
      <c r="S778" s="67"/>
      <c r="T778" s="67"/>
      <c r="U778" s="70"/>
      <c r="V778" s="70"/>
      <c r="W778" s="12"/>
    </row>
    <row r="779" spans="1:23" s="7" customFormat="1" x14ac:dyDescent="0.7">
      <c r="A779" s="74" t="s">
        <v>20</v>
      </c>
      <c r="B779" s="75"/>
      <c r="C779" s="75"/>
      <c r="D779" s="75"/>
      <c r="E779" s="75"/>
      <c r="F779" s="75"/>
      <c r="G779" s="75"/>
      <c r="H779" s="75"/>
      <c r="I779" s="75"/>
      <c r="J779" s="75"/>
      <c r="K779" s="75"/>
      <c r="L779" s="75"/>
      <c r="M779" s="75"/>
      <c r="N779" s="75"/>
      <c r="O779" s="75"/>
      <c r="P779" s="75"/>
      <c r="Q779" s="75"/>
      <c r="R779" s="75"/>
      <c r="S779" s="75"/>
      <c r="T779" s="75"/>
      <c r="U779" s="75"/>
      <c r="V779" s="76"/>
      <c r="W779" s="12"/>
    </row>
    <row r="780" spans="1:23" s="7" customFormat="1" ht="45.75" customHeight="1" x14ac:dyDescent="0.7">
      <c r="A780" s="77"/>
      <c r="B780" s="80" t="s">
        <v>271</v>
      </c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2"/>
      <c r="W780" s="12"/>
    </row>
    <row r="781" spans="1:23" s="7" customFormat="1" ht="105" customHeight="1" x14ac:dyDescent="0.7">
      <c r="A781" s="78"/>
      <c r="B781" s="83" t="s">
        <v>296</v>
      </c>
      <c r="C781" s="86" t="s">
        <v>277</v>
      </c>
      <c r="D781" s="87"/>
      <c r="E781" s="87"/>
      <c r="F781" s="87"/>
      <c r="G781" s="87"/>
      <c r="H781" s="88"/>
      <c r="I781" s="29"/>
      <c r="J781" s="65" t="s">
        <v>73</v>
      </c>
      <c r="K781" s="127" t="s">
        <v>72</v>
      </c>
      <c r="L781" s="65" t="s">
        <v>89</v>
      </c>
      <c r="M781" s="65" t="s">
        <v>148</v>
      </c>
      <c r="N781" s="65" t="s">
        <v>144</v>
      </c>
      <c r="O781" s="65" t="s">
        <v>144</v>
      </c>
      <c r="P781" s="65" t="s">
        <v>144</v>
      </c>
      <c r="Q781" s="71" t="s">
        <v>278</v>
      </c>
      <c r="R781" s="65" t="s">
        <v>9</v>
      </c>
      <c r="S781" s="65" t="s">
        <v>12</v>
      </c>
      <c r="T781" s="65" t="s">
        <v>149</v>
      </c>
      <c r="U781" s="65"/>
      <c r="V781" s="65" t="s">
        <v>609</v>
      </c>
      <c r="W781" s="12"/>
    </row>
    <row r="782" spans="1:23" s="7" customFormat="1" x14ac:dyDescent="0.7">
      <c r="A782" s="78"/>
      <c r="B782" s="84"/>
      <c r="C782" s="32" t="s">
        <v>5</v>
      </c>
      <c r="D782" s="19">
        <f t="shared" ref="D782" si="84">SUM(D783:D786)</f>
        <v>506.42991303030306</v>
      </c>
      <c r="E782" s="13">
        <f>SUM(E783:E786)</f>
        <v>506.42991303030306</v>
      </c>
      <c r="F782" s="13"/>
      <c r="G782" s="13"/>
      <c r="H782" s="13"/>
      <c r="I782" s="13"/>
      <c r="J782" s="66"/>
      <c r="K782" s="66"/>
      <c r="L782" s="66"/>
      <c r="M782" s="66"/>
      <c r="N782" s="66"/>
      <c r="O782" s="66"/>
      <c r="P782" s="66"/>
      <c r="Q782" s="72"/>
      <c r="R782" s="66"/>
      <c r="S782" s="66"/>
      <c r="T782" s="66"/>
      <c r="U782" s="66"/>
      <c r="V782" s="66"/>
      <c r="W782" s="12"/>
    </row>
    <row r="783" spans="1:23" s="7" customFormat="1" ht="91.5" customHeight="1" x14ac:dyDescent="0.7">
      <c r="A783" s="78"/>
      <c r="B783" s="84"/>
      <c r="C783" s="32" t="s">
        <v>0</v>
      </c>
      <c r="D783" s="19"/>
      <c r="E783" s="13"/>
      <c r="F783" s="13"/>
      <c r="G783" s="13"/>
      <c r="H783" s="13"/>
      <c r="I783" s="13"/>
      <c r="J783" s="66"/>
      <c r="K783" s="66"/>
      <c r="L783" s="66"/>
      <c r="M783" s="66"/>
      <c r="N783" s="66"/>
      <c r="O783" s="66"/>
      <c r="P783" s="66"/>
      <c r="Q783" s="72"/>
      <c r="R783" s="66"/>
      <c r="S783" s="66"/>
      <c r="T783" s="66"/>
      <c r="U783" s="66"/>
      <c r="V783" s="66"/>
      <c r="W783" s="12"/>
    </row>
    <row r="784" spans="1:23" s="7" customFormat="1" ht="91.5" x14ac:dyDescent="0.7">
      <c r="A784" s="78"/>
      <c r="B784" s="84"/>
      <c r="C784" s="32" t="s">
        <v>1</v>
      </c>
      <c r="D784" s="19">
        <f>SUM(E784:H784)</f>
        <v>501.36561</v>
      </c>
      <c r="E784" s="18">
        <f>1818.18-1316.814-0.00039</f>
        <v>501.36561</v>
      </c>
      <c r="F784" s="13"/>
      <c r="G784" s="13"/>
      <c r="H784" s="13"/>
      <c r="I784" s="13"/>
      <c r="J784" s="66"/>
      <c r="K784" s="66"/>
      <c r="L784" s="66"/>
      <c r="M784" s="66"/>
      <c r="N784" s="66"/>
      <c r="O784" s="66"/>
      <c r="P784" s="66"/>
      <c r="Q784" s="72"/>
      <c r="R784" s="66"/>
      <c r="S784" s="66"/>
      <c r="T784" s="66"/>
      <c r="U784" s="66"/>
      <c r="V784" s="66"/>
      <c r="W784" s="12"/>
    </row>
    <row r="785" spans="1:23" s="7" customFormat="1" ht="94.5" customHeight="1" x14ac:dyDescent="0.7">
      <c r="A785" s="78"/>
      <c r="B785" s="84"/>
      <c r="C785" s="32" t="s">
        <v>2</v>
      </c>
      <c r="D785" s="19">
        <f>SUM(E785:H785)</f>
        <v>5.0643030303030514</v>
      </c>
      <c r="E785" s="18">
        <v>5.0643030303030514</v>
      </c>
      <c r="F785" s="13"/>
      <c r="G785" s="13"/>
      <c r="H785" s="13"/>
      <c r="I785" s="13"/>
      <c r="J785" s="66"/>
      <c r="K785" s="66"/>
      <c r="L785" s="66"/>
      <c r="M785" s="66"/>
      <c r="N785" s="66"/>
      <c r="O785" s="66"/>
      <c r="P785" s="66"/>
      <c r="Q785" s="72"/>
      <c r="R785" s="66"/>
      <c r="S785" s="66"/>
      <c r="T785" s="66"/>
      <c r="U785" s="66"/>
      <c r="V785" s="66"/>
      <c r="W785" s="12"/>
    </row>
    <row r="786" spans="1:23" s="7" customFormat="1" ht="94.5" customHeight="1" x14ac:dyDescent="0.7">
      <c r="A786" s="79"/>
      <c r="B786" s="85"/>
      <c r="C786" s="32" t="s">
        <v>3</v>
      </c>
      <c r="D786" s="19"/>
      <c r="E786" s="13"/>
      <c r="F786" s="13"/>
      <c r="G786" s="13"/>
      <c r="H786" s="13"/>
      <c r="I786" s="13"/>
      <c r="J786" s="67"/>
      <c r="K786" s="67"/>
      <c r="L786" s="67"/>
      <c r="M786" s="67"/>
      <c r="N786" s="67"/>
      <c r="O786" s="67"/>
      <c r="P786" s="67"/>
      <c r="Q786" s="73"/>
      <c r="R786" s="67"/>
      <c r="S786" s="67"/>
      <c r="T786" s="67"/>
      <c r="U786" s="67"/>
      <c r="V786" s="67"/>
      <c r="W786" s="12"/>
    </row>
    <row r="787" spans="1:23" s="7" customFormat="1" ht="50.25" customHeight="1" x14ac:dyDescent="0.7">
      <c r="A787" s="74" t="s">
        <v>20</v>
      </c>
      <c r="B787" s="75"/>
      <c r="C787" s="75"/>
      <c r="D787" s="75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6"/>
      <c r="W787" s="12"/>
    </row>
    <row r="788" spans="1:23" s="7" customFormat="1" ht="45.75" customHeight="1" x14ac:dyDescent="0.7">
      <c r="A788" s="77"/>
      <c r="B788" s="80" t="s">
        <v>271</v>
      </c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2"/>
      <c r="W788" s="12"/>
    </row>
    <row r="789" spans="1:23" s="7" customFormat="1" ht="97.5" customHeight="1" x14ac:dyDescent="0.7">
      <c r="A789" s="78"/>
      <c r="B789" s="83" t="s">
        <v>297</v>
      </c>
      <c r="C789" s="86" t="s">
        <v>279</v>
      </c>
      <c r="D789" s="87"/>
      <c r="E789" s="87"/>
      <c r="F789" s="87"/>
      <c r="G789" s="87"/>
      <c r="H789" s="88"/>
      <c r="I789" s="29"/>
      <c r="J789" s="65" t="s">
        <v>73</v>
      </c>
      <c r="K789" s="127" t="s">
        <v>72</v>
      </c>
      <c r="L789" s="65" t="s">
        <v>89</v>
      </c>
      <c r="M789" s="65" t="s">
        <v>150</v>
      </c>
      <c r="N789" s="65" t="s">
        <v>144</v>
      </c>
      <c r="O789" s="65" t="s">
        <v>144</v>
      </c>
      <c r="P789" s="65" t="s">
        <v>144</v>
      </c>
      <c r="Q789" s="71" t="s">
        <v>280</v>
      </c>
      <c r="R789" s="65" t="s">
        <v>9</v>
      </c>
      <c r="S789" s="65" t="s">
        <v>12</v>
      </c>
      <c r="T789" s="65" t="s">
        <v>149</v>
      </c>
      <c r="U789" s="65"/>
      <c r="V789" s="65" t="s">
        <v>610</v>
      </c>
      <c r="W789" s="12"/>
    </row>
    <row r="790" spans="1:23" s="7" customFormat="1" x14ac:dyDescent="0.7">
      <c r="A790" s="78"/>
      <c r="B790" s="84"/>
      <c r="C790" s="32" t="s">
        <v>5</v>
      </c>
      <c r="D790" s="19">
        <f t="shared" ref="D790" si="85">SUM(D791:D794)</f>
        <v>16545.433797979797</v>
      </c>
      <c r="E790" s="13">
        <f>SUM(E791:E794)</f>
        <v>16545.433797979797</v>
      </c>
      <c r="F790" s="13"/>
      <c r="G790" s="13"/>
      <c r="H790" s="13"/>
      <c r="I790" s="13"/>
      <c r="J790" s="66"/>
      <c r="K790" s="66"/>
      <c r="L790" s="66"/>
      <c r="M790" s="66"/>
      <c r="N790" s="66"/>
      <c r="O790" s="66"/>
      <c r="P790" s="66"/>
      <c r="Q790" s="72"/>
      <c r="R790" s="66"/>
      <c r="S790" s="66"/>
      <c r="T790" s="66"/>
      <c r="U790" s="66"/>
      <c r="V790" s="66"/>
      <c r="W790" s="12"/>
    </row>
    <row r="791" spans="1:23" s="7" customFormat="1" ht="94.5" customHeight="1" x14ac:dyDescent="0.7">
      <c r="A791" s="78"/>
      <c r="B791" s="84"/>
      <c r="C791" s="32" t="s">
        <v>0</v>
      </c>
      <c r="D791" s="19"/>
      <c r="E791" s="13"/>
      <c r="F791" s="13"/>
      <c r="G791" s="13"/>
      <c r="H791" s="13"/>
      <c r="I791" s="13"/>
      <c r="J791" s="66"/>
      <c r="K791" s="66"/>
      <c r="L791" s="66"/>
      <c r="M791" s="66"/>
      <c r="N791" s="66"/>
      <c r="O791" s="66"/>
      <c r="P791" s="66"/>
      <c r="Q791" s="72"/>
      <c r="R791" s="66"/>
      <c r="S791" s="66"/>
      <c r="T791" s="66"/>
      <c r="U791" s="66"/>
      <c r="V791" s="66"/>
      <c r="W791" s="12"/>
    </row>
    <row r="792" spans="1:23" s="7" customFormat="1" ht="91.5" x14ac:dyDescent="0.7">
      <c r="A792" s="78"/>
      <c r="B792" s="84"/>
      <c r="C792" s="32" t="s">
        <v>1</v>
      </c>
      <c r="D792" s="19">
        <f>SUM(E792:H792)</f>
        <v>16379.979459999999</v>
      </c>
      <c r="E792" s="18">
        <f>3090.909+11676.667+1612.40346</f>
        <v>16379.979459999999</v>
      </c>
      <c r="F792" s="13"/>
      <c r="G792" s="13"/>
      <c r="H792" s="13"/>
      <c r="I792" s="13"/>
      <c r="J792" s="66"/>
      <c r="K792" s="66"/>
      <c r="L792" s="66"/>
      <c r="M792" s="66"/>
      <c r="N792" s="66"/>
      <c r="O792" s="66"/>
      <c r="P792" s="66"/>
      <c r="Q792" s="72"/>
      <c r="R792" s="66"/>
      <c r="S792" s="66"/>
      <c r="T792" s="66"/>
      <c r="U792" s="66"/>
      <c r="V792" s="66"/>
      <c r="W792" s="12"/>
    </row>
    <row r="793" spans="1:23" s="7" customFormat="1" ht="94.5" customHeight="1" x14ac:dyDescent="0.7">
      <c r="A793" s="78"/>
      <c r="B793" s="84"/>
      <c r="C793" s="32" t="s">
        <v>2</v>
      </c>
      <c r="D793" s="19">
        <f>SUM(E793:H793)</f>
        <v>165.45433797979797</v>
      </c>
      <c r="E793" s="18">
        <v>165.45433797979797</v>
      </c>
      <c r="F793" s="13"/>
      <c r="G793" s="13"/>
      <c r="H793" s="13"/>
      <c r="I793" s="13"/>
      <c r="J793" s="66"/>
      <c r="K793" s="66"/>
      <c r="L793" s="66"/>
      <c r="M793" s="66"/>
      <c r="N793" s="66"/>
      <c r="O793" s="66"/>
      <c r="P793" s="66"/>
      <c r="Q793" s="72"/>
      <c r="R793" s="66"/>
      <c r="S793" s="66"/>
      <c r="T793" s="66"/>
      <c r="U793" s="66"/>
      <c r="V793" s="66"/>
      <c r="W793" s="12"/>
    </row>
    <row r="794" spans="1:23" s="7" customFormat="1" ht="102" customHeight="1" x14ac:dyDescent="0.7">
      <c r="A794" s="79"/>
      <c r="B794" s="85"/>
      <c r="C794" s="32" t="s">
        <v>3</v>
      </c>
      <c r="D794" s="19"/>
      <c r="E794" s="13"/>
      <c r="F794" s="13"/>
      <c r="G794" s="13"/>
      <c r="H794" s="13"/>
      <c r="I794" s="13"/>
      <c r="J794" s="67"/>
      <c r="K794" s="67"/>
      <c r="L794" s="67"/>
      <c r="M794" s="67"/>
      <c r="N794" s="67"/>
      <c r="O794" s="67"/>
      <c r="P794" s="67"/>
      <c r="Q794" s="73"/>
      <c r="R794" s="67"/>
      <c r="S794" s="67"/>
      <c r="T794" s="67"/>
      <c r="U794" s="67"/>
      <c r="V794" s="67"/>
      <c r="W794" s="12"/>
    </row>
    <row r="795" spans="1:23" s="7" customFormat="1" x14ac:dyDescent="0.7">
      <c r="A795" s="74" t="s">
        <v>20</v>
      </c>
      <c r="B795" s="75"/>
      <c r="C795" s="75"/>
      <c r="D795" s="75"/>
      <c r="E795" s="75"/>
      <c r="F795" s="75"/>
      <c r="G795" s="75"/>
      <c r="H795" s="75"/>
      <c r="I795" s="75"/>
      <c r="J795" s="75"/>
      <c r="K795" s="75"/>
      <c r="L795" s="75"/>
      <c r="M795" s="75"/>
      <c r="N795" s="75"/>
      <c r="O795" s="75"/>
      <c r="P795" s="75"/>
      <c r="Q795" s="75"/>
      <c r="R795" s="75"/>
      <c r="S795" s="75"/>
      <c r="T795" s="75"/>
      <c r="U795" s="75"/>
      <c r="V795" s="76"/>
      <c r="W795" s="12"/>
    </row>
    <row r="796" spans="1:23" s="7" customFormat="1" ht="45.75" customHeight="1" x14ac:dyDescent="0.7">
      <c r="A796" s="77"/>
      <c r="B796" s="89" t="s">
        <v>271</v>
      </c>
      <c r="C796" s="90"/>
      <c r="D796" s="90"/>
      <c r="E796" s="90"/>
      <c r="F796" s="90"/>
      <c r="G796" s="90"/>
      <c r="H796" s="90"/>
      <c r="I796" s="90"/>
      <c r="J796" s="90"/>
      <c r="K796" s="90"/>
      <c r="L796" s="90"/>
      <c r="M796" s="90"/>
      <c r="N796" s="90"/>
      <c r="O796" s="90"/>
      <c r="P796" s="90"/>
      <c r="Q796" s="90"/>
      <c r="R796" s="90"/>
      <c r="S796" s="90"/>
      <c r="T796" s="90"/>
      <c r="U796" s="90"/>
      <c r="V796" s="91"/>
      <c r="W796" s="12"/>
    </row>
    <row r="797" spans="1:23" s="7" customFormat="1" ht="116.25" customHeight="1" x14ac:dyDescent="0.7">
      <c r="A797" s="78"/>
      <c r="B797" s="83" t="s">
        <v>298</v>
      </c>
      <c r="C797" s="86" t="s">
        <v>281</v>
      </c>
      <c r="D797" s="87"/>
      <c r="E797" s="87"/>
      <c r="F797" s="87"/>
      <c r="G797" s="87"/>
      <c r="H797" s="88"/>
      <c r="I797" s="29"/>
      <c r="J797" s="65" t="s">
        <v>73</v>
      </c>
      <c r="K797" s="127" t="s">
        <v>72</v>
      </c>
      <c r="L797" s="65" t="s">
        <v>89</v>
      </c>
      <c r="M797" s="65" t="s">
        <v>151</v>
      </c>
      <c r="N797" s="65" t="s">
        <v>144</v>
      </c>
      <c r="O797" s="65" t="s">
        <v>144</v>
      </c>
      <c r="P797" s="65" t="s">
        <v>144</v>
      </c>
      <c r="Q797" s="71" t="s">
        <v>282</v>
      </c>
      <c r="R797" s="65" t="s">
        <v>9</v>
      </c>
      <c r="S797" s="65" t="s">
        <v>12</v>
      </c>
      <c r="T797" s="65" t="s">
        <v>149</v>
      </c>
      <c r="U797" s="65"/>
      <c r="V797" s="65" t="s">
        <v>611</v>
      </c>
      <c r="W797" s="12"/>
    </row>
    <row r="798" spans="1:23" s="7" customFormat="1" x14ac:dyDescent="0.7">
      <c r="A798" s="78"/>
      <c r="B798" s="84"/>
      <c r="C798" s="32" t="s">
        <v>5</v>
      </c>
      <c r="D798" s="19">
        <f t="shared" ref="D798" si="86">SUM(D799:D802)</f>
        <v>717.6795479797986</v>
      </c>
      <c r="E798" s="13">
        <f>SUM(E799:E802)</f>
        <v>717.6795479797986</v>
      </c>
      <c r="F798" s="13"/>
      <c r="G798" s="13"/>
      <c r="H798" s="13"/>
      <c r="I798" s="13"/>
      <c r="J798" s="66"/>
      <c r="K798" s="66"/>
      <c r="L798" s="66"/>
      <c r="M798" s="66"/>
      <c r="N798" s="66"/>
      <c r="O798" s="66"/>
      <c r="P798" s="66"/>
      <c r="Q798" s="72"/>
      <c r="R798" s="66"/>
      <c r="S798" s="66"/>
      <c r="T798" s="66"/>
      <c r="U798" s="66"/>
      <c r="V798" s="66"/>
      <c r="W798" s="12"/>
    </row>
    <row r="799" spans="1:23" s="7" customFormat="1" ht="91.5" customHeight="1" x14ac:dyDescent="0.7">
      <c r="A799" s="78"/>
      <c r="B799" s="84"/>
      <c r="C799" s="32" t="s">
        <v>0</v>
      </c>
      <c r="D799" s="19"/>
      <c r="E799" s="13"/>
      <c r="F799" s="13"/>
      <c r="G799" s="13"/>
      <c r="H799" s="13"/>
      <c r="I799" s="13"/>
      <c r="J799" s="66"/>
      <c r="K799" s="66"/>
      <c r="L799" s="66"/>
      <c r="M799" s="66"/>
      <c r="N799" s="66"/>
      <c r="O799" s="66"/>
      <c r="P799" s="66"/>
      <c r="Q799" s="72"/>
      <c r="R799" s="66"/>
      <c r="S799" s="66"/>
      <c r="T799" s="66"/>
      <c r="U799" s="66"/>
      <c r="V799" s="66"/>
      <c r="W799" s="12"/>
    </row>
    <row r="800" spans="1:23" s="7" customFormat="1" ht="91.5" x14ac:dyDescent="0.7">
      <c r="A800" s="78"/>
      <c r="B800" s="84"/>
      <c r="C800" s="32" t="s">
        <v>1</v>
      </c>
      <c r="D800" s="19">
        <f>SUM(E800:H800)</f>
        <v>710.50275000000056</v>
      </c>
      <c r="E800" s="18">
        <f>5454.55-4744.047-0.00025</f>
        <v>710.50275000000056</v>
      </c>
      <c r="F800" s="13"/>
      <c r="G800" s="13"/>
      <c r="H800" s="13"/>
      <c r="I800" s="13"/>
      <c r="J800" s="66"/>
      <c r="K800" s="66"/>
      <c r="L800" s="66"/>
      <c r="M800" s="66"/>
      <c r="N800" s="66"/>
      <c r="O800" s="66"/>
      <c r="P800" s="66"/>
      <c r="Q800" s="72"/>
      <c r="R800" s="66"/>
      <c r="S800" s="66"/>
      <c r="T800" s="66"/>
      <c r="U800" s="66"/>
      <c r="V800" s="66"/>
      <c r="W800" s="12"/>
    </row>
    <row r="801" spans="1:23" s="7" customFormat="1" ht="98.25" customHeight="1" x14ac:dyDescent="0.7">
      <c r="A801" s="78"/>
      <c r="B801" s="84"/>
      <c r="C801" s="32" t="s">
        <v>2</v>
      </c>
      <c r="D801" s="19">
        <f>SUM(E801:H801)</f>
        <v>7.1767979797980388</v>
      </c>
      <c r="E801" s="18">
        <v>7.1767979797980388</v>
      </c>
      <c r="F801" s="13"/>
      <c r="G801" s="13"/>
      <c r="H801" s="13"/>
      <c r="I801" s="13"/>
      <c r="J801" s="66"/>
      <c r="K801" s="66"/>
      <c r="L801" s="66"/>
      <c r="M801" s="66"/>
      <c r="N801" s="66"/>
      <c r="O801" s="66"/>
      <c r="P801" s="66"/>
      <c r="Q801" s="72"/>
      <c r="R801" s="66"/>
      <c r="S801" s="66"/>
      <c r="T801" s="66"/>
      <c r="U801" s="66"/>
      <c r="V801" s="66"/>
      <c r="W801" s="12"/>
    </row>
    <row r="802" spans="1:23" s="7" customFormat="1" ht="94.5" customHeight="1" x14ac:dyDescent="0.7">
      <c r="A802" s="79"/>
      <c r="B802" s="85"/>
      <c r="C802" s="32" t="s">
        <v>3</v>
      </c>
      <c r="D802" s="19"/>
      <c r="E802" s="13"/>
      <c r="F802" s="13"/>
      <c r="G802" s="13"/>
      <c r="H802" s="13"/>
      <c r="I802" s="13"/>
      <c r="J802" s="67"/>
      <c r="K802" s="67"/>
      <c r="L802" s="67"/>
      <c r="M802" s="67"/>
      <c r="N802" s="67"/>
      <c r="O802" s="67"/>
      <c r="P802" s="67"/>
      <c r="Q802" s="73"/>
      <c r="R802" s="67"/>
      <c r="S802" s="67"/>
      <c r="T802" s="67"/>
      <c r="U802" s="67"/>
      <c r="V802" s="67"/>
      <c r="W802" s="12"/>
    </row>
    <row r="803" spans="1:23" s="7" customFormat="1" x14ac:dyDescent="0.7">
      <c r="A803" s="74" t="s">
        <v>20</v>
      </c>
      <c r="B803" s="75"/>
      <c r="C803" s="75"/>
      <c r="D803" s="75"/>
      <c r="E803" s="75"/>
      <c r="F803" s="75"/>
      <c r="G803" s="75"/>
      <c r="H803" s="75"/>
      <c r="I803" s="75"/>
      <c r="J803" s="75"/>
      <c r="K803" s="75"/>
      <c r="L803" s="75"/>
      <c r="M803" s="75"/>
      <c r="N803" s="75"/>
      <c r="O803" s="75"/>
      <c r="P803" s="75"/>
      <c r="Q803" s="75"/>
      <c r="R803" s="75"/>
      <c r="S803" s="75"/>
      <c r="T803" s="75"/>
      <c r="U803" s="75"/>
      <c r="V803" s="76"/>
      <c r="W803" s="12"/>
    </row>
    <row r="804" spans="1:23" s="7" customFormat="1" ht="45.75" customHeight="1" x14ac:dyDescent="0.7">
      <c r="A804" s="77"/>
      <c r="B804" s="89" t="s">
        <v>551</v>
      </c>
      <c r="C804" s="90"/>
      <c r="D804" s="90"/>
      <c r="E804" s="90"/>
      <c r="F804" s="90"/>
      <c r="G804" s="90"/>
      <c r="H804" s="90"/>
      <c r="I804" s="90"/>
      <c r="J804" s="90"/>
      <c r="K804" s="90"/>
      <c r="L804" s="90"/>
      <c r="M804" s="90"/>
      <c r="N804" s="90"/>
      <c r="O804" s="90"/>
      <c r="P804" s="90"/>
      <c r="Q804" s="90"/>
      <c r="R804" s="90"/>
      <c r="S804" s="90"/>
      <c r="T804" s="90"/>
      <c r="U804" s="90"/>
      <c r="V804" s="91"/>
      <c r="W804" s="12"/>
    </row>
    <row r="805" spans="1:23" s="7" customFormat="1" ht="61.5" customHeight="1" x14ac:dyDescent="0.7">
      <c r="A805" s="78"/>
      <c r="B805" s="92" t="s">
        <v>299</v>
      </c>
      <c r="C805" s="86" t="s">
        <v>285</v>
      </c>
      <c r="D805" s="87"/>
      <c r="E805" s="87"/>
      <c r="F805" s="87"/>
      <c r="G805" s="87"/>
      <c r="H805" s="88"/>
      <c r="I805" s="45"/>
      <c r="J805" s="65" t="s">
        <v>157</v>
      </c>
      <c r="K805" s="65" t="s">
        <v>71</v>
      </c>
      <c r="L805" s="65" t="s">
        <v>87</v>
      </c>
      <c r="M805" s="65" t="s">
        <v>164</v>
      </c>
      <c r="N805" s="65" t="s">
        <v>21</v>
      </c>
      <c r="O805" s="65" t="s">
        <v>21</v>
      </c>
      <c r="P805" s="65" t="s">
        <v>21</v>
      </c>
      <c r="Q805" s="71" t="s">
        <v>542</v>
      </c>
      <c r="R805" s="65" t="s">
        <v>11</v>
      </c>
      <c r="S805" s="65" t="s">
        <v>13</v>
      </c>
      <c r="T805" s="65" t="s">
        <v>7</v>
      </c>
      <c r="U805" s="65" t="s">
        <v>543</v>
      </c>
      <c r="V805" s="65" t="s">
        <v>183</v>
      </c>
      <c r="W805" s="12"/>
    </row>
    <row r="806" spans="1:23" s="7" customFormat="1" x14ac:dyDescent="0.7">
      <c r="A806" s="78"/>
      <c r="B806" s="93"/>
      <c r="C806" s="44" t="s">
        <v>5</v>
      </c>
      <c r="D806" s="17">
        <f t="shared" ref="D806" si="87">SUM(D807:D810)</f>
        <v>1058836.8859999999</v>
      </c>
      <c r="E806" s="18">
        <f>SUM(E807:E810)</f>
        <v>1058836.8859999999</v>
      </c>
      <c r="F806" s="18"/>
      <c r="G806" s="18"/>
      <c r="H806" s="18"/>
      <c r="I806" s="18"/>
      <c r="J806" s="66"/>
      <c r="K806" s="66"/>
      <c r="L806" s="66"/>
      <c r="M806" s="66"/>
      <c r="N806" s="66"/>
      <c r="O806" s="66"/>
      <c r="P806" s="66"/>
      <c r="Q806" s="72"/>
      <c r="R806" s="66"/>
      <c r="S806" s="66"/>
      <c r="T806" s="66"/>
      <c r="U806" s="66"/>
      <c r="V806" s="66"/>
      <c r="W806" s="12"/>
    </row>
    <row r="807" spans="1:23" s="7" customFormat="1" ht="91.5" x14ac:dyDescent="0.7">
      <c r="A807" s="78"/>
      <c r="B807" s="93"/>
      <c r="C807" s="44" t="s">
        <v>0</v>
      </c>
      <c r="D807" s="17">
        <f>SUM(E807:I807)</f>
        <v>953940.88399999996</v>
      </c>
      <c r="E807" s="18">
        <f>966940.7-12999.816</f>
        <v>953940.88399999996</v>
      </c>
      <c r="F807" s="18"/>
      <c r="G807" s="18"/>
      <c r="H807" s="18"/>
      <c r="I807" s="18"/>
      <c r="J807" s="66"/>
      <c r="K807" s="66"/>
      <c r="L807" s="66"/>
      <c r="M807" s="66"/>
      <c r="N807" s="66"/>
      <c r="O807" s="66"/>
      <c r="P807" s="66"/>
      <c r="Q807" s="72"/>
      <c r="R807" s="66"/>
      <c r="S807" s="66"/>
      <c r="T807" s="66"/>
      <c r="U807" s="66"/>
      <c r="V807" s="66"/>
      <c r="W807" s="12"/>
    </row>
    <row r="808" spans="1:23" s="7" customFormat="1" ht="91.5" x14ac:dyDescent="0.7">
      <c r="A808" s="78"/>
      <c r="B808" s="93"/>
      <c r="C808" s="44" t="s">
        <v>1</v>
      </c>
      <c r="D808" s="17">
        <f>SUM(E808:I808)</f>
        <v>104896.00200000001</v>
      </c>
      <c r="E808" s="18">
        <f>91896.1+13000-0.098</f>
        <v>104896.00200000001</v>
      </c>
      <c r="F808" s="18"/>
      <c r="G808" s="18"/>
      <c r="H808" s="18"/>
      <c r="I808" s="18"/>
      <c r="J808" s="66"/>
      <c r="K808" s="66"/>
      <c r="L808" s="66"/>
      <c r="M808" s="66"/>
      <c r="N808" s="66"/>
      <c r="O808" s="66"/>
      <c r="P808" s="66"/>
      <c r="Q808" s="72"/>
      <c r="R808" s="66"/>
      <c r="S808" s="66"/>
      <c r="T808" s="66"/>
      <c r="U808" s="66"/>
      <c r="V808" s="66"/>
      <c r="W808" s="12"/>
    </row>
    <row r="809" spans="1:23" s="7" customFormat="1" ht="105" customHeight="1" x14ac:dyDescent="0.7">
      <c r="A809" s="78"/>
      <c r="B809" s="93"/>
      <c r="C809" s="44" t="s">
        <v>2</v>
      </c>
      <c r="D809" s="17"/>
      <c r="E809" s="18"/>
      <c r="F809" s="18"/>
      <c r="G809" s="18"/>
      <c r="H809" s="18"/>
      <c r="I809" s="18"/>
      <c r="J809" s="66"/>
      <c r="K809" s="66"/>
      <c r="L809" s="66"/>
      <c r="M809" s="66"/>
      <c r="N809" s="66"/>
      <c r="O809" s="66"/>
      <c r="P809" s="66"/>
      <c r="Q809" s="72"/>
      <c r="R809" s="66"/>
      <c r="S809" s="66"/>
      <c r="T809" s="66"/>
      <c r="U809" s="66"/>
      <c r="V809" s="66"/>
      <c r="W809" s="12"/>
    </row>
    <row r="810" spans="1:23" s="7" customFormat="1" ht="91.5" x14ac:dyDescent="0.7">
      <c r="A810" s="79"/>
      <c r="B810" s="94"/>
      <c r="C810" s="44" t="s">
        <v>3</v>
      </c>
      <c r="D810" s="17"/>
      <c r="E810" s="18"/>
      <c r="F810" s="18"/>
      <c r="G810" s="18"/>
      <c r="H810" s="18"/>
      <c r="I810" s="18"/>
      <c r="J810" s="67"/>
      <c r="K810" s="67"/>
      <c r="L810" s="67"/>
      <c r="M810" s="67"/>
      <c r="N810" s="67"/>
      <c r="O810" s="67"/>
      <c r="P810" s="67"/>
      <c r="Q810" s="73"/>
      <c r="R810" s="67"/>
      <c r="S810" s="67"/>
      <c r="T810" s="67"/>
      <c r="U810" s="67"/>
      <c r="V810" s="67"/>
      <c r="W810" s="12"/>
    </row>
    <row r="811" spans="1:23" s="7" customFormat="1" x14ac:dyDescent="0.7">
      <c r="A811" s="74" t="s">
        <v>20</v>
      </c>
      <c r="B811" s="75"/>
      <c r="C811" s="75"/>
      <c r="D811" s="75"/>
      <c r="E811" s="75"/>
      <c r="F811" s="75"/>
      <c r="G811" s="75"/>
      <c r="H811" s="75"/>
      <c r="I811" s="75"/>
      <c r="J811" s="75"/>
      <c r="K811" s="75"/>
      <c r="L811" s="75"/>
      <c r="M811" s="75"/>
      <c r="N811" s="75"/>
      <c r="O811" s="75"/>
      <c r="P811" s="75"/>
      <c r="Q811" s="75"/>
      <c r="R811" s="75"/>
      <c r="S811" s="75"/>
      <c r="T811" s="75"/>
      <c r="U811" s="75"/>
      <c r="V811" s="76"/>
      <c r="W811" s="12"/>
    </row>
    <row r="812" spans="1:23" s="7" customFormat="1" x14ac:dyDescent="0.7">
      <c r="A812" s="77"/>
      <c r="B812" s="89" t="s">
        <v>271</v>
      </c>
      <c r="C812" s="90"/>
      <c r="D812" s="90"/>
      <c r="E812" s="90"/>
      <c r="F812" s="90"/>
      <c r="G812" s="90"/>
      <c r="H812" s="90"/>
      <c r="I812" s="90"/>
      <c r="J812" s="90"/>
      <c r="K812" s="90"/>
      <c r="L812" s="90"/>
      <c r="M812" s="90"/>
      <c r="N812" s="90"/>
      <c r="O812" s="90"/>
      <c r="P812" s="90"/>
      <c r="Q812" s="90"/>
      <c r="R812" s="90"/>
      <c r="S812" s="90"/>
      <c r="T812" s="90"/>
      <c r="U812" s="90"/>
      <c r="V812" s="91"/>
      <c r="W812" s="12"/>
    </row>
    <row r="813" spans="1:23" s="7" customFormat="1" ht="111" customHeight="1" x14ac:dyDescent="0.7">
      <c r="A813" s="78"/>
      <c r="B813" s="92" t="s">
        <v>300</v>
      </c>
      <c r="C813" s="86" t="s">
        <v>104</v>
      </c>
      <c r="D813" s="87"/>
      <c r="E813" s="87"/>
      <c r="F813" s="87"/>
      <c r="G813" s="87"/>
      <c r="H813" s="88"/>
      <c r="I813" s="45"/>
      <c r="J813" s="65" t="s">
        <v>145</v>
      </c>
      <c r="K813" s="65" t="s">
        <v>71</v>
      </c>
      <c r="L813" s="65" t="s">
        <v>87</v>
      </c>
      <c r="M813" s="65" t="s">
        <v>165</v>
      </c>
      <c r="N813" s="65" t="s">
        <v>21</v>
      </c>
      <c r="O813" s="65" t="s">
        <v>21</v>
      </c>
      <c r="P813" s="65" t="s">
        <v>21</v>
      </c>
      <c r="Q813" s="71" t="s">
        <v>166</v>
      </c>
      <c r="R813" s="65" t="s">
        <v>11</v>
      </c>
      <c r="S813" s="65" t="s">
        <v>12</v>
      </c>
      <c r="T813" s="65" t="s">
        <v>7</v>
      </c>
      <c r="U813" s="65"/>
      <c r="V813" s="65" t="s">
        <v>167</v>
      </c>
      <c r="W813" s="12"/>
    </row>
    <row r="814" spans="1:23" s="7" customFormat="1" x14ac:dyDescent="0.7">
      <c r="A814" s="78"/>
      <c r="B814" s="93"/>
      <c r="C814" s="44" t="s">
        <v>5</v>
      </c>
      <c r="D814" s="17">
        <f t="shared" ref="D814" si="88">SUM(D815:D818)</f>
        <v>35570.053370000001</v>
      </c>
      <c r="E814" s="18">
        <f>SUM(E815:E818)</f>
        <v>35570.053370000001</v>
      </c>
      <c r="F814" s="18"/>
      <c r="G814" s="18"/>
      <c r="H814" s="18"/>
      <c r="I814" s="18"/>
      <c r="J814" s="66"/>
      <c r="K814" s="66"/>
      <c r="L814" s="66"/>
      <c r="M814" s="66"/>
      <c r="N814" s="66"/>
      <c r="O814" s="66"/>
      <c r="P814" s="66"/>
      <c r="Q814" s="72"/>
      <c r="R814" s="66"/>
      <c r="S814" s="66"/>
      <c r="T814" s="66"/>
      <c r="U814" s="66"/>
      <c r="V814" s="66"/>
      <c r="W814" s="12"/>
    </row>
    <row r="815" spans="1:23" s="7" customFormat="1" ht="91.5" x14ac:dyDescent="0.7">
      <c r="A815" s="78"/>
      <c r="B815" s="93"/>
      <c r="C815" s="44" t="s">
        <v>0</v>
      </c>
      <c r="D815" s="17"/>
      <c r="E815" s="18"/>
      <c r="F815" s="18"/>
      <c r="G815" s="18"/>
      <c r="H815" s="18"/>
      <c r="I815" s="18"/>
      <c r="J815" s="66"/>
      <c r="K815" s="66"/>
      <c r="L815" s="66"/>
      <c r="M815" s="66"/>
      <c r="N815" s="66"/>
      <c r="O815" s="66"/>
      <c r="P815" s="66"/>
      <c r="Q815" s="72"/>
      <c r="R815" s="66"/>
      <c r="S815" s="66"/>
      <c r="T815" s="66"/>
      <c r="U815" s="66"/>
      <c r="V815" s="66"/>
      <c r="W815" s="12"/>
    </row>
    <row r="816" spans="1:23" s="7" customFormat="1" ht="91.5" x14ac:dyDescent="0.7">
      <c r="A816" s="78"/>
      <c r="B816" s="93"/>
      <c r="C816" s="44" t="s">
        <v>1</v>
      </c>
      <c r="D816" s="17">
        <f>SUM(E816:H816)</f>
        <v>35570.053370000001</v>
      </c>
      <c r="E816" s="18">
        <f>36275.676-13697.18111-20+13717.18111-705.62263</f>
        <v>35570.053370000001</v>
      </c>
      <c r="F816" s="18"/>
      <c r="G816" s="18"/>
      <c r="H816" s="18"/>
      <c r="I816" s="18"/>
      <c r="J816" s="66"/>
      <c r="K816" s="66"/>
      <c r="L816" s="66"/>
      <c r="M816" s="66"/>
      <c r="N816" s="66"/>
      <c r="O816" s="66"/>
      <c r="P816" s="66"/>
      <c r="Q816" s="72"/>
      <c r="R816" s="66"/>
      <c r="S816" s="66"/>
      <c r="T816" s="66"/>
      <c r="U816" s="66"/>
      <c r="V816" s="66"/>
      <c r="W816" s="12"/>
    </row>
    <row r="817" spans="1:23" s="7" customFormat="1" ht="97.5" customHeight="1" x14ac:dyDescent="0.7">
      <c r="A817" s="78"/>
      <c r="B817" s="93"/>
      <c r="C817" s="44" t="s">
        <v>2</v>
      </c>
      <c r="D817" s="17"/>
      <c r="E817" s="18"/>
      <c r="F817" s="18"/>
      <c r="G817" s="18"/>
      <c r="H817" s="18"/>
      <c r="I817" s="18"/>
      <c r="J817" s="66"/>
      <c r="K817" s="66"/>
      <c r="L817" s="66"/>
      <c r="M817" s="66"/>
      <c r="N817" s="66"/>
      <c r="O817" s="66"/>
      <c r="P817" s="66"/>
      <c r="Q817" s="72"/>
      <c r="R817" s="66"/>
      <c r="S817" s="66"/>
      <c r="T817" s="66"/>
      <c r="U817" s="66"/>
      <c r="V817" s="66"/>
      <c r="W817" s="12"/>
    </row>
    <row r="818" spans="1:23" s="7" customFormat="1" ht="91.5" x14ac:dyDescent="0.7">
      <c r="A818" s="79"/>
      <c r="B818" s="94"/>
      <c r="C818" s="44" t="s">
        <v>3</v>
      </c>
      <c r="D818" s="17"/>
      <c r="E818" s="18"/>
      <c r="F818" s="18"/>
      <c r="G818" s="18"/>
      <c r="H818" s="18"/>
      <c r="I818" s="18"/>
      <c r="J818" s="67"/>
      <c r="K818" s="67"/>
      <c r="L818" s="67"/>
      <c r="M818" s="67"/>
      <c r="N818" s="67"/>
      <c r="O818" s="67"/>
      <c r="P818" s="67"/>
      <c r="Q818" s="73"/>
      <c r="R818" s="67"/>
      <c r="S818" s="67"/>
      <c r="T818" s="67"/>
      <c r="U818" s="67"/>
      <c r="V818" s="67"/>
      <c r="W818" s="12"/>
    </row>
    <row r="819" spans="1:23" s="7" customFormat="1" x14ac:dyDescent="0.7">
      <c r="A819" s="74" t="s">
        <v>20</v>
      </c>
      <c r="B819" s="75"/>
      <c r="C819" s="75"/>
      <c r="D819" s="75"/>
      <c r="E819" s="75"/>
      <c r="F819" s="75"/>
      <c r="G819" s="75"/>
      <c r="H819" s="75"/>
      <c r="I819" s="75"/>
      <c r="J819" s="75"/>
      <c r="K819" s="75"/>
      <c r="L819" s="75"/>
      <c r="M819" s="75"/>
      <c r="N819" s="75"/>
      <c r="O819" s="75"/>
      <c r="P819" s="75"/>
      <c r="Q819" s="75"/>
      <c r="R819" s="75"/>
      <c r="S819" s="75"/>
      <c r="T819" s="75"/>
      <c r="U819" s="75"/>
      <c r="V819" s="76"/>
      <c r="W819" s="12"/>
    </row>
    <row r="820" spans="1:23" s="7" customFormat="1" x14ac:dyDescent="0.7">
      <c r="A820" s="77"/>
      <c r="B820" s="80" t="s">
        <v>288</v>
      </c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2"/>
      <c r="W820" s="12"/>
    </row>
    <row r="821" spans="1:23" s="7" customFormat="1" x14ac:dyDescent="0.7">
      <c r="A821" s="78"/>
      <c r="B821" s="83" t="s">
        <v>301</v>
      </c>
      <c r="C821" s="95" t="s">
        <v>287</v>
      </c>
      <c r="D821" s="96"/>
      <c r="E821" s="96"/>
      <c r="F821" s="96"/>
      <c r="G821" s="96"/>
      <c r="H821" s="97"/>
      <c r="I821" s="29"/>
      <c r="J821" s="65" t="s">
        <v>554</v>
      </c>
      <c r="K821" s="65"/>
      <c r="L821" s="65" t="s">
        <v>89</v>
      </c>
      <c r="M821" s="65" t="s">
        <v>289</v>
      </c>
      <c r="N821" s="65" t="s">
        <v>112</v>
      </c>
      <c r="O821" s="65" t="s">
        <v>112</v>
      </c>
      <c r="P821" s="65" t="s">
        <v>112</v>
      </c>
      <c r="Q821" s="71" t="s">
        <v>290</v>
      </c>
      <c r="R821" s="65" t="s">
        <v>9</v>
      </c>
      <c r="S821" s="65" t="s">
        <v>13</v>
      </c>
      <c r="T821" s="65" t="s">
        <v>146</v>
      </c>
      <c r="U821" s="65" t="s">
        <v>291</v>
      </c>
      <c r="V821" s="65" t="s">
        <v>292</v>
      </c>
      <c r="W821" s="12"/>
    </row>
    <row r="822" spans="1:23" s="7" customFormat="1" x14ac:dyDescent="0.7">
      <c r="A822" s="78"/>
      <c r="B822" s="84"/>
      <c r="C822" s="32" t="s">
        <v>5</v>
      </c>
      <c r="D822" s="19">
        <f t="shared" ref="D822:E822" si="89">SUM(D823:D826)</f>
        <v>65162.099877777779</v>
      </c>
      <c r="E822" s="13">
        <f t="shared" si="89"/>
        <v>65162.099877777779</v>
      </c>
      <c r="F822" s="13"/>
      <c r="G822" s="13"/>
      <c r="H822" s="13"/>
      <c r="I822" s="13"/>
      <c r="J822" s="66"/>
      <c r="K822" s="66"/>
      <c r="L822" s="66"/>
      <c r="M822" s="66"/>
      <c r="N822" s="66"/>
      <c r="O822" s="66"/>
      <c r="P822" s="66"/>
      <c r="Q822" s="72"/>
      <c r="R822" s="66"/>
      <c r="S822" s="66"/>
      <c r="T822" s="66"/>
      <c r="U822" s="66"/>
      <c r="V822" s="66"/>
      <c r="W822" s="12"/>
    </row>
    <row r="823" spans="1:23" s="7" customFormat="1" ht="91.5" x14ac:dyDescent="0.7">
      <c r="A823" s="78"/>
      <c r="B823" s="84"/>
      <c r="C823" s="32" t="s">
        <v>0</v>
      </c>
      <c r="D823" s="19"/>
      <c r="E823" s="13"/>
      <c r="F823" s="13"/>
      <c r="G823" s="13"/>
      <c r="H823" s="13"/>
      <c r="I823" s="13"/>
      <c r="J823" s="66"/>
      <c r="K823" s="66"/>
      <c r="L823" s="66"/>
      <c r="M823" s="66"/>
      <c r="N823" s="66"/>
      <c r="O823" s="66"/>
      <c r="P823" s="66"/>
      <c r="Q823" s="72"/>
      <c r="R823" s="66"/>
      <c r="S823" s="66"/>
      <c r="T823" s="66"/>
      <c r="U823" s="66"/>
      <c r="V823" s="66"/>
      <c r="W823" s="12"/>
    </row>
    <row r="824" spans="1:23" s="7" customFormat="1" ht="91.5" x14ac:dyDescent="0.7">
      <c r="A824" s="78"/>
      <c r="B824" s="84"/>
      <c r="C824" s="32" t="s">
        <v>1</v>
      </c>
      <c r="D824" s="19">
        <f>SUM(E824:H824)</f>
        <v>58645.889889999999</v>
      </c>
      <c r="E824" s="18">
        <f>60964.58-2318.69011</f>
        <v>58645.889889999999</v>
      </c>
      <c r="F824" s="18"/>
      <c r="G824" s="13"/>
      <c r="H824" s="13"/>
      <c r="I824" s="13"/>
      <c r="J824" s="66"/>
      <c r="K824" s="66"/>
      <c r="L824" s="66"/>
      <c r="M824" s="66"/>
      <c r="N824" s="66"/>
      <c r="O824" s="66"/>
      <c r="P824" s="66"/>
      <c r="Q824" s="72"/>
      <c r="R824" s="66"/>
      <c r="S824" s="66"/>
      <c r="T824" s="66"/>
      <c r="U824" s="66"/>
      <c r="V824" s="66"/>
      <c r="W824" s="12"/>
    </row>
    <row r="825" spans="1:23" s="7" customFormat="1" ht="94.5" customHeight="1" x14ac:dyDescent="0.7">
      <c r="A825" s="78"/>
      <c r="B825" s="84"/>
      <c r="C825" s="32" t="s">
        <v>2</v>
      </c>
      <c r="D825" s="19">
        <f>SUM(E825:H825)</f>
        <v>6516.2099877777782</v>
      </c>
      <c r="E825" s="18">
        <v>6516.2099877777782</v>
      </c>
      <c r="F825" s="18"/>
      <c r="G825" s="13"/>
      <c r="H825" s="13"/>
      <c r="I825" s="13"/>
      <c r="J825" s="66"/>
      <c r="K825" s="66"/>
      <c r="L825" s="66"/>
      <c r="M825" s="66"/>
      <c r="N825" s="66"/>
      <c r="O825" s="66"/>
      <c r="P825" s="66"/>
      <c r="Q825" s="72"/>
      <c r="R825" s="66"/>
      <c r="S825" s="66"/>
      <c r="T825" s="66"/>
      <c r="U825" s="66"/>
      <c r="V825" s="66"/>
      <c r="W825" s="12"/>
    </row>
    <row r="826" spans="1:23" s="7" customFormat="1" ht="91.5" x14ac:dyDescent="0.7">
      <c r="A826" s="79"/>
      <c r="B826" s="85"/>
      <c r="C826" s="32" t="s">
        <v>3</v>
      </c>
      <c r="D826" s="19"/>
      <c r="E826" s="13"/>
      <c r="F826" s="13"/>
      <c r="G826" s="13"/>
      <c r="H826" s="13"/>
      <c r="I826" s="13"/>
      <c r="J826" s="67"/>
      <c r="K826" s="67"/>
      <c r="L826" s="67"/>
      <c r="M826" s="67"/>
      <c r="N826" s="67"/>
      <c r="O826" s="67"/>
      <c r="P826" s="67"/>
      <c r="Q826" s="73"/>
      <c r="R826" s="67"/>
      <c r="S826" s="67"/>
      <c r="T826" s="67"/>
      <c r="U826" s="67"/>
      <c r="V826" s="67"/>
      <c r="W826" s="12"/>
    </row>
    <row r="827" spans="1:23" s="7" customFormat="1" x14ac:dyDescent="0.7">
      <c r="A827" s="74" t="s">
        <v>20</v>
      </c>
      <c r="B827" s="75"/>
      <c r="C827" s="75"/>
      <c r="D827" s="75"/>
      <c r="E827" s="75"/>
      <c r="F827" s="75"/>
      <c r="G827" s="75"/>
      <c r="H827" s="75"/>
      <c r="I827" s="75"/>
      <c r="J827" s="75"/>
      <c r="K827" s="75"/>
      <c r="L827" s="75"/>
      <c r="M827" s="75"/>
      <c r="N827" s="75"/>
      <c r="O827" s="75"/>
      <c r="P827" s="75"/>
      <c r="Q827" s="75"/>
      <c r="R827" s="75"/>
      <c r="S827" s="75"/>
      <c r="T827" s="75"/>
      <c r="U827" s="75"/>
      <c r="V827" s="76"/>
      <c r="W827" s="12"/>
    </row>
    <row r="828" spans="1:23" s="7" customFormat="1" x14ac:dyDescent="0.7">
      <c r="A828" s="77"/>
      <c r="B828" s="80" t="s">
        <v>288</v>
      </c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2"/>
      <c r="W828" s="12"/>
    </row>
    <row r="829" spans="1:23" s="7" customFormat="1" x14ac:dyDescent="0.7">
      <c r="A829" s="78"/>
      <c r="B829" s="92" t="s">
        <v>331</v>
      </c>
      <c r="C829" s="86" t="s">
        <v>347</v>
      </c>
      <c r="D829" s="87"/>
      <c r="E829" s="87"/>
      <c r="F829" s="87"/>
      <c r="G829" s="87"/>
      <c r="H829" s="88"/>
      <c r="I829" s="45"/>
      <c r="J829" s="65" t="s">
        <v>348</v>
      </c>
      <c r="K829" s="65" t="s">
        <v>349</v>
      </c>
      <c r="L829" s="65" t="s">
        <v>87</v>
      </c>
      <c r="M829" s="65" t="s">
        <v>350</v>
      </c>
      <c r="N829" s="65" t="s">
        <v>21</v>
      </c>
      <c r="O829" s="65" t="s">
        <v>21</v>
      </c>
      <c r="P829" s="65" t="s">
        <v>21</v>
      </c>
      <c r="Q829" s="71" t="s">
        <v>351</v>
      </c>
      <c r="R829" s="65" t="s">
        <v>11</v>
      </c>
      <c r="S829" s="65" t="s">
        <v>12</v>
      </c>
      <c r="T829" s="65" t="s">
        <v>7</v>
      </c>
      <c r="U829" s="65"/>
      <c r="V829" s="65" t="s">
        <v>352</v>
      </c>
      <c r="W829" s="12"/>
    </row>
    <row r="830" spans="1:23" s="7" customFormat="1" x14ac:dyDescent="0.7">
      <c r="A830" s="78"/>
      <c r="B830" s="93"/>
      <c r="C830" s="44" t="s">
        <v>5</v>
      </c>
      <c r="D830" s="17">
        <f t="shared" ref="D830" si="90">SUM(D831:D834)</f>
        <v>227344.01300000001</v>
      </c>
      <c r="E830" s="18">
        <f>SUM(E831:E834)</f>
        <v>227344.01300000001</v>
      </c>
      <c r="F830" s="18"/>
      <c r="G830" s="18"/>
      <c r="H830" s="18"/>
      <c r="I830" s="18"/>
      <c r="J830" s="66"/>
      <c r="K830" s="66"/>
      <c r="L830" s="66"/>
      <c r="M830" s="66"/>
      <c r="N830" s="66"/>
      <c r="O830" s="66"/>
      <c r="P830" s="66"/>
      <c r="Q830" s="72"/>
      <c r="R830" s="66"/>
      <c r="S830" s="66"/>
      <c r="T830" s="66"/>
      <c r="U830" s="66"/>
      <c r="V830" s="66"/>
      <c r="W830" s="12"/>
    </row>
    <row r="831" spans="1:23" s="7" customFormat="1" ht="91.5" x14ac:dyDescent="0.7">
      <c r="A831" s="78"/>
      <c r="B831" s="93"/>
      <c r="C831" s="44" t="s">
        <v>0</v>
      </c>
      <c r="D831" s="17"/>
      <c r="E831" s="18"/>
      <c r="F831" s="18"/>
      <c r="G831" s="18"/>
      <c r="H831" s="18"/>
      <c r="I831" s="18"/>
      <c r="J831" s="66"/>
      <c r="K831" s="66"/>
      <c r="L831" s="66"/>
      <c r="M831" s="66"/>
      <c r="N831" s="66"/>
      <c r="O831" s="66"/>
      <c r="P831" s="66"/>
      <c r="Q831" s="72"/>
      <c r="R831" s="66"/>
      <c r="S831" s="66"/>
      <c r="T831" s="66"/>
      <c r="U831" s="66"/>
      <c r="V831" s="66"/>
      <c r="W831" s="12"/>
    </row>
    <row r="832" spans="1:23" s="7" customFormat="1" ht="91.5" x14ac:dyDescent="0.7">
      <c r="A832" s="78"/>
      <c r="B832" s="93"/>
      <c r="C832" s="44" t="s">
        <v>1</v>
      </c>
      <c r="D832" s="17">
        <f>SUM(E832:H832)</f>
        <v>227344.01300000001</v>
      </c>
      <c r="E832" s="18">
        <f>0+38000+86970+119130-16755.987</f>
        <v>227344.01300000001</v>
      </c>
      <c r="F832" s="18"/>
      <c r="G832" s="18"/>
      <c r="H832" s="18"/>
      <c r="I832" s="18"/>
      <c r="J832" s="66"/>
      <c r="K832" s="66"/>
      <c r="L832" s="66"/>
      <c r="M832" s="66"/>
      <c r="N832" s="66"/>
      <c r="O832" s="66"/>
      <c r="P832" s="66"/>
      <c r="Q832" s="72"/>
      <c r="R832" s="66"/>
      <c r="S832" s="66"/>
      <c r="T832" s="66"/>
      <c r="U832" s="66"/>
      <c r="V832" s="66"/>
      <c r="W832" s="12"/>
    </row>
    <row r="833" spans="1:23" s="7" customFormat="1" ht="108" customHeight="1" x14ac:dyDescent="0.7">
      <c r="A833" s="78"/>
      <c r="B833" s="93"/>
      <c r="C833" s="44" t="s">
        <v>2</v>
      </c>
      <c r="D833" s="17"/>
      <c r="E833" s="18"/>
      <c r="F833" s="18"/>
      <c r="G833" s="18"/>
      <c r="H833" s="18"/>
      <c r="I833" s="18"/>
      <c r="J833" s="66"/>
      <c r="K833" s="66"/>
      <c r="L833" s="66"/>
      <c r="M833" s="66"/>
      <c r="N833" s="66"/>
      <c r="O833" s="66"/>
      <c r="P833" s="66"/>
      <c r="Q833" s="72"/>
      <c r="R833" s="66"/>
      <c r="S833" s="66"/>
      <c r="T833" s="66"/>
      <c r="U833" s="66"/>
      <c r="V833" s="66"/>
      <c r="W833" s="12"/>
    </row>
    <row r="834" spans="1:23" s="7" customFormat="1" ht="91.5" x14ac:dyDescent="0.7">
      <c r="A834" s="79"/>
      <c r="B834" s="94"/>
      <c r="C834" s="44" t="s">
        <v>3</v>
      </c>
      <c r="D834" s="17"/>
      <c r="E834" s="18"/>
      <c r="F834" s="18"/>
      <c r="G834" s="18"/>
      <c r="H834" s="18"/>
      <c r="I834" s="18"/>
      <c r="J834" s="67"/>
      <c r="K834" s="67"/>
      <c r="L834" s="67"/>
      <c r="M834" s="67"/>
      <c r="N834" s="67"/>
      <c r="O834" s="67"/>
      <c r="P834" s="67"/>
      <c r="Q834" s="73"/>
      <c r="R834" s="67"/>
      <c r="S834" s="67"/>
      <c r="T834" s="67"/>
      <c r="U834" s="67"/>
      <c r="V834" s="67"/>
      <c r="W834" s="12"/>
    </row>
    <row r="835" spans="1:23" s="7" customFormat="1" x14ac:dyDescent="0.7">
      <c r="A835" s="74" t="s">
        <v>20</v>
      </c>
      <c r="B835" s="75"/>
      <c r="C835" s="75"/>
      <c r="D835" s="75"/>
      <c r="E835" s="75"/>
      <c r="F835" s="75"/>
      <c r="G835" s="75"/>
      <c r="H835" s="75"/>
      <c r="I835" s="75"/>
      <c r="J835" s="75"/>
      <c r="K835" s="75"/>
      <c r="L835" s="75"/>
      <c r="M835" s="75"/>
      <c r="N835" s="75"/>
      <c r="O835" s="75"/>
      <c r="P835" s="75"/>
      <c r="Q835" s="75"/>
      <c r="R835" s="75"/>
      <c r="S835" s="75"/>
      <c r="T835" s="75"/>
      <c r="U835" s="75"/>
      <c r="V835" s="76"/>
      <c r="W835" s="12"/>
    </row>
    <row r="836" spans="1:23" s="7" customFormat="1" x14ac:dyDescent="0.7">
      <c r="A836" s="77"/>
      <c r="B836" s="89" t="s">
        <v>271</v>
      </c>
      <c r="C836" s="90"/>
      <c r="D836" s="90"/>
      <c r="E836" s="90"/>
      <c r="F836" s="90"/>
      <c r="G836" s="90"/>
      <c r="H836" s="90"/>
      <c r="I836" s="90"/>
      <c r="J836" s="90"/>
      <c r="K836" s="90"/>
      <c r="L836" s="90"/>
      <c r="M836" s="90"/>
      <c r="N836" s="90"/>
      <c r="O836" s="90"/>
      <c r="P836" s="90"/>
      <c r="Q836" s="90"/>
      <c r="R836" s="90"/>
      <c r="S836" s="90"/>
      <c r="T836" s="90"/>
      <c r="U836" s="90"/>
      <c r="V836" s="91"/>
      <c r="W836" s="12"/>
    </row>
    <row r="837" spans="1:23" s="7" customFormat="1" x14ac:dyDescent="0.7">
      <c r="A837" s="78"/>
      <c r="B837" s="92" t="s">
        <v>302</v>
      </c>
      <c r="C837" s="86" t="s">
        <v>286</v>
      </c>
      <c r="D837" s="87"/>
      <c r="E837" s="87"/>
      <c r="F837" s="87"/>
      <c r="G837" s="87"/>
      <c r="H837" s="88"/>
      <c r="I837" s="45"/>
      <c r="J837" s="65" t="s">
        <v>156</v>
      </c>
      <c r="K837" s="65" t="s">
        <v>72</v>
      </c>
      <c r="L837" s="65" t="s">
        <v>87</v>
      </c>
      <c r="M837" s="65" t="s">
        <v>184</v>
      </c>
      <c r="N837" s="65" t="s">
        <v>21</v>
      </c>
      <c r="O837" s="65" t="s">
        <v>21</v>
      </c>
      <c r="P837" s="65" t="s">
        <v>21</v>
      </c>
      <c r="Q837" s="71" t="s">
        <v>537</v>
      </c>
      <c r="R837" s="65" t="s">
        <v>11</v>
      </c>
      <c r="S837" s="65" t="s">
        <v>12</v>
      </c>
      <c r="T837" s="65" t="s">
        <v>7</v>
      </c>
      <c r="U837" s="65" t="s">
        <v>538</v>
      </c>
      <c r="V837" s="65" t="s">
        <v>185</v>
      </c>
      <c r="W837" s="12"/>
    </row>
    <row r="838" spans="1:23" s="7" customFormat="1" x14ac:dyDescent="0.7">
      <c r="A838" s="78"/>
      <c r="B838" s="93"/>
      <c r="C838" s="44" t="s">
        <v>5</v>
      </c>
      <c r="D838" s="17">
        <f t="shared" ref="D838:E838" si="91">SUM(D839:D842)</f>
        <v>35465.953259999995</v>
      </c>
      <c r="E838" s="18">
        <f t="shared" si="91"/>
        <v>35465.953259999995</v>
      </c>
      <c r="F838" s="18"/>
      <c r="G838" s="18"/>
      <c r="H838" s="18"/>
      <c r="I838" s="18"/>
      <c r="J838" s="66"/>
      <c r="K838" s="66"/>
      <c r="L838" s="66"/>
      <c r="M838" s="66"/>
      <c r="N838" s="66"/>
      <c r="O838" s="66"/>
      <c r="P838" s="66"/>
      <c r="Q838" s="72"/>
      <c r="R838" s="66"/>
      <c r="S838" s="66"/>
      <c r="T838" s="66"/>
      <c r="U838" s="66"/>
      <c r="V838" s="66"/>
      <c r="W838" s="12"/>
    </row>
    <row r="839" spans="1:23" s="7" customFormat="1" ht="91.5" x14ac:dyDescent="0.7">
      <c r="A839" s="78"/>
      <c r="B839" s="93"/>
      <c r="C839" s="44" t="s">
        <v>0</v>
      </c>
      <c r="D839" s="17"/>
      <c r="E839" s="18"/>
      <c r="F839" s="18"/>
      <c r="G839" s="18"/>
      <c r="H839" s="18"/>
      <c r="I839" s="18"/>
      <c r="J839" s="66"/>
      <c r="K839" s="66"/>
      <c r="L839" s="66"/>
      <c r="M839" s="66"/>
      <c r="N839" s="66"/>
      <c r="O839" s="66"/>
      <c r="P839" s="66"/>
      <c r="Q839" s="72"/>
      <c r="R839" s="66"/>
      <c r="S839" s="66"/>
      <c r="T839" s="66"/>
      <c r="U839" s="66"/>
      <c r="V839" s="66"/>
      <c r="W839" s="12"/>
    </row>
    <row r="840" spans="1:23" s="7" customFormat="1" ht="91.5" x14ac:dyDescent="0.7">
      <c r="A840" s="78"/>
      <c r="B840" s="93"/>
      <c r="C840" s="44" t="s">
        <v>1</v>
      </c>
      <c r="D840" s="17">
        <f>SUM(E840:H840)</f>
        <v>35465.953259999995</v>
      </c>
      <c r="E840" s="18">
        <f>34699.914+766.03926</f>
        <v>35465.953259999995</v>
      </c>
      <c r="F840" s="18"/>
      <c r="G840" s="18"/>
      <c r="H840" s="18"/>
      <c r="I840" s="18"/>
      <c r="J840" s="66"/>
      <c r="K840" s="66"/>
      <c r="L840" s="66"/>
      <c r="M840" s="66"/>
      <c r="N840" s="66"/>
      <c r="O840" s="66"/>
      <c r="P840" s="66"/>
      <c r="Q840" s="72"/>
      <c r="R840" s="66"/>
      <c r="S840" s="66"/>
      <c r="T840" s="66"/>
      <c r="U840" s="66"/>
      <c r="V840" s="66"/>
      <c r="W840" s="12"/>
    </row>
    <row r="841" spans="1:23" s="7" customFormat="1" ht="99" customHeight="1" x14ac:dyDescent="0.7">
      <c r="A841" s="78"/>
      <c r="B841" s="93"/>
      <c r="C841" s="44" t="s">
        <v>2</v>
      </c>
      <c r="D841" s="17"/>
      <c r="E841" s="18"/>
      <c r="F841" s="18"/>
      <c r="G841" s="18"/>
      <c r="H841" s="18"/>
      <c r="I841" s="18"/>
      <c r="J841" s="66"/>
      <c r="K841" s="66"/>
      <c r="L841" s="66"/>
      <c r="M841" s="66"/>
      <c r="N841" s="66"/>
      <c r="O841" s="66"/>
      <c r="P841" s="66"/>
      <c r="Q841" s="72"/>
      <c r="R841" s="66"/>
      <c r="S841" s="66"/>
      <c r="T841" s="66"/>
      <c r="U841" s="66"/>
      <c r="V841" s="66"/>
      <c r="W841" s="12"/>
    </row>
    <row r="842" spans="1:23" s="7" customFormat="1" ht="91.5" x14ac:dyDescent="0.7">
      <c r="A842" s="79"/>
      <c r="B842" s="94"/>
      <c r="C842" s="44" t="s">
        <v>3</v>
      </c>
      <c r="D842" s="17"/>
      <c r="E842" s="18"/>
      <c r="F842" s="18"/>
      <c r="G842" s="18"/>
      <c r="H842" s="18"/>
      <c r="I842" s="18"/>
      <c r="J842" s="67"/>
      <c r="K842" s="67"/>
      <c r="L842" s="67"/>
      <c r="M842" s="67"/>
      <c r="N842" s="67"/>
      <c r="O842" s="67"/>
      <c r="P842" s="67"/>
      <c r="Q842" s="73"/>
      <c r="R842" s="67"/>
      <c r="S842" s="67"/>
      <c r="T842" s="67"/>
      <c r="U842" s="67"/>
      <c r="V842" s="67"/>
      <c r="W842" s="12"/>
    </row>
    <row r="843" spans="1:23" s="7" customFormat="1" x14ac:dyDescent="0.7">
      <c r="A843" s="74" t="s">
        <v>20</v>
      </c>
      <c r="B843" s="75"/>
      <c r="C843" s="75"/>
      <c r="D843" s="75"/>
      <c r="E843" s="75"/>
      <c r="F843" s="75"/>
      <c r="G843" s="75"/>
      <c r="H843" s="75"/>
      <c r="I843" s="75"/>
      <c r="J843" s="75"/>
      <c r="K843" s="75"/>
      <c r="L843" s="75"/>
      <c r="M843" s="75"/>
      <c r="N843" s="75"/>
      <c r="O843" s="75"/>
      <c r="P843" s="75"/>
      <c r="Q843" s="75"/>
      <c r="R843" s="75"/>
      <c r="S843" s="75"/>
      <c r="T843" s="75"/>
      <c r="U843" s="75"/>
      <c r="V843" s="76"/>
      <c r="W843" s="12"/>
    </row>
    <row r="844" spans="1:23" s="7" customFormat="1" x14ac:dyDescent="0.7">
      <c r="A844" s="77"/>
      <c r="B844" s="89" t="s">
        <v>271</v>
      </c>
      <c r="C844" s="90"/>
      <c r="D844" s="90"/>
      <c r="E844" s="90"/>
      <c r="F844" s="90"/>
      <c r="G844" s="90"/>
      <c r="H844" s="90"/>
      <c r="I844" s="90"/>
      <c r="J844" s="90"/>
      <c r="K844" s="90"/>
      <c r="L844" s="90"/>
      <c r="M844" s="90"/>
      <c r="N844" s="90"/>
      <c r="O844" s="90"/>
      <c r="P844" s="90"/>
      <c r="Q844" s="90"/>
      <c r="R844" s="90"/>
      <c r="S844" s="90"/>
      <c r="T844" s="90"/>
      <c r="U844" s="90"/>
      <c r="V844" s="91"/>
      <c r="W844" s="12"/>
    </row>
    <row r="845" spans="1:23" s="7" customFormat="1" x14ac:dyDescent="0.7">
      <c r="A845" s="78"/>
      <c r="B845" s="92" t="s">
        <v>303</v>
      </c>
      <c r="C845" s="86" t="s">
        <v>169</v>
      </c>
      <c r="D845" s="87"/>
      <c r="E845" s="87"/>
      <c r="F845" s="87"/>
      <c r="G845" s="87"/>
      <c r="H845" s="88"/>
      <c r="I845" s="45"/>
      <c r="J845" s="65" t="s">
        <v>156</v>
      </c>
      <c r="K845" s="65" t="s">
        <v>72</v>
      </c>
      <c r="L845" s="65" t="s">
        <v>87</v>
      </c>
      <c r="M845" s="65" t="s">
        <v>188</v>
      </c>
      <c r="N845" s="65" t="s">
        <v>21</v>
      </c>
      <c r="O845" s="65" t="s">
        <v>21</v>
      </c>
      <c r="P845" s="65" t="s">
        <v>21</v>
      </c>
      <c r="Q845" s="71" t="s">
        <v>539</v>
      </c>
      <c r="R845" s="65" t="s">
        <v>11</v>
      </c>
      <c r="S845" s="65" t="s">
        <v>13</v>
      </c>
      <c r="T845" s="65" t="s">
        <v>7</v>
      </c>
      <c r="U845" s="65" t="s">
        <v>538</v>
      </c>
      <c r="V845" s="65" t="s">
        <v>189</v>
      </c>
      <c r="W845" s="12"/>
    </row>
    <row r="846" spans="1:23" s="7" customFormat="1" x14ac:dyDescent="0.7">
      <c r="A846" s="78"/>
      <c r="B846" s="93"/>
      <c r="C846" s="44" t="s">
        <v>5</v>
      </c>
      <c r="D846" s="17">
        <f t="shared" ref="D846:E846" si="92">SUM(D847:D850)</f>
        <v>61425.461080000001</v>
      </c>
      <c r="E846" s="18">
        <f t="shared" si="92"/>
        <v>61425.461080000001</v>
      </c>
      <c r="F846" s="18"/>
      <c r="G846" s="18"/>
      <c r="H846" s="18"/>
      <c r="I846" s="18"/>
      <c r="J846" s="66"/>
      <c r="K846" s="66"/>
      <c r="L846" s="66"/>
      <c r="M846" s="66"/>
      <c r="N846" s="66"/>
      <c r="O846" s="66"/>
      <c r="P846" s="66"/>
      <c r="Q846" s="72"/>
      <c r="R846" s="66"/>
      <c r="S846" s="66"/>
      <c r="T846" s="66"/>
      <c r="U846" s="66"/>
      <c r="V846" s="66"/>
      <c r="W846" s="12"/>
    </row>
    <row r="847" spans="1:23" s="7" customFormat="1" ht="91.5" x14ac:dyDescent="0.7">
      <c r="A847" s="78"/>
      <c r="B847" s="93"/>
      <c r="C847" s="44" t="s">
        <v>0</v>
      </c>
      <c r="D847" s="17"/>
      <c r="E847" s="18"/>
      <c r="F847" s="18"/>
      <c r="G847" s="18"/>
      <c r="H847" s="18"/>
      <c r="I847" s="18"/>
      <c r="J847" s="66"/>
      <c r="K847" s="66"/>
      <c r="L847" s="66"/>
      <c r="M847" s="66"/>
      <c r="N847" s="66"/>
      <c r="O847" s="66"/>
      <c r="P847" s="66"/>
      <c r="Q847" s="72"/>
      <c r="R847" s="66"/>
      <c r="S847" s="66"/>
      <c r="T847" s="66"/>
      <c r="U847" s="66"/>
      <c r="V847" s="66"/>
      <c r="W847" s="12"/>
    </row>
    <row r="848" spans="1:23" s="7" customFormat="1" ht="91.5" x14ac:dyDescent="0.7">
      <c r="A848" s="78"/>
      <c r="B848" s="93"/>
      <c r="C848" s="44" t="s">
        <v>1</v>
      </c>
      <c r="D848" s="17">
        <f>SUM(E848:H848)</f>
        <v>61425.461080000001</v>
      </c>
      <c r="E848" s="18">
        <f>60000+1425.46108</f>
        <v>61425.461080000001</v>
      </c>
      <c r="F848" s="18"/>
      <c r="G848" s="18"/>
      <c r="H848" s="18"/>
      <c r="I848" s="18"/>
      <c r="J848" s="66"/>
      <c r="K848" s="66"/>
      <c r="L848" s="66"/>
      <c r="M848" s="66"/>
      <c r="N848" s="66"/>
      <c r="O848" s="66"/>
      <c r="P848" s="66"/>
      <c r="Q848" s="72"/>
      <c r="R848" s="66"/>
      <c r="S848" s="66"/>
      <c r="T848" s="66"/>
      <c r="U848" s="66"/>
      <c r="V848" s="66"/>
      <c r="W848" s="12"/>
    </row>
    <row r="849" spans="1:23" s="7" customFormat="1" ht="99" customHeight="1" x14ac:dyDescent="0.7">
      <c r="A849" s="78"/>
      <c r="B849" s="93"/>
      <c r="C849" s="44" t="s">
        <v>2</v>
      </c>
      <c r="D849" s="17"/>
      <c r="E849" s="18"/>
      <c r="F849" s="18"/>
      <c r="G849" s="18"/>
      <c r="H849" s="18"/>
      <c r="I849" s="18"/>
      <c r="J849" s="66"/>
      <c r="K849" s="66"/>
      <c r="L849" s="66"/>
      <c r="M849" s="66"/>
      <c r="N849" s="66"/>
      <c r="O849" s="66"/>
      <c r="P849" s="66"/>
      <c r="Q849" s="72"/>
      <c r="R849" s="66"/>
      <c r="S849" s="66"/>
      <c r="T849" s="66"/>
      <c r="U849" s="66"/>
      <c r="V849" s="66"/>
      <c r="W849" s="12"/>
    </row>
    <row r="850" spans="1:23" s="7" customFormat="1" ht="91.5" x14ac:dyDescent="0.7">
      <c r="A850" s="79"/>
      <c r="B850" s="94"/>
      <c r="C850" s="44" t="s">
        <v>3</v>
      </c>
      <c r="D850" s="17"/>
      <c r="E850" s="18"/>
      <c r="F850" s="18"/>
      <c r="G850" s="18"/>
      <c r="H850" s="18"/>
      <c r="I850" s="18"/>
      <c r="J850" s="67"/>
      <c r="K850" s="67"/>
      <c r="L850" s="67"/>
      <c r="M850" s="67"/>
      <c r="N850" s="67"/>
      <c r="O850" s="67"/>
      <c r="P850" s="67"/>
      <c r="Q850" s="73"/>
      <c r="R850" s="67"/>
      <c r="S850" s="67"/>
      <c r="T850" s="67"/>
      <c r="U850" s="67"/>
      <c r="V850" s="67"/>
      <c r="W850" s="12"/>
    </row>
    <row r="851" spans="1:23" s="7" customFormat="1" x14ac:dyDescent="0.7">
      <c r="A851" s="74" t="s">
        <v>20</v>
      </c>
      <c r="B851" s="75"/>
      <c r="C851" s="75"/>
      <c r="D851" s="75"/>
      <c r="E851" s="75"/>
      <c r="F851" s="75"/>
      <c r="G851" s="75"/>
      <c r="H851" s="75"/>
      <c r="I851" s="75"/>
      <c r="J851" s="75"/>
      <c r="K851" s="75"/>
      <c r="L851" s="75"/>
      <c r="M851" s="75"/>
      <c r="N851" s="75"/>
      <c r="O851" s="75"/>
      <c r="P851" s="75"/>
      <c r="Q851" s="75"/>
      <c r="R851" s="75"/>
      <c r="S851" s="75"/>
      <c r="T851" s="75"/>
      <c r="U851" s="75"/>
      <c r="V851" s="76"/>
      <c r="W851" s="12"/>
    </row>
    <row r="852" spans="1:23" s="7" customFormat="1" x14ac:dyDescent="0.7">
      <c r="A852" s="77"/>
      <c r="B852" s="89" t="s">
        <v>271</v>
      </c>
      <c r="C852" s="90"/>
      <c r="D852" s="90"/>
      <c r="E852" s="90"/>
      <c r="F852" s="90"/>
      <c r="G852" s="90"/>
      <c r="H852" s="90"/>
      <c r="I852" s="90"/>
      <c r="J852" s="90"/>
      <c r="K852" s="90"/>
      <c r="L852" s="90"/>
      <c r="M852" s="90"/>
      <c r="N852" s="90"/>
      <c r="O852" s="90"/>
      <c r="P852" s="90"/>
      <c r="Q852" s="90"/>
      <c r="R852" s="90"/>
      <c r="S852" s="90"/>
      <c r="T852" s="90"/>
      <c r="U852" s="90"/>
      <c r="V852" s="91"/>
      <c r="W852" s="12"/>
    </row>
    <row r="853" spans="1:23" s="7" customFormat="1" x14ac:dyDescent="0.7">
      <c r="A853" s="78"/>
      <c r="B853" s="92" t="s">
        <v>304</v>
      </c>
      <c r="C853" s="86" t="s">
        <v>170</v>
      </c>
      <c r="D853" s="87"/>
      <c r="E853" s="87"/>
      <c r="F853" s="87"/>
      <c r="G853" s="87"/>
      <c r="H853" s="88"/>
      <c r="I853" s="45"/>
      <c r="J853" s="65" t="s">
        <v>156</v>
      </c>
      <c r="K853" s="65" t="s">
        <v>72</v>
      </c>
      <c r="L853" s="65" t="s">
        <v>87</v>
      </c>
      <c r="M853" s="65" t="s">
        <v>186</v>
      </c>
      <c r="N853" s="65" t="s">
        <v>21</v>
      </c>
      <c r="O853" s="65" t="s">
        <v>21</v>
      </c>
      <c r="P853" s="65" t="s">
        <v>21</v>
      </c>
      <c r="Q853" s="71" t="s">
        <v>540</v>
      </c>
      <c r="R853" s="65" t="s">
        <v>11</v>
      </c>
      <c r="S853" s="65" t="s">
        <v>13</v>
      </c>
      <c r="T853" s="65" t="s">
        <v>7</v>
      </c>
      <c r="U853" s="65" t="s">
        <v>538</v>
      </c>
      <c r="V853" s="65" t="s">
        <v>187</v>
      </c>
      <c r="W853" s="12"/>
    </row>
    <row r="854" spans="1:23" s="7" customFormat="1" x14ac:dyDescent="0.7">
      <c r="A854" s="78"/>
      <c r="B854" s="93"/>
      <c r="C854" s="44" t="s">
        <v>5</v>
      </c>
      <c r="D854" s="17">
        <f t="shared" ref="D854:E854" si="93">SUM(D855:D858)</f>
        <v>56955.22509</v>
      </c>
      <c r="E854" s="18">
        <f t="shared" si="93"/>
        <v>56955.22509</v>
      </c>
      <c r="F854" s="18"/>
      <c r="G854" s="18"/>
      <c r="H854" s="18"/>
      <c r="I854" s="18"/>
      <c r="J854" s="66"/>
      <c r="K854" s="66"/>
      <c r="L854" s="66"/>
      <c r="M854" s="66"/>
      <c r="N854" s="66"/>
      <c r="O854" s="66"/>
      <c r="P854" s="66"/>
      <c r="Q854" s="72"/>
      <c r="R854" s="66"/>
      <c r="S854" s="66"/>
      <c r="T854" s="66"/>
      <c r="U854" s="66"/>
      <c r="V854" s="66"/>
      <c r="W854" s="12"/>
    </row>
    <row r="855" spans="1:23" s="7" customFormat="1" ht="91.5" x14ac:dyDescent="0.7">
      <c r="A855" s="78"/>
      <c r="B855" s="93"/>
      <c r="C855" s="44" t="s">
        <v>0</v>
      </c>
      <c r="D855" s="17"/>
      <c r="E855" s="18"/>
      <c r="F855" s="18"/>
      <c r="G855" s="18"/>
      <c r="H855" s="18"/>
      <c r="I855" s="18"/>
      <c r="J855" s="66"/>
      <c r="K855" s="66"/>
      <c r="L855" s="66"/>
      <c r="M855" s="66"/>
      <c r="N855" s="66"/>
      <c r="O855" s="66"/>
      <c r="P855" s="66"/>
      <c r="Q855" s="72"/>
      <c r="R855" s="66"/>
      <c r="S855" s="66"/>
      <c r="T855" s="66"/>
      <c r="U855" s="66"/>
      <c r="V855" s="66"/>
      <c r="W855" s="12"/>
    </row>
    <row r="856" spans="1:23" s="7" customFormat="1" ht="91.5" x14ac:dyDescent="0.7">
      <c r="A856" s="78"/>
      <c r="B856" s="93"/>
      <c r="C856" s="44" t="s">
        <v>1</v>
      </c>
      <c r="D856" s="17">
        <f>SUM(E856:H856)</f>
        <v>56955.22509</v>
      </c>
      <c r="E856" s="18">
        <f>55600+1355.22509</f>
        <v>56955.22509</v>
      </c>
      <c r="F856" s="18"/>
      <c r="G856" s="18"/>
      <c r="H856" s="18"/>
      <c r="I856" s="18"/>
      <c r="J856" s="66"/>
      <c r="K856" s="66"/>
      <c r="L856" s="66"/>
      <c r="M856" s="66"/>
      <c r="N856" s="66"/>
      <c r="O856" s="66"/>
      <c r="P856" s="66"/>
      <c r="Q856" s="72"/>
      <c r="R856" s="66"/>
      <c r="S856" s="66"/>
      <c r="T856" s="66"/>
      <c r="U856" s="66"/>
      <c r="V856" s="66"/>
      <c r="W856" s="12"/>
    </row>
    <row r="857" spans="1:23" s="7" customFormat="1" ht="99" customHeight="1" x14ac:dyDescent="0.7">
      <c r="A857" s="78"/>
      <c r="B857" s="93"/>
      <c r="C857" s="44" t="s">
        <v>2</v>
      </c>
      <c r="D857" s="17"/>
      <c r="E857" s="18"/>
      <c r="F857" s="18"/>
      <c r="G857" s="18"/>
      <c r="H857" s="18"/>
      <c r="I857" s="18"/>
      <c r="J857" s="66"/>
      <c r="K857" s="66"/>
      <c r="L857" s="66"/>
      <c r="M857" s="66"/>
      <c r="N857" s="66"/>
      <c r="O857" s="66"/>
      <c r="P857" s="66"/>
      <c r="Q857" s="72"/>
      <c r="R857" s="66"/>
      <c r="S857" s="66"/>
      <c r="T857" s="66"/>
      <c r="U857" s="66"/>
      <c r="V857" s="66"/>
      <c r="W857" s="12"/>
    </row>
    <row r="858" spans="1:23" s="7" customFormat="1" ht="91.5" x14ac:dyDescent="0.7">
      <c r="A858" s="79"/>
      <c r="B858" s="94"/>
      <c r="C858" s="44" t="s">
        <v>3</v>
      </c>
      <c r="D858" s="17"/>
      <c r="E858" s="18"/>
      <c r="F858" s="18"/>
      <c r="G858" s="18"/>
      <c r="H858" s="18"/>
      <c r="I858" s="18"/>
      <c r="J858" s="67"/>
      <c r="K858" s="67"/>
      <c r="L858" s="67"/>
      <c r="M858" s="67"/>
      <c r="N858" s="67"/>
      <c r="O858" s="67"/>
      <c r="P858" s="67"/>
      <c r="Q858" s="73"/>
      <c r="R858" s="67"/>
      <c r="S858" s="67"/>
      <c r="T858" s="67"/>
      <c r="U858" s="67"/>
      <c r="V858" s="67"/>
      <c r="W858" s="12"/>
    </row>
    <row r="859" spans="1:23" s="7" customFormat="1" ht="45.75" customHeight="1" x14ac:dyDescent="0.7">
      <c r="A859" s="74" t="s">
        <v>20</v>
      </c>
      <c r="B859" s="75"/>
      <c r="C859" s="75"/>
      <c r="D859" s="75"/>
      <c r="E859" s="75"/>
      <c r="F859" s="75"/>
      <c r="G859" s="75"/>
      <c r="H859" s="75"/>
      <c r="I859" s="75"/>
      <c r="J859" s="75"/>
      <c r="K859" s="75"/>
      <c r="L859" s="75"/>
      <c r="M859" s="75"/>
      <c r="N859" s="75"/>
      <c r="O859" s="75"/>
      <c r="P859" s="75"/>
      <c r="Q859" s="75"/>
      <c r="R859" s="75"/>
      <c r="S859" s="75"/>
      <c r="T859" s="75"/>
      <c r="U859" s="75"/>
      <c r="V859" s="76"/>
      <c r="W859" s="12"/>
    </row>
    <row r="860" spans="1:23" s="7" customFormat="1" ht="45.75" customHeight="1" x14ac:dyDescent="0.7">
      <c r="A860" s="77"/>
      <c r="B860" s="89" t="s">
        <v>271</v>
      </c>
      <c r="C860" s="90"/>
      <c r="D860" s="90"/>
      <c r="E860" s="90"/>
      <c r="F860" s="90"/>
      <c r="G860" s="90"/>
      <c r="H860" s="90"/>
      <c r="I860" s="90"/>
      <c r="J860" s="90"/>
      <c r="K860" s="90"/>
      <c r="L860" s="90"/>
      <c r="M860" s="90"/>
      <c r="N860" s="90"/>
      <c r="O860" s="90"/>
      <c r="P860" s="90"/>
      <c r="Q860" s="90"/>
      <c r="R860" s="90"/>
      <c r="S860" s="90"/>
      <c r="T860" s="90"/>
      <c r="U860" s="90"/>
      <c r="V860" s="91"/>
      <c r="W860" s="12"/>
    </row>
    <row r="861" spans="1:23" s="7" customFormat="1" x14ac:dyDescent="0.7">
      <c r="A861" s="78"/>
      <c r="B861" s="92" t="s">
        <v>305</v>
      </c>
      <c r="C861" s="86" t="s">
        <v>171</v>
      </c>
      <c r="D861" s="87"/>
      <c r="E861" s="87"/>
      <c r="F861" s="87"/>
      <c r="G861" s="87"/>
      <c r="H861" s="88"/>
      <c r="I861" s="45"/>
      <c r="J861" s="65" t="s">
        <v>156</v>
      </c>
      <c r="K861" s="65" t="s">
        <v>72</v>
      </c>
      <c r="L861" s="65" t="s">
        <v>87</v>
      </c>
      <c r="M861" s="65" t="s">
        <v>168</v>
      </c>
      <c r="N861" s="65" t="s">
        <v>21</v>
      </c>
      <c r="O861" s="65" t="s">
        <v>21</v>
      </c>
      <c r="P861" s="65" t="s">
        <v>21</v>
      </c>
      <c r="Q861" s="71" t="s">
        <v>541</v>
      </c>
      <c r="R861" s="65" t="s">
        <v>11</v>
      </c>
      <c r="S861" s="65" t="s">
        <v>15</v>
      </c>
      <c r="T861" s="65" t="s">
        <v>7</v>
      </c>
      <c r="U861" s="65" t="s">
        <v>538</v>
      </c>
      <c r="V861" s="65" t="s">
        <v>190</v>
      </c>
      <c r="W861" s="12"/>
    </row>
    <row r="862" spans="1:23" s="7" customFormat="1" x14ac:dyDescent="0.7">
      <c r="A862" s="78"/>
      <c r="B862" s="93"/>
      <c r="C862" s="44" t="s">
        <v>5</v>
      </c>
      <c r="D862" s="17">
        <f t="shared" ref="D862:E862" si="94">SUM(D863:D866)</f>
        <v>121456.99415</v>
      </c>
      <c r="E862" s="18">
        <f t="shared" si="94"/>
        <v>121456.99415</v>
      </c>
      <c r="F862" s="18"/>
      <c r="G862" s="18"/>
      <c r="H862" s="18"/>
      <c r="I862" s="18"/>
      <c r="J862" s="66"/>
      <c r="K862" s="66"/>
      <c r="L862" s="66"/>
      <c r="M862" s="66"/>
      <c r="N862" s="66"/>
      <c r="O862" s="66"/>
      <c r="P862" s="66"/>
      <c r="Q862" s="72"/>
      <c r="R862" s="66"/>
      <c r="S862" s="66"/>
      <c r="T862" s="66"/>
      <c r="U862" s="66"/>
      <c r="V862" s="66"/>
      <c r="W862" s="12"/>
    </row>
    <row r="863" spans="1:23" s="7" customFormat="1" ht="91.5" x14ac:dyDescent="0.7">
      <c r="A863" s="78"/>
      <c r="B863" s="93"/>
      <c r="C863" s="44" t="s">
        <v>0</v>
      </c>
      <c r="D863" s="17"/>
      <c r="E863" s="18"/>
      <c r="F863" s="18"/>
      <c r="G863" s="18"/>
      <c r="H863" s="18"/>
      <c r="I863" s="18"/>
      <c r="J863" s="66"/>
      <c r="K863" s="66"/>
      <c r="L863" s="66"/>
      <c r="M863" s="66"/>
      <c r="N863" s="66"/>
      <c r="O863" s="66"/>
      <c r="P863" s="66"/>
      <c r="Q863" s="72"/>
      <c r="R863" s="66"/>
      <c r="S863" s="66"/>
      <c r="T863" s="66"/>
      <c r="U863" s="66"/>
      <c r="V863" s="66"/>
      <c r="W863" s="12"/>
    </row>
    <row r="864" spans="1:23" s="7" customFormat="1" ht="91.5" x14ac:dyDescent="0.7">
      <c r="A864" s="78"/>
      <c r="B864" s="93"/>
      <c r="C864" s="44" t="s">
        <v>1</v>
      </c>
      <c r="D864" s="17">
        <f>SUM(E864:H864)</f>
        <v>121456.99415</v>
      </c>
      <c r="E864" s="18">
        <f>24203.9+8653.92261+986.04495+59590.30683+10755.987+17266.83276</f>
        <v>121456.99415</v>
      </c>
      <c r="F864" s="18"/>
      <c r="G864" s="18"/>
      <c r="H864" s="18"/>
      <c r="I864" s="18"/>
      <c r="J864" s="66"/>
      <c r="K864" s="66"/>
      <c r="L864" s="66"/>
      <c r="M864" s="66"/>
      <c r="N864" s="66"/>
      <c r="O864" s="66"/>
      <c r="P864" s="66"/>
      <c r="Q864" s="72"/>
      <c r="R864" s="66"/>
      <c r="S864" s="66"/>
      <c r="T864" s="66"/>
      <c r="U864" s="66"/>
      <c r="V864" s="66"/>
      <c r="W864" s="12"/>
    </row>
    <row r="865" spans="1:23" s="7" customFormat="1" ht="90.75" customHeight="1" x14ac:dyDescent="0.7">
      <c r="A865" s="78"/>
      <c r="B865" s="93"/>
      <c r="C865" s="44" t="s">
        <v>2</v>
      </c>
      <c r="D865" s="17"/>
      <c r="E865" s="18"/>
      <c r="F865" s="18"/>
      <c r="G865" s="18"/>
      <c r="H865" s="18"/>
      <c r="I865" s="18"/>
      <c r="J865" s="66"/>
      <c r="K865" s="66"/>
      <c r="L865" s="66"/>
      <c r="M865" s="66"/>
      <c r="N865" s="66"/>
      <c r="O865" s="66"/>
      <c r="P865" s="66"/>
      <c r="Q865" s="72"/>
      <c r="R865" s="66"/>
      <c r="S865" s="66"/>
      <c r="T865" s="66"/>
      <c r="U865" s="66"/>
      <c r="V865" s="66"/>
      <c r="W865" s="12"/>
    </row>
    <row r="866" spans="1:23" s="7" customFormat="1" ht="91.5" x14ac:dyDescent="0.7">
      <c r="A866" s="79"/>
      <c r="B866" s="94"/>
      <c r="C866" s="44" t="s">
        <v>3</v>
      </c>
      <c r="D866" s="17"/>
      <c r="E866" s="18"/>
      <c r="F866" s="18"/>
      <c r="G866" s="18"/>
      <c r="H866" s="18"/>
      <c r="I866" s="18"/>
      <c r="J866" s="67"/>
      <c r="K866" s="67"/>
      <c r="L866" s="67"/>
      <c r="M866" s="67"/>
      <c r="N866" s="67"/>
      <c r="O866" s="67"/>
      <c r="P866" s="67"/>
      <c r="Q866" s="73"/>
      <c r="R866" s="67"/>
      <c r="S866" s="67"/>
      <c r="T866" s="67"/>
      <c r="U866" s="67"/>
      <c r="V866" s="67"/>
      <c r="W866" s="12"/>
    </row>
    <row r="867" spans="1:23" s="7" customFormat="1" ht="45.75" customHeight="1" x14ac:dyDescent="0.7">
      <c r="A867" s="74" t="s">
        <v>20</v>
      </c>
      <c r="B867" s="75"/>
      <c r="C867" s="75"/>
      <c r="D867" s="75"/>
      <c r="E867" s="75"/>
      <c r="F867" s="75"/>
      <c r="G867" s="75"/>
      <c r="H867" s="75"/>
      <c r="I867" s="75"/>
      <c r="J867" s="75"/>
      <c r="K867" s="75"/>
      <c r="L867" s="75"/>
      <c r="M867" s="75"/>
      <c r="N867" s="75"/>
      <c r="O867" s="75"/>
      <c r="P867" s="75"/>
      <c r="Q867" s="75"/>
      <c r="R867" s="75"/>
      <c r="S867" s="75"/>
      <c r="T867" s="75"/>
      <c r="U867" s="75"/>
      <c r="V867" s="76"/>
      <c r="W867" s="12"/>
    </row>
    <row r="868" spans="1:23" s="7" customFormat="1" ht="45.75" customHeight="1" x14ac:dyDescent="0.7">
      <c r="A868" s="77"/>
      <c r="B868" s="89" t="s">
        <v>271</v>
      </c>
      <c r="C868" s="90"/>
      <c r="D868" s="90"/>
      <c r="E868" s="90"/>
      <c r="F868" s="90"/>
      <c r="G868" s="90"/>
      <c r="H868" s="90"/>
      <c r="I868" s="90"/>
      <c r="J868" s="90"/>
      <c r="K868" s="90"/>
      <c r="L868" s="90"/>
      <c r="M868" s="90"/>
      <c r="N868" s="90"/>
      <c r="O868" s="90"/>
      <c r="P868" s="90"/>
      <c r="Q868" s="90"/>
      <c r="R868" s="90"/>
      <c r="S868" s="90"/>
      <c r="T868" s="90"/>
      <c r="U868" s="90"/>
      <c r="V868" s="91"/>
      <c r="W868" s="12"/>
    </row>
    <row r="869" spans="1:23" s="7" customFormat="1" ht="98.25" customHeight="1" x14ac:dyDescent="0.7">
      <c r="A869" s="78"/>
      <c r="B869" s="92" t="s">
        <v>306</v>
      </c>
      <c r="C869" s="86" t="s">
        <v>452</v>
      </c>
      <c r="D869" s="87"/>
      <c r="E869" s="87"/>
      <c r="F869" s="87"/>
      <c r="G869" s="87"/>
      <c r="H869" s="88"/>
      <c r="I869" s="45"/>
      <c r="J869" s="65" t="s">
        <v>453</v>
      </c>
      <c r="K869" s="65" t="s">
        <v>73</v>
      </c>
      <c r="L869" s="65" t="s">
        <v>87</v>
      </c>
      <c r="M869" s="65" t="s">
        <v>454</v>
      </c>
      <c r="N869" s="65" t="s">
        <v>21</v>
      </c>
      <c r="O869" s="65" t="s">
        <v>21</v>
      </c>
      <c r="P869" s="65" t="s">
        <v>21</v>
      </c>
      <c r="Q869" s="71" t="s">
        <v>455</v>
      </c>
      <c r="R869" s="65" t="s">
        <v>11</v>
      </c>
      <c r="S869" s="65" t="s">
        <v>12</v>
      </c>
      <c r="T869" s="65" t="s">
        <v>19</v>
      </c>
      <c r="U869" s="65"/>
      <c r="V869" s="65"/>
      <c r="W869" s="12"/>
    </row>
    <row r="870" spans="1:23" s="7" customFormat="1" x14ac:dyDescent="0.7">
      <c r="A870" s="78"/>
      <c r="B870" s="93"/>
      <c r="C870" s="44" t="s">
        <v>5</v>
      </c>
      <c r="D870" s="17">
        <f>SUM(D871:D874)</f>
        <v>16249.923000000001</v>
      </c>
      <c r="E870" s="18">
        <f>SUM(E871:E874)</f>
        <v>16249.923000000001</v>
      </c>
      <c r="F870" s="18"/>
      <c r="G870" s="18"/>
      <c r="H870" s="18"/>
      <c r="I870" s="18"/>
      <c r="J870" s="66"/>
      <c r="K870" s="66"/>
      <c r="L870" s="66"/>
      <c r="M870" s="66"/>
      <c r="N870" s="66"/>
      <c r="O870" s="66"/>
      <c r="P870" s="66"/>
      <c r="Q870" s="72"/>
      <c r="R870" s="66"/>
      <c r="S870" s="66"/>
      <c r="T870" s="66"/>
      <c r="U870" s="66"/>
      <c r="V870" s="66"/>
      <c r="W870" s="12"/>
    </row>
    <row r="871" spans="1:23" s="7" customFormat="1" ht="91.5" x14ac:dyDescent="0.7">
      <c r="A871" s="78"/>
      <c r="B871" s="93"/>
      <c r="C871" s="44" t="s">
        <v>0</v>
      </c>
      <c r="D871" s="17"/>
      <c r="E871" s="18"/>
      <c r="F871" s="18"/>
      <c r="G871" s="18"/>
      <c r="H871" s="18"/>
      <c r="I871" s="18"/>
      <c r="J871" s="66"/>
      <c r="K871" s="66"/>
      <c r="L871" s="66"/>
      <c r="M871" s="66"/>
      <c r="N871" s="66"/>
      <c r="O871" s="66"/>
      <c r="P871" s="66"/>
      <c r="Q871" s="72"/>
      <c r="R871" s="66"/>
      <c r="S871" s="66"/>
      <c r="T871" s="66"/>
      <c r="U871" s="66"/>
      <c r="V871" s="66"/>
      <c r="W871" s="12"/>
    </row>
    <row r="872" spans="1:23" s="7" customFormat="1" ht="91.5" x14ac:dyDescent="0.7">
      <c r="A872" s="78"/>
      <c r="B872" s="93"/>
      <c r="C872" s="44" t="s">
        <v>1</v>
      </c>
      <c r="D872" s="17">
        <f>SUM(E872:H872)</f>
        <v>16249.923000000001</v>
      </c>
      <c r="E872" s="18">
        <f>14211.468+2058.455-20</f>
        <v>16249.923000000001</v>
      </c>
      <c r="F872" s="18"/>
      <c r="G872" s="18"/>
      <c r="H872" s="18"/>
      <c r="I872" s="18"/>
      <c r="J872" s="66"/>
      <c r="K872" s="66"/>
      <c r="L872" s="66"/>
      <c r="M872" s="66"/>
      <c r="N872" s="66"/>
      <c r="O872" s="66"/>
      <c r="P872" s="66"/>
      <c r="Q872" s="72"/>
      <c r="R872" s="66"/>
      <c r="S872" s="66"/>
      <c r="T872" s="66"/>
      <c r="U872" s="66"/>
      <c r="V872" s="66"/>
      <c r="W872" s="12"/>
    </row>
    <row r="873" spans="1:23" s="7" customFormat="1" ht="91.5" customHeight="1" x14ac:dyDescent="0.7">
      <c r="A873" s="78"/>
      <c r="B873" s="93"/>
      <c r="C873" s="44" t="s">
        <v>2</v>
      </c>
      <c r="D873" s="17"/>
      <c r="E873" s="18"/>
      <c r="F873" s="18"/>
      <c r="G873" s="18"/>
      <c r="H873" s="18"/>
      <c r="I873" s="18"/>
      <c r="J873" s="66"/>
      <c r="K873" s="66"/>
      <c r="L873" s="66"/>
      <c r="M873" s="66"/>
      <c r="N873" s="66"/>
      <c r="O873" s="66"/>
      <c r="P873" s="66"/>
      <c r="Q873" s="72"/>
      <c r="R873" s="66"/>
      <c r="S873" s="66"/>
      <c r="T873" s="66"/>
      <c r="U873" s="66"/>
      <c r="V873" s="66"/>
      <c r="W873" s="12"/>
    </row>
    <row r="874" spans="1:23" s="7" customFormat="1" ht="91.5" x14ac:dyDescent="0.7">
      <c r="A874" s="79"/>
      <c r="B874" s="94"/>
      <c r="C874" s="44" t="s">
        <v>3</v>
      </c>
      <c r="D874" s="17"/>
      <c r="E874" s="18"/>
      <c r="F874" s="18"/>
      <c r="G874" s="18"/>
      <c r="H874" s="18"/>
      <c r="I874" s="18"/>
      <c r="J874" s="67"/>
      <c r="K874" s="67"/>
      <c r="L874" s="67"/>
      <c r="M874" s="67"/>
      <c r="N874" s="67"/>
      <c r="O874" s="67"/>
      <c r="P874" s="67"/>
      <c r="Q874" s="73"/>
      <c r="R874" s="67"/>
      <c r="S874" s="67"/>
      <c r="T874" s="67"/>
      <c r="U874" s="67"/>
      <c r="V874" s="67"/>
      <c r="W874" s="12"/>
    </row>
    <row r="875" spans="1:23" s="7" customFormat="1" x14ac:dyDescent="0.7">
      <c r="A875" s="74" t="s">
        <v>20</v>
      </c>
      <c r="B875" s="75"/>
      <c r="C875" s="75"/>
      <c r="D875" s="75"/>
      <c r="E875" s="75"/>
      <c r="F875" s="75"/>
      <c r="G875" s="75"/>
      <c r="H875" s="75"/>
      <c r="I875" s="75"/>
      <c r="J875" s="75"/>
      <c r="K875" s="75"/>
      <c r="L875" s="75"/>
      <c r="M875" s="75"/>
      <c r="N875" s="75"/>
      <c r="O875" s="75"/>
      <c r="P875" s="75"/>
      <c r="Q875" s="75"/>
      <c r="R875" s="75"/>
      <c r="S875" s="75"/>
      <c r="T875" s="75"/>
      <c r="U875" s="75"/>
      <c r="V875" s="76"/>
      <c r="W875" s="12"/>
    </row>
    <row r="876" spans="1:23" s="7" customFormat="1" ht="45.75" customHeight="1" x14ac:dyDescent="0.7">
      <c r="A876" s="77"/>
      <c r="B876" s="89" t="s">
        <v>271</v>
      </c>
      <c r="C876" s="90"/>
      <c r="D876" s="90"/>
      <c r="E876" s="90"/>
      <c r="F876" s="90"/>
      <c r="G876" s="90"/>
      <c r="H876" s="90"/>
      <c r="I876" s="90"/>
      <c r="J876" s="90"/>
      <c r="K876" s="90"/>
      <c r="L876" s="90"/>
      <c r="M876" s="90"/>
      <c r="N876" s="90"/>
      <c r="O876" s="90"/>
      <c r="P876" s="90"/>
      <c r="Q876" s="90"/>
      <c r="R876" s="90"/>
      <c r="S876" s="90"/>
      <c r="T876" s="90"/>
      <c r="U876" s="90"/>
      <c r="V876" s="91"/>
      <c r="W876" s="12"/>
    </row>
    <row r="877" spans="1:23" s="7" customFormat="1" ht="109.5" customHeight="1" x14ac:dyDescent="0.7">
      <c r="A877" s="78"/>
      <c r="B877" s="92" t="s">
        <v>307</v>
      </c>
      <c r="C877" s="86" t="s">
        <v>458</v>
      </c>
      <c r="D877" s="87"/>
      <c r="E877" s="87"/>
      <c r="F877" s="87"/>
      <c r="G877" s="87"/>
      <c r="H877" s="88"/>
      <c r="I877" s="45"/>
      <c r="J877" s="65" t="s">
        <v>459</v>
      </c>
      <c r="K877" s="65" t="s">
        <v>73</v>
      </c>
      <c r="L877" s="65" t="s">
        <v>87</v>
      </c>
      <c r="M877" s="65" t="s">
        <v>460</v>
      </c>
      <c r="N877" s="65" t="s">
        <v>21</v>
      </c>
      <c r="O877" s="65" t="s">
        <v>21</v>
      </c>
      <c r="P877" s="65" t="s">
        <v>21</v>
      </c>
      <c r="Q877" s="71" t="s">
        <v>461</v>
      </c>
      <c r="R877" s="65" t="s">
        <v>11</v>
      </c>
      <c r="S877" s="65" t="s">
        <v>12</v>
      </c>
      <c r="T877" s="65" t="s">
        <v>19</v>
      </c>
      <c r="U877" s="65"/>
      <c r="V877" s="65"/>
      <c r="W877" s="12"/>
    </row>
    <row r="878" spans="1:23" s="7" customFormat="1" x14ac:dyDescent="0.7">
      <c r="A878" s="78"/>
      <c r="B878" s="93"/>
      <c r="C878" s="44" t="s">
        <v>5</v>
      </c>
      <c r="D878" s="17">
        <f>SUM(D879:D882)</f>
        <v>13186.673980000001</v>
      </c>
      <c r="E878" s="18">
        <f>SUM(E879:E882)</f>
        <v>13186.673980000001</v>
      </c>
      <c r="F878" s="18"/>
      <c r="G878" s="18"/>
      <c r="H878" s="18"/>
      <c r="I878" s="18"/>
      <c r="J878" s="66"/>
      <c r="K878" s="66"/>
      <c r="L878" s="66"/>
      <c r="M878" s="66"/>
      <c r="N878" s="66"/>
      <c r="O878" s="66"/>
      <c r="P878" s="66"/>
      <c r="Q878" s="72"/>
      <c r="R878" s="66"/>
      <c r="S878" s="66"/>
      <c r="T878" s="66"/>
      <c r="U878" s="66"/>
      <c r="V878" s="66"/>
      <c r="W878" s="12"/>
    </row>
    <row r="879" spans="1:23" s="7" customFormat="1" ht="91.5" x14ac:dyDescent="0.7">
      <c r="A879" s="78"/>
      <c r="B879" s="93"/>
      <c r="C879" s="44" t="s">
        <v>0</v>
      </c>
      <c r="D879" s="17"/>
      <c r="E879" s="18"/>
      <c r="F879" s="18"/>
      <c r="G879" s="18"/>
      <c r="H879" s="18"/>
      <c r="I879" s="18"/>
      <c r="J879" s="66"/>
      <c r="K879" s="66"/>
      <c r="L879" s="66"/>
      <c r="M879" s="66"/>
      <c r="N879" s="66"/>
      <c r="O879" s="66"/>
      <c r="P879" s="66"/>
      <c r="Q879" s="72"/>
      <c r="R879" s="66"/>
      <c r="S879" s="66"/>
      <c r="T879" s="66"/>
      <c r="U879" s="66"/>
      <c r="V879" s="66"/>
      <c r="W879" s="12"/>
    </row>
    <row r="880" spans="1:23" s="7" customFormat="1" ht="91.5" x14ac:dyDescent="0.7">
      <c r="A880" s="78"/>
      <c r="B880" s="93"/>
      <c r="C880" s="44" t="s">
        <v>1</v>
      </c>
      <c r="D880" s="17">
        <f>SUM(E880:H880)</f>
        <v>13186.673980000001</v>
      </c>
      <c r="E880" s="18">
        <f>6905.73562+870.777+1890.57446+3519.5869</f>
        <v>13186.673980000001</v>
      </c>
      <c r="F880" s="18"/>
      <c r="G880" s="18"/>
      <c r="H880" s="18"/>
      <c r="I880" s="18"/>
      <c r="J880" s="66"/>
      <c r="K880" s="66"/>
      <c r="L880" s="66"/>
      <c r="M880" s="66"/>
      <c r="N880" s="66"/>
      <c r="O880" s="66"/>
      <c r="P880" s="66"/>
      <c r="Q880" s="72"/>
      <c r="R880" s="66"/>
      <c r="S880" s="66"/>
      <c r="T880" s="66"/>
      <c r="U880" s="66"/>
      <c r="V880" s="66"/>
      <c r="W880" s="12"/>
    </row>
    <row r="881" spans="1:23" s="7" customFormat="1" ht="101.25" customHeight="1" x14ac:dyDescent="0.7">
      <c r="A881" s="78"/>
      <c r="B881" s="93"/>
      <c r="C881" s="44" t="s">
        <v>2</v>
      </c>
      <c r="D881" s="17"/>
      <c r="E881" s="18"/>
      <c r="F881" s="18"/>
      <c r="G881" s="18"/>
      <c r="H881" s="18"/>
      <c r="I881" s="18"/>
      <c r="J881" s="66"/>
      <c r="K881" s="66"/>
      <c r="L881" s="66"/>
      <c r="M881" s="66"/>
      <c r="N881" s="66"/>
      <c r="O881" s="66"/>
      <c r="P881" s="66"/>
      <c r="Q881" s="72"/>
      <c r="R881" s="66"/>
      <c r="S881" s="66"/>
      <c r="T881" s="66"/>
      <c r="U881" s="66"/>
      <c r="V881" s="66"/>
      <c r="W881" s="12"/>
    </row>
    <row r="882" spans="1:23" s="7" customFormat="1" ht="91.5" x14ac:dyDescent="0.7">
      <c r="A882" s="79"/>
      <c r="B882" s="94"/>
      <c r="C882" s="44" t="s">
        <v>3</v>
      </c>
      <c r="D882" s="17"/>
      <c r="E882" s="18"/>
      <c r="F882" s="18"/>
      <c r="G882" s="18"/>
      <c r="H882" s="18"/>
      <c r="I882" s="18"/>
      <c r="J882" s="67"/>
      <c r="K882" s="67"/>
      <c r="L882" s="67"/>
      <c r="M882" s="67"/>
      <c r="N882" s="67"/>
      <c r="O882" s="67"/>
      <c r="P882" s="67"/>
      <c r="Q882" s="73"/>
      <c r="R882" s="67"/>
      <c r="S882" s="67"/>
      <c r="T882" s="67"/>
      <c r="U882" s="67"/>
      <c r="V882" s="67"/>
      <c r="W882" s="12"/>
    </row>
    <row r="883" spans="1:23" x14ac:dyDescent="0.7">
      <c r="A883" s="74" t="s">
        <v>20</v>
      </c>
      <c r="B883" s="75"/>
      <c r="C883" s="75"/>
      <c r="D883" s="75"/>
      <c r="E883" s="75"/>
      <c r="F883" s="75"/>
      <c r="G883" s="75"/>
      <c r="H883" s="75"/>
      <c r="I883" s="75"/>
      <c r="J883" s="75"/>
      <c r="K883" s="75"/>
      <c r="L883" s="75"/>
      <c r="M883" s="75"/>
      <c r="N883" s="75"/>
      <c r="O883" s="75"/>
      <c r="P883" s="75"/>
      <c r="Q883" s="75"/>
      <c r="R883" s="75"/>
      <c r="S883" s="75"/>
      <c r="T883" s="75"/>
      <c r="U883" s="75"/>
      <c r="V883" s="76"/>
    </row>
    <row r="884" spans="1:23" x14ac:dyDescent="0.7">
      <c r="A884" s="77"/>
      <c r="B884" s="89" t="s">
        <v>271</v>
      </c>
      <c r="C884" s="90"/>
      <c r="D884" s="90"/>
      <c r="E884" s="90"/>
      <c r="F884" s="90"/>
      <c r="G884" s="90"/>
      <c r="H884" s="90"/>
      <c r="I884" s="90"/>
      <c r="J884" s="90"/>
      <c r="K884" s="90"/>
      <c r="L884" s="90"/>
      <c r="M884" s="90"/>
      <c r="N884" s="90"/>
      <c r="O884" s="90"/>
      <c r="P884" s="90"/>
      <c r="Q884" s="90"/>
      <c r="R884" s="90"/>
      <c r="S884" s="90"/>
      <c r="T884" s="90"/>
      <c r="U884" s="90"/>
      <c r="V884" s="91"/>
    </row>
    <row r="885" spans="1:23" ht="105.75" customHeight="1" x14ac:dyDescent="0.7">
      <c r="A885" s="78"/>
      <c r="B885" s="92" t="s">
        <v>456</v>
      </c>
      <c r="C885" s="86" t="s">
        <v>463</v>
      </c>
      <c r="D885" s="87"/>
      <c r="E885" s="87"/>
      <c r="F885" s="87"/>
      <c r="G885" s="87"/>
      <c r="H885" s="88"/>
      <c r="I885" s="45"/>
      <c r="J885" s="65" t="s">
        <v>459</v>
      </c>
      <c r="K885" s="65" t="s">
        <v>73</v>
      </c>
      <c r="L885" s="65" t="s">
        <v>87</v>
      </c>
      <c r="M885" s="65" t="s">
        <v>464</v>
      </c>
      <c r="N885" s="65" t="s">
        <v>21</v>
      </c>
      <c r="O885" s="65" t="s">
        <v>21</v>
      </c>
      <c r="P885" s="65" t="s">
        <v>21</v>
      </c>
      <c r="Q885" s="71" t="s">
        <v>465</v>
      </c>
      <c r="R885" s="65" t="s">
        <v>11</v>
      </c>
      <c r="S885" s="65" t="s">
        <v>12</v>
      </c>
      <c r="T885" s="65" t="s">
        <v>19</v>
      </c>
      <c r="U885" s="65"/>
      <c r="V885" s="65"/>
    </row>
    <row r="886" spans="1:23" x14ac:dyDescent="0.7">
      <c r="A886" s="78"/>
      <c r="B886" s="93"/>
      <c r="C886" s="44" t="s">
        <v>5</v>
      </c>
      <c r="D886" s="17">
        <f>SUM(D887:D890)</f>
        <v>12974.442349999999</v>
      </c>
      <c r="E886" s="18">
        <f>SUM(E887:E890)</f>
        <v>12974.442349999999</v>
      </c>
      <c r="F886" s="18"/>
      <c r="G886" s="18"/>
      <c r="H886" s="18"/>
      <c r="I886" s="18"/>
      <c r="J886" s="66"/>
      <c r="K886" s="66"/>
      <c r="L886" s="66"/>
      <c r="M886" s="66"/>
      <c r="N886" s="66"/>
      <c r="O886" s="66"/>
      <c r="P886" s="66"/>
      <c r="Q886" s="72"/>
      <c r="R886" s="66"/>
      <c r="S886" s="66"/>
      <c r="T886" s="66"/>
      <c r="U886" s="66"/>
      <c r="V886" s="66"/>
    </row>
    <row r="887" spans="1:23" ht="91.5" x14ac:dyDescent="0.7">
      <c r="A887" s="78"/>
      <c r="B887" s="93"/>
      <c r="C887" s="44" t="s">
        <v>0</v>
      </c>
      <c r="D887" s="17"/>
      <c r="E887" s="18"/>
      <c r="F887" s="18"/>
      <c r="G887" s="18"/>
      <c r="H887" s="18"/>
      <c r="I887" s="18"/>
      <c r="J887" s="66"/>
      <c r="K887" s="66"/>
      <c r="L887" s="66"/>
      <c r="M887" s="66"/>
      <c r="N887" s="66"/>
      <c r="O887" s="66"/>
      <c r="P887" s="66"/>
      <c r="Q887" s="72"/>
      <c r="R887" s="66"/>
      <c r="S887" s="66"/>
      <c r="T887" s="66"/>
      <c r="U887" s="66"/>
      <c r="V887" s="66"/>
    </row>
    <row r="888" spans="1:23" ht="91.5" x14ac:dyDescent="0.7">
      <c r="A888" s="78"/>
      <c r="B888" s="93"/>
      <c r="C888" s="44" t="s">
        <v>1</v>
      </c>
      <c r="D888" s="17">
        <f>SUM(E888:H888)</f>
        <v>12974.442349999999</v>
      </c>
      <c r="E888" s="18">
        <f>6625.20483+877.297+1822.13369+3649.80683</f>
        <v>12974.442349999999</v>
      </c>
      <c r="F888" s="18"/>
      <c r="G888" s="18"/>
      <c r="H888" s="18"/>
      <c r="I888" s="18"/>
      <c r="J888" s="66"/>
      <c r="K888" s="66"/>
      <c r="L888" s="66"/>
      <c r="M888" s="66"/>
      <c r="N888" s="66"/>
      <c r="O888" s="66"/>
      <c r="P888" s="66"/>
      <c r="Q888" s="72"/>
      <c r="R888" s="66"/>
      <c r="S888" s="66"/>
      <c r="T888" s="66"/>
      <c r="U888" s="66"/>
      <c r="V888" s="66"/>
    </row>
    <row r="889" spans="1:23" ht="95.25" customHeight="1" x14ac:dyDescent="0.7">
      <c r="A889" s="78"/>
      <c r="B889" s="93"/>
      <c r="C889" s="44" t="s">
        <v>2</v>
      </c>
      <c r="D889" s="17"/>
      <c r="E889" s="18"/>
      <c r="F889" s="18"/>
      <c r="G889" s="18"/>
      <c r="H889" s="18"/>
      <c r="I889" s="18"/>
      <c r="J889" s="66"/>
      <c r="K889" s="66"/>
      <c r="L889" s="66"/>
      <c r="M889" s="66"/>
      <c r="N889" s="66"/>
      <c r="O889" s="66"/>
      <c r="P889" s="66"/>
      <c r="Q889" s="72"/>
      <c r="R889" s="66"/>
      <c r="S889" s="66"/>
      <c r="T889" s="66"/>
      <c r="U889" s="66"/>
      <c r="V889" s="66"/>
    </row>
    <row r="890" spans="1:23" ht="91.5" x14ac:dyDescent="0.7">
      <c r="A890" s="79"/>
      <c r="B890" s="94"/>
      <c r="C890" s="44" t="s">
        <v>3</v>
      </c>
      <c r="D890" s="17"/>
      <c r="E890" s="18"/>
      <c r="F890" s="18"/>
      <c r="G890" s="18"/>
      <c r="H890" s="18"/>
      <c r="I890" s="18"/>
      <c r="J890" s="67"/>
      <c r="K890" s="67"/>
      <c r="L890" s="67"/>
      <c r="M890" s="67"/>
      <c r="N890" s="67"/>
      <c r="O890" s="67"/>
      <c r="P890" s="67"/>
      <c r="Q890" s="73"/>
      <c r="R890" s="67"/>
      <c r="S890" s="67"/>
      <c r="T890" s="67"/>
      <c r="U890" s="67"/>
      <c r="V890" s="67"/>
    </row>
    <row r="891" spans="1:23" x14ac:dyDescent="0.7">
      <c r="A891" s="74" t="s">
        <v>20</v>
      </c>
      <c r="B891" s="75"/>
      <c r="C891" s="75"/>
      <c r="D891" s="75"/>
      <c r="E891" s="75"/>
      <c r="F891" s="75"/>
      <c r="G891" s="75"/>
      <c r="H891" s="75"/>
      <c r="I891" s="75"/>
      <c r="J891" s="75"/>
      <c r="K891" s="75"/>
      <c r="L891" s="75"/>
      <c r="M891" s="75"/>
      <c r="N891" s="75"/>
      <c r="O891" s="75"/>
      <c r="P891" s="75"/>
      <c r="Q891" s="75"/>
      <c r="R891" s="75"/>
      <c r="S891" s="75"/>
      <c r="T891" s="75"/>
      <c r="U891" s="75"/>
      <c r="V891" s="76"/>
    </row>
    <row r="892" spans="1:23" x14ac:dyDescent="0.7">
      <c r="A892" s="77"/>
      <c r="B892" s="89" t="s">
        <v>271</v>
      </c>
      <c r="C892" s="90"/>
      <c r="D892" s="90"/>
      <c r="E892" s="90"/>
      <c r="F892" s="90"/>
      <c r="G892" s="90"/>
      <c r="H892" s="90"/>
      <c r="I892" s="90"/>
      <c r="J892" s="90"/>
      <c r="K892" s="90"/>
      <c r="L892" s="90"/>
      <c r="M892" s="90"/>
      <c r="N892" s="90"/>
      <c r="O892" s="90"/>
      <c r="P892" s="90"/>
      <c r="Q892" s="90"/>
      <c r="R892" s="90"/>
      <c r="S892" s="90"/>
      <c r="T892" s="90"/>
      <c r="U892" s="90"/>
      <c r="V892" s="91"/>
    </row>
    <row r="893" spans="1:23" ht="110.25" customHeight="1" x14ac:dyDescent="0.7">
      <c r="A893" s="78"/>
      <c r="B893" s="92" t="s">
        <v>457</v>
      </c>
      <c r="C893" s="86" t="s">
        <v>467</v>
      </c>
      <c r="D893" s="87"/>
      <c r="E893" s="87"/>
      <c r="F893" s="87"/>
      <c r="G893" s="87"/>
      <c r="H893" s="88"/>
      <c r="I893" s="45"/>
      <c r="J893" s="65" t="s">
        <v>459</v>
      </c>
      <c r="K893" s="65" t="s">
        <v>73</v>
      </c>
      <c r="L893" s="65" t="s">
        <v>87</v>
      </c>
      <c r="M893" s="65" t="s">
        <v>468</v>
      </c>
      <c r="N893" s="65" t="s">
        <v>21</v>
      </c>
      <c r="O893" s="65" t="s">
        <v>21</v>
      </c>
      <c r="P893" s="65" t="s">
        <v>21</v>
      </c>
      <c r="Q893" s="71" t="s">
        <v>469</v>
      </c>
      <c r="R893" s="65" t="s">
        <v>11</v>
      </c>
      <c r="S893" s="65" t="s">
        <v>12</v>
      </c>
      <c r="T893" s="65" t="s">
        <v>19</v>
      </c>
      <c r="U893" s="65"/>
      <c r="V893" s="65"/>
    </row>
    <row r="894" spans="1:23" x14ac:dyDescent="0.7">
      <c r="A894" s="78"/>
      <c r="B894" s="93"/>
      <c r="C894" s="44" t="s">
        <v>5</v>
      </c>
      <c r="D894" s="17">
        <f>SUM(D895:D898)</f>
        <v>6933.1360199999999</v>
      </c>
      <c r="E894" s="18">
        <f>SUM(E895:E898)</f>
        <v>6933.1360199999999</v>
      </c>
      <c r="F894" s="18"/>
      <c r="G894" s="18"/>
      <c r="H894" s="18"/>
      <c r="I894" s="18"/>
      <c r="J894" s="66"/>
      <c r="K894" s="66"/>
      <c r="L894" s="66"/>
      <c r="M894" s="66"/>
      <c r="N894" s="66"/>
      <c r="O894" s="66"/>
      <c r="P894" s="66"/>
      <c r="Q894" s="72"/>
      <c r="R894" s="66"/>
      <c r="S894" s="66"/>
      <c r="T894" s="66"/>
      <c r="U894" s="66"/>
      <c r="V894" s="66"/>
    </row>
    <row r="895" spans="1:23" ht="91.5" x14ac:dyDescent="0.7">
      <c r="A895" s="78"/>
      <c r="B895" s="93"/>
      <c r="C895" s="44" t="s">
        <v>0</v>
      </c>
      <c r="D895" s="17"/>
      <c r="E895" s="18"/>
      <c r="F895" s="18"/>
      <c r="G895" s="18"/>
      <c r="H895" s="18"/>
      <c r="I895" s="18"/>
      <c r="J895" s="66"/>
      <c r="K895" s="66"/>
      <c r="L895" s="66"/>
      <c r="M895" s="66"/>
      <c r="N895" s="66"/>
      <c r="O895" s="66"/>
      <c r="P895" s="66"/>
      <c r="Q895" s="72"/>
      <c r="R895" s="66"/>
      <c r="S895" s="66"/>
      <c r="T895" s="66"/>
      <c r="U895" s="66"/>
      <c r="V895" s="66"/>
    </row>
    <row r="896" spans="1:23" ht="91.5" x14ac:dyDescent="0.7">
      <c r="A896" s="78"/>
      <c r="B896" s="93"/>
      <c r="C896" s="44" t="s">
        <v>1</v>
      </c>
      <c r="D896" s="17">
        <f>SUM(E896:H896)</f>
        <v>6933.1360199999999</v>
      </c>
      <c r="E896" s="18">
        <f>2708.96102+1456.92011+1079.56485+1687.69004</f>
        <v>6933.1360199999999</v>
      </c>
      <c r="F896" s="18"/>
      <c r="G896" s="18"/>
      <c r="H896" s="18"/>
      <c r="I896" s="18"/>
      <c r="J896" s="66"/>
      <c r="K896" s="66"/>
      <c r="L896" s="66"/>
      <c r="M896" s="66"/>
      <c r="N896" s="66"/>
      <c r="O896" s="66"/>
      <c r="P896" s="66"/>
      <c r="Q896" s="72"/>
      <c r="R896" s="66"/>
      <c r="S896" s="66"/>
      <c r="T896" s="66"/>
      <c r="U896" s="66"/>
      <c r="V896" s="66"/>
    </row>
    <row r="897" spans="1:22" ht="95.25" customHeight="1" x14ac:dyDescent="0.7">
      <c r="A897" s="78"/>
      <c r="B897" s="93"/>
      <c r="C897" s="44" t="s">
        <v>2</v>
      </c>
      <c r="D897" s="17"/>
      <c r="E897" s="18"/>
      <c r="F897" s="18"/>
      <c r="G897" s="18"/>
      <c r="H897" s="18"/>
      <c r="I897" s="18"/>
      <c r="J897" s="66"/>
      <c r="K897" s="66"/>
      <c r="L897" s="66"/>
      <c r="M897" s="66"/>
      <c r="N897" s="66"/>
      <c r="O897" s="66"/>
      <c r="P897" s="66"/>
      <c r="Q897" s="72"/>
      <c r="R897" s="66"/>
      <c r="S897" s="66"/>
      <c r="T897" s="66"/>
      <c r="U897" s="66"/>
      <c r="V897" s="66"/>
    </row>
    <row r="898" spans="1:22" ht="91.5" x14ac:dyDescent="0.7">
      <c r="A898" s="79"/>
      <c r="B898" s="94"/>
      <c r="C898" s="44" t="s">
        <v>3</v>
      </c>
      <c r="D898" s="17"/>
      <c r="E898" s="18"/>
      <c r="F898" s="18"/>
      <c r="G898" s="18"/>
      <c r="H898" s="18"/>
      <c r="I898" s="18"/>
      <c r="J898" s="67"/>
      <c r="K898" s="67"/>
      <c r="L898" s="67"/>
      <c r="M898" s="67"/>
      <c r="N898" s="67"/>
      <c r="O898" s="67"/>
      <c r="P898" s="67"/>
      <c r="Q898" s="73"/>
      <c r="R898" s="67"/>
      <c r="S898" s="67"/>
      <c r="T898" s="67"/>
      <c r="U898" s="67"/>
      <c r="V898" s="67"/>
    </row>
    <row r="899" spans="1:22" x14ac:dyDescent="0.7">
      <c r="A899" s="74" t="s">
        <v>20</v>
      </c>
      <c r="B899" s="75"/>
      <c r="C899" s="75"/>
      <c r="D899" s="75"/>
      <c r="E899" s="75"/>
      <c r="F899" s="75"/>
      <c r="G899" s="75"/>
      <c r="H899" s="75"/>
      <c r="I899" s="75"/>
      <c r="J899" s="75"/>
      <c r="K899" s="75"/>
      <c r="L899" s="75"/>
      <c r="M899" s="75"/>
      <c r="N899" s="75"/>
      <c r="O899" s="75"/>
      <c r="P899" s="75"/>
      <c r="Q899" s="75"/>
      <c r="R899" s="75"/>
      <c r="S899" s="75"/>
      <c r="T899" s="75"/>
      <c r="U899" s="75"/>
      <c r="V899" s="76"/>
    </row>
    <row r="900" spans="1:22" x14ac:dyDescent="0.7">
      <c r="A900" s="77"/>
      <c r="B900" s="89" t="s">
        <v>271</v>
      </c>
      <c r="C900" s="90"/>
      <c r="D900" s="90"/>
      <c r="E900" s="90"/>
      <c r="F900" s="90"/>
      <c r="G900" s="90"/>
      <c r="H900" s="90"/>
      <c r="I900" s="90"/>
      <c r="J900" s="90"/>
      <c r="K900" s="90"/>
      <c r="L900" s="90"/>
      <c r="M900" s="90"/>
      <c r="N900" s="90"/>
      <c r="O900" s="90"/>
      <c r="P900" s="90"/>
      <c r="Q900" s="90"/>
      <c r="R900" s="90"/>
      <c r="S900" s="90"/>
      <c r="T900" s="90"/>
      <c r="U900" s="90"/>
      <c r="V900" s="91"/>
    </row>
    <row r="901" spans="1:22" ht="46.5" customHeight="1" x14ac:dyDescent="0.7">
      <c r="A901" s="78"/>
      <c r="B901" s="92" t="s">
        <v>462</v>
      </c>
      <c r="C901" s="86" t="s">
        <v>553</v>
      </c>
      <c r="D901" s="87"/>
      <c r="E901" s="87"/>
      <c r="F901" s="87"/>
      <c r="G901" s="87"/>
      <c r="H901" s="88"/>
      <c r="I901" s="45"/>
      <c r="J901" s="65" t="s">
        <v>459</v>
      </c>
      <c r="K901" s="65" t="s">
        <v>73</v>
      </c>
      <c r="L901" s="65" t="s">
        <v>87</v>
      </c>
      <c r="M901" s="65" t="s">
        <v>471</v>
      </c>
      <c r="N901" s="65" t="s">
        <v>21</v>
      </c>
      <c r="O901" s="65" t="s">
        <v>21</v>
      </c>
      <c r="P901" s="65" t="s">
        <v>21</v>
      </c>
      <c r="Q901" s="71" t="s">
        <v>472</v>
      </c>
      <c r="R901" s="65" t="s">
        <v>11</v>
      </c>
      <c r="S901" s="65" t="s">
        <v>473</v>
      </c>
      <c r="T901" s="65" t="s">
        <v>19</v>
      </c>
      <c r="U901" s="65"/>
      <c r="V901" s="65"/>
    </row>
    <row r="902" spans="1:22" x14ac:dyDescent="0.7">
      <c r="A902" s="78"/>
      <c r="B902" s="93"/>
      <c r="C902" s="44" t="s">
        <v>5</v>
      </c>
      <c r="D902" s="17">
        <f>SUM(D903:D906)</f>
        <v>9466.9269999999997</v>
      </c>
      <c r="E902" s="18">
        <f>SUM(E903:E906)</f>
        <v>9466.9269999999997</v>
      </c>
      <c r="F902" s="18"/>
      <c r="G902" s="18"/>
      <c r="H902" s="18"/>
      <c r="I902" s="18"/>
      <c r="J902" s="66"/>
      <c r="K902" s="66"/>
      <c r="L902" s="66"/>
      <c r="M902" s="66"/>
      <c r="N902" s="66"/>
      <c r="O902" s="66"/>
      <c r="P902" s="66"/>
      <c r="Q902" s="72"/>
      <c r="R902" s="66"/>
      <c r="S902" s="66"/>
      <c r="T902" s="66"/>
      <c r="U902" s="66"/>
      <c r="V902" s="66"/>
    </row>
    <row r="903" spans="1:22" ht="91.5" x14ac:dyDescent="0.7">
      <c r="A903" s="78"/>
      <c r="B903" s="93"/>
      <c r="C903" s="44" t="s">
        <v>0</v>
      </c>
      <c r="D903" s="17"/>
      <c r="E903" s="18"/>
      <c r="F903" s="18"/>
      <c r="G903" s="18"/>
      <c r="H903" s="18"/>
      <c r="I903" s="18"/>
      <c r="J903" s="66"/>
      <c r="K903" s="66"/>
      <c r="L903" s="66"/>
      <c r="M903" s="66"/>
      <c r="N903" s="66"/>
      <c r="O903" s="66"/>
      <c r="P903" s="66"/>
      <c r="Q903" s="72"/>
      <c r="R903" s="66"/>
      <c r="S903" s="66"/>
      <c r="T903" s="66"/>
      <c r="U903" s="66"/>
      <c r="V903" s="66"/>
    </row>
    <row r="904" spans="1:22" ht="91.5" x14ac:dyDescent="0.7">
      <c r="A904" s="78"/>
      <c r="B904" s="93"/>
      <c r="C904" s="44" t="s">
        <v>1</v>
      </c>
      <c r="D904" s="17">
        <f>SUM(E904:H904)</f>
        <v>9466.9269999999997</v>
      </c>
      <c r="E904" s="18">
        <f>7130.644+625.53+20+1690.753</f>
        <v>9466.9269999999997</v>
      </c>
      <c r="F904" s="18"/>
      <c r="G904" s="18"/>
      <c r="H904" s="18"/>
      <c r="I904" s="18"/>
      <c r="J904" s="66"/>
      <c r="K904" s="66"/>
      <c r="L904" s="66"/>
      <c r="M904" s="66"/>
      <c r="N904" s="66"/>
      <c r="O904" s="66"/>
      <c r="P904" s="66"/>
      <c r="Q904" s="72"/>
      <c r="R904" s="66"/>
      <c r="S904" s="66"/>
      <c r="T904" s="66"/>
      <c r="U904" s="66"/>
      <c r="V904" s="66"/>
    </row>
    <row r="905" spans="1:22" ht="95.25" customHeight="1" x14ac:dyDescent="0.7">
      <c r="A905" s="78"/>
      <c r="B905" s="93"/>
      <c r="C905" s="44" t="s">
        <v>2</v>
      </c>
      <c r="D905" s="17"/>
      <c r="E905" s="18"/>
      <c r="F905" s="18"/>
      <c r="G905" s="18"/>
      <c r="H905" s="18"/>
      <c r="I905" s="18"/>
      <c r="J905" s="66"/>
      <c r="K905" s="66"/>
      <c r="L905" s="66"/>
      <c r="M905" s="66"/>
      <c r="N905" s="66"/>
      <c r="O905" s="66"/>
      <c r="P905" s="66"/>
      <c r="Q905" s="72"/>
      <c r="R905" s="66"/>
      <c r="S905" s="66"/>
      <c r="T905" s="66"/>
      <c r="U905" s="66"/>
      <c r="V905" s="66"/>
    </row>
    <row r="906" spans="1:22" ht="102" customHeight="1" x14ac:dyDescent="0.7">
      <c r="A906" s="79"/>
      <c r="B906" s="94"/>
      <c r="C906" s="44" t="s">
        <v>3</v>
      </c>
      <c r="D906" s="17"/>
      <c r="E906" s="18"/>
      <c r="F906" s="18"/>
      <c r="G906" s="18"/>
      <c r="H906" s="18"/>
      <c r="I906" s="18"/>
      <c r="J906" s="67"/>
      <c r="K906" s="67"/>
      <c r="L906" s="67"/>
      <c r="M906" s="67"/>
      <c r="N906" s="67"/>
      <c r="O906" s="67"/>
      <c r="P906" s="67"/>
      <c r="Q906" s="73"/>
      <c r="R906" s="67"/>
      <c r="S906" s="67"/>
      <c r="T906" s="67"/>
      <c r="U906" s="67"/>
      <c r="V906" s="67"/>
    </row>
    <row r="907" spans="1:22" ht="56.25" customHeight="1" x14ac:dyDescent="0.7">
      <c r="A907" s="74" t="s">
        <v>20</v>
      </c>
      <c r="B907" s="75"/>
      <c r="C907" s="75"/>
      <c r="D907" s="75"/>
      <c r="E907" s="75"/>
      <c r="F907" s="75"/>
      <c r="G907" s="75"/>
      <c r="H907" s="75"/>
      <c r="I907" s="75"/>
      <c r="J907" s="75"/>
      <c r="K907" s="75"/>
      <c r="L907" s="75"/>
      <c r="M907" s="75"/>
      <c r="N907" s="75"/>
      <c r="O907" s="75"/>
      <c r="P907" s="75"/>
      <c r="Q907" s="75"/>
      <c r="R907" s="75"/>
      <c r="S907" s="75"/>
      <c r="T907" s="75"/>
      <c r="U907" s="75"/>
      <c r="V907" s="76"/>
    </row>
    <row r="908" spans="1:22" x14ac:dyDescent="0.7">
      <c r="A908" s="77"/>
      <c r="B908" s="89" t="s">
        <v>271</v>
      </c>
      <c r="C908" s="90"/>
      <c r="D908" s="90"/>
      <c r="E908" s="90"/>
      <c r="F908" s="90"/>
      <c r="G908" s="90"/>
      <c r="H908" s="90"/>
      <c r="I908" s="90"/>
      <c r="J908" s="90"/>
      <c r="K908" s="90"/>
      <c r="L908" s="90"/>
      <c r="M908" s="90"/>
      <c r="N908" s="90"/>
      <c r="O908" s="90"/>
      <c r="P908" s="90"/>
      <c r="Q908" s="90"/>
      <c r="R908" s="90"/>
      <c r="S908" s="90"/>
      <c r="T908" s="90"/>
      <c r="U908" s="90"/>
      <c r="V908" s="91"/>
    </row>
    <row r="909" spans="1:22" ht="91.5" customHeight="1" x14ac:dyDescent="0.7">
      <c r="A909" s="78"/>
      <c r="B909" s="92" t="s">
        <v>466</v>
      </c>
      <c r="C909" s="86" t="s">
        <v>475</v>
      </c>
      <c r="D909" s="87"/>
      <c r="E909" s="87"/>
      <c r="F909" s="87"/>
      <c r="G909" s="87"/>
      <c r="H909" s="88"/>
      <c r="I909" s="45"/>
      <c r="J909" s="65" t="s">
        <v>459</v>
      </c>
      <c r="K909" s="65" t="s">
        <v>73</v>
      </c>
      <c r="L909" s="65" t="s">
        <v>87</v>
      </c>
      <c r="M909" s="65" t="s">
        <v>477</v>
      </c>
      <c r="N909" s="65" t="s">
        <v>21</v>
      </c>
      <c r="O909" s="65" t="s">
        <v>21</v>
      </c>
      <c r="P909" s="65" t="s">
        <v>21</v>
      </c>
      <c r="Q909" s="71" t="s">
        <v>478</v>
      </c>
      <c r="R909" s="65" t="s">
        <v>11</v>
      </c>
      <c r="S909" s="65" t="s">
        <v>473</v>
      </c>
      <c r="T909" s="65" t="s">
        <v>19</v>
      </c>
      <c r="U909" s="65"/>
      <c r="V909" s="65"/>
    </row>
    <row r="910" spans="1:22" x14ac:dyDescent="0.7">
      <c r="A910" s="78"/>
      <c r="B910" s="93"/>
      <c r="C910" s="44" t="s">
        <v>5</v>
      </c>
      <c r="D910" s="17">
        <f>SUM(D911:D914)</f>
        <v>19996.437000000002</v>
      </c>
      <c r="E910" s="18">
        <f>SUM(E911:E914)</f>
        <v>19996.437000000002</v>
      </c>
      <c r="F910" s="18"/>
      <c r="G910" s="18"/>
      <c r="H910" s="18"/>
      <c r="I910" s="18"/>
      <c r="J910" s="66"/>
      <c r="K910" s="66"/>
      <c r="L910" s="66"/>
      <c r="M910" s="66"/>
      <c r="N910" s="66"/>
      <c r="O910" s="66"/>
      <c r="P910" s="66"/>
      <c r="Q910" s="72"/>
      <c r="R910" s="66"/>
      <c r="S910" s="66"/>
      <c r="T910" s="66"/>
      <c r="U910" s="66"/>
      <c r="V910" s="66"/>
    </row>
    <row r="911" spans="1:22" ht="91.5" x14ac:dyDescent="0.7">
      <c r="A911" s="78"/>
      <c r="B911" s="93"/>
      <c r="C911" s="44" t="s">
        <v>0</v>
      </c>
      <c r="D911" s="17"/>
      <c r="E911" s="18"/>
      <c r="F911" s="18"/>
      <c r="G911" s="18"/>
      <c r="H911" s="18"/>
      <c r="I911" s="18"/>
      <c r="J911" s="66"/>
      <c r="K911" s="66"/>
      <c r="L911" s="66"/>
      <c r="M911" s="66"/>
      <c r="N911" s="66"/>
      <c r="O911" s="66"/>
      <c r="P911" s="66"/>
      <c r="Q911" s="72"/>
      <c r="R911" s="66"/>
      <c r="S911" s="66"/>
      <c r="T911" s="66"/>
      <c r="U911" s="66"/>
      <c r="V911" s="66"/>
    </row>
    <row r="912" spans="1:22" ht="91.5" x14ac:dyDescent="0.7">
      <c r="A912" s="78"/>
      <c r="B912" s="93"/>
      <c r="C912" s="44" t="s">
        <v>1</v>
      </c>
      <c r="D912" s="17">
        <f>SUM(E912:H912)</f>
        <v>19996.437000000002</v>
      </c>
      <c r="E912" s="18">
        <f>3343.316+4249.091+12404.03</f>
        <v>19996.437000000002</v>
      </c>
      <c r="F912" s="18"/>
      <c r="G912" s="18"/>
      <c r="H912" s="18"/>
      <c r="I912" s="18"/>
      <c r="J912" s="66"/>
      <c r="K912" s="66"/>
      <c r="L912" s="66"/>
      <c r="M912" s="66"/>
      <c r="N912" s="66"/>
      <c r="O912" s="66"/>
      <c r="P912" s="66"/>
      <c r="Q912" s="72"/>
      <c r="R912" s="66"/>
      <c r="S912" s="66"/>
      <c r="T912" s="66"/>
      <c r="U912" s="66"/>
      <c r="V912" s="66"/>
    </row>
    <row r="913" spans="1:23" ht="97.5" customHeight="1" x14ac:dyDescent="0.7">
      <c r="A913" s="78"/>
      <c r="B913" s="93"/>
      <c r="C913" s="44" t="s">
        <v>2</v>
      </c>
      <c r="D913" s="17"/>
      <c r="E913" s="18"/>
      <c r="F913" s="18"/>
      <c r="G913" s="18"/>
      <c r="H913" s="18"/>
      <c r="I913" s="18"/>
      <c r="J913" s="66"/>
      <c r="K913" s="66"/>
      <c r="L913" s="66"/>
      <c r="M913" s="66"/>
      <c r="N913" s="66"/>
      <c r="O913" s="66"/>
      <c r="P913" s="66"/>
      <c r="Q913" s="72"/>
      <c r="R913" s="66"/>
      <c r="S913" s="66"/>
      <c r="T913" s="66"/>
      <c r="U913" s="66"/>
      <c r="V913" s="66"/>
    </row>
    <row r="914" spans="1:23" ht="91.5" x14ac:dyDescent="0.7">
      <c r="A914" s="79"/>
      <c r="B914" s="94"/>
      <c r="C914" s="44" t="s">
        <v>3</v>
      </c>
      <c r="D914" s="17"/>
      <c r="E914" s="18"/>
      <c r="F914" s="18"/>
      <c r="G914" s="18"/>
      <c r="H914" s="18"/>
      <c r="I914" s="18"/>
      <c r="J914" s="67"/>
      <c r="K914" s="67"/>
      <c r="L914" s="67"/>
      <c r="M914" s="67"/>
      <c r="N914" s="67"/>
      <c r="O914" s="67"/>
      <c r="P914" s="67"/>
      <c r="Q914" s="73"/>
      <c r="R914" s="67"/>
      <c r="S914" s="67"/>
      <c r="T914" s="67"/>
      <c r="U914" s="67"/>
      <c r="V914" s="67"/>
    </row>
    <row r="915" spans="1:23" x14ac:dyDescent="0.7">
      <c r="A915" s="74" t="s">
        <v>20</v>
      </c>
      <c r="B915" s="75"/>
      <c r="C915" s="75"/>
      <c r="D915" s="75"/>
      <c r="E915" s="75"/>
      <c r="F915" s="75"/>
      <c r="G915" s="75"/>
      <c r="H915" s="75"/>
      <c r="I915" s="75"/>
      <c r="J915" s="75"/>
      <c r="K915" s="75"/>
      <c r="L915" s="75"/>
      <c r="M915" s="75"/>
      <c r="N915" s="75"/>
      <c r="O915" s="75"/>
      <c r="P915" s="75"/>
      <c r="Q915" s="75"/>
      <c r="R915" s="75"/>
      <c r="S915" s="75"/>
      <c r="T915" s="75"/>
      <c r="U915" s="75"/>
      <c r="V915" s="76"/>
    </row>
    <row r="916" spans="1:23" x14ac:dyDescent="0.7">
      <c r="A916" s="77"/>
      <c r="B916" s="89" t="s">
        <v>271</v>
      </c>
      <c r="C916" s="90"/>
      <c r="D916" s="90"/>
      <c r="E916" s="90"/>
      <c r="F916" s="90"/>
      <c r="G916" s="90"/>
      <c r="H916" s="90"/>
      <c r="I916" s="90"/>
      <c r="J916" s="90"/>
      <c r="K916" s="90"/>
      <c r="L916" s="90"/>
      <c r="M916" s="90"/>
      <c r="N916" s="90"/>
      <c r="O916" s="90"/>
      <c r="P916" s="90"/>
      <c r="Q916" s="90"/>
      <c r="R916" s="90"/>
      <c r="S916" s="90"/>
      <c r="T916" s="90"/>
      <c r="U916" s="90"/>
      <c r="V916" s="91"/>
    </row>
    <row r="917" spans="1:23" ht="105.75" customHeight="1" x14ac:dyDescent="0.7">
      <c r="A917" s="78"/>
      <c r="B917" s="92" t="s">
        <v>470</v>
      </c>
      <c r="C917" s="86" t="s">
        <v>480</v>
      </c>
      <c r="D917" s="87"/>
      <c r="E917" s="87"/>
      <c r="F917" s="87"/>
      <c r="G917" s="87"/>
      <c r="H917" s="88"/>
      <c r="I917" s="45"/>
      <c r="J917" s="65" t="s">
        <v>459</v>
      </c>
      <c r="K917" s="65" t="s">
        <v>73</v>
      </c>
      <c r="L917" s="65" t="s">
        <v>87</v>
      </c>
      <c r="M917" s="65" t="s">
        <v>481</v>
      </c>
      <c r="N917" s="65" t="s">
        <v>21</v>
      </c>
      <c r="O917" s="65" t="s">
        <v>21</v>
      </c>
      <c r="P917" s="65" t="s">
        <v>21</v>
      </c>
      <c r="Q917" s="71" t="s">
        <v>482</v>
      </c>
      <c r="R917" s="65" t="s">
        <v>11</v>
      </c>
      <c r="S917" s="65" t="s">
        <v>10</v>
      </c>
      <c r="T917" s="65" t="s">
        <v>19</v>
      </c>
      <c r="U917" s="65"/>
      <c r="V917" s="65"/>
    </row>
    <row r="918" spans="1:23" x14ac:dyDescent="0.7">
      <c r="A918" s="78"/>
      <c r="B918" s="93"/>
      <c r="C918" s="44" t="s">
        <v>5</v>
      </c>
      <c r="D918" s="17">
        <f>SUM(D919:D922)</f>
        <v>1170.7932599999999</v>
      </c>
      <c r="E918" s="18">
        <f>SUM(E919:E922)</f>
        <v>1170.7932599999999</v>
      </c>
      <c r="F918" s="18"/>
      <c r="G918" s="18"/>
      <c r="H918" s="18"/>
      <c r="I918" s="18"/>
      <c r="J918" s="66"/>
      <c r="K918" s="66"/>
      <c r="L918" s="66"/>
      <c r="M918" s="66"/>
      <c r="N918" s="66"/>
      <c r="O918" s="66"/>
      <c r="P918" s="66"/>
      <c r="Q918" s="72"/>
      <c r="R918" s="66"/>
      <c r="S918" s="66"/>
      <c r="T918" s="66"/>
      <c r="U918" s="66"/>
      <c r="V918" s="66"/>
    </row>
    <row r="919" spans="1:23" ht="98.25" customHeight="1" x14ac:dyDescent="0.7">
      <c r="A919" s="78"/>
      <c r="B919" s="93"/>
      <c r="C919" s="44" t="s">
        <v>0</v>
      </c>
      <c r="D919" s="17"/>
      <c r="E919" s="18"/>
      <c r="F919" s="18"/>
      <c r="G919" s="18"/>
      <c r="H919" s="18"/>
      <c r="I919" s="18"/>
      <c r="J919" s="66"/>
      <c r="K919" s="66"/>
      <c r="L919" s="66"/>
      <c r="M919" s="66"/>
      <c r="N919" s="66"/>
      <c r="O919" s="66"/>
      <c r="P919" s="66"/>
      <c r="Q919" s="72"/>
      <c r="R919" s="66"/>
      <c r="S919" s="66"/>
      <c r="T919" s="66"/>
      <c r="U919" s="66"/>
      <c r="V919" s="66"/>
    </row>
    <row r="920" spans="1:23" ht="91.5" x14ac:dyDescent="0.7">
      <c r="A920" s="78"/>
      <c r="B920" s="93"/>
      <c r="C920" s="44" t="s">
        <v>1</v>
      </c>
      <c r="D920" s="17">
        <f>SUM(E920:H920)</f>
        <v>1170.7932599999999</v>
      </c>
      <c r="E920" s="18">
        <f>1358.61736-187.8241</f>
        <v>1170.7932599999999</v>
      </c>
      <c r="F920" s="18"/>
      <c r="G920" s="18"/>
      <c r="H920" s="18"/>
      <c r="I920" s="18"/>
      <c r="J920" s="66"/>
      <c r="K920" s="66"/>
      <c r="L920" s="66"/>
      <c r="M920" s="66"/>
      <c r="N920" s="66"/>
      <c r="O920" s="66"/>
      <c r="P920" s="66"/>
      <c r="Q920" s="72"/>
      <c r="R920" s="66"/>
      <c r="S920" s="66"/>
      <c r="T920" s="66"/>
      <c r="U920" s="66"/>
      <c r="V920" s="66"/>
    </row>
    <row r="921" spans="1:23" ht="102.75" customHeight="1" x14ac:dyDescent="0.7">
      <c r="A921" s="78"/>
      <c r="B921" s="93"/>
      <c r="C921" s="44" t="s">
        <v>2</v>
      </c>
      <c r="D921" s="17"/>
      <c r="E921" s="18"/>
      <c r="F921" s="18"/>
      <c r="G921" s="18"/>
      <c r="H921" s="18"/>
      <c r="I921" s="18"/>
      <c r="J921" s="66"/>
      <c r="K921" s="66"/>
      <c r="L921" s="66"/>
      <c r="M921" s="66"/>
      <c r="N921" s="66"/>
      <c r="O921" s="66"/>
      <c r="P921" s="66"/>
      <c r="Q921" s="72"/>
      <c r="R921" s="66"/>
      <c r="S921" s="66"/>
      <c r="T921" s="66"/>
      <c r="U921" s="66"/>
      <c r="V921" s="66"/>
    </row>
    <row r="922" spans="1:23" ht="108.75" customHeight="1" x14ac:dyDescent="0.7">
      <c r="A922" s="79"/>
      <c r="B922" s="94"/>
      <c r="C922" s="44" t="s">
        <v>3</v>
      </c>
      <c r="D922" s="17"/>
      <c r="E922" s="18"/>
      <c r="F922" s="18"/>
      <c r="G922" s="18"/>
      <c r="H922" s="18"/>
      <c r="I922" s="18"/>
      <c r="J922" s="67"/>
      <c r="K922" s="67"/>
      <c r="L922" s="67"/>
      <c r="M922" s="67"/>
      <c r="N922" s="67"/>
      <c r="O922" s="67"/>
      <c r="P922" s="67"/>
      <c r="Q922" s="73"/>
      <c r="R922" s="67"/>
      <c r="S922" s="67"/>
      <c r="T922" s="67"/>
      <c r="U922" s="67"/>
      <c r="V922" s="67"/>
    </row>
    <row r="923" spans="1:23" s="30" customFormat="1" x14ac:dyDescent="0.7">
      <c r="A923" s="74" t="s">
        <v>20</v>
      </c>
      <c r="B923" s="75"/>
      <c r="C923" s="75"/>
      <c r="D923" s="75"/>
      <c r="E923" s="75"/>
      <c r="F923" s="75"/>
      <c r="G923" s="75"/>
      <c r="H923" s="75"/>
      <c r="I923" s="75"/>
      <c r="J923" s="75"/>
      <c r="K923" s="75"/>
      <c r="L923" s="75"/>
      <c r="M923" s="75"/>
      <c r="N923" s="75"/>
      <c r="O923" s="75"/>
      <c r="P923" s="75"/>
      <c r="Q923" s="75"/>
      <c r="R923" s="75"/>
      <c r="S923" s="75"/>
      <c r="T923" s="75"/>
      <c r="U923" s="75"/>
      <c r="V923" s="76"/>
      <c r="W923" s="42"/>
    </row>
    <row r="924" spans="1:23" s="30" customFormat="1" x14ac:dyDescent="0.7">
      <c r="A924" s="77"/>
      <c r="B924" s="89" t="s">
        <v>271</v>
      </c>
      <c r="C924" s="90"/>
      <c r="D924" s="90"/>
      <c r="E924" s="90"/>
      <c r="F924" s="90"/>
      <c r="G924" s="90"/>
      <c r="H924" s="90"/>
      <c r="I924" s="90"/>
      <c r="J924" s="90"/>
      <c r="K924" s="90"/>
      <c r="L924" s="90"/>
      <c r="M924" s="90"/>
      <c r="N924" s="90"/>
      <c r="O924" s="90"/>
      <c r="P924" s="90"/>
      <c r="Q924" s="90"/>
      <c r="R924" s="90"/>
      <c r="S924" s="90"/>
      <c r="T924" s="90"/>
      <c r="U924" s="90"/>
      <c r="V924" s="91"/>
      <c r="W924" s="42"/>
    </row>
    <row r="925" spans="1:23" s="30" customFormat="1" ht="102.75" customHeight="1" x14ac:dyDescent="0.7">
      <c r="A925" s="78"/>
      <c r="B925" s="92" t="s">
        <v>474</v>
      </c>
      <c r="C925" s="86" t="s">
        <v>559</v>
      </c>
      <c r="D925" s="87"/>
      <c r="E925" s="87"/>
      <c r="F925" s="87"/>
      <c r="G925" s="87"/>
      <c r="H925" s="88"/>
      <c r="I925" s="45"/>
      <c r="J925" s="65" t="s">
        <v>565</v>
      </c>
      <c r="K925" s="65" t="s">
        <v>560</v>
      </c>
      <c r="L925" s="65" t="s">
        <v>87</v>
      </c>
      <c r="M925" s="65" t="s">
        <v>561</v>
      </c>
      <c r="N925" s="65" t="s">
        <v>21</v>
      </c>
      <c r="O925" s="65" t="s">
        <v>21</v>
      </c>
      <c r="P925" s="65" t="s">
        <v>21</v>
      </c>
      <c r="Q925" s="71" t="s">
        <v>562</v>
      </c>
      <c r="R925" s="65" t="s">
        <v>11</v>
      </c>
      <c r="S925" s="65" t="s">
        <v>13</v>
      </c>
      <c r="T925" s="65" t="s">
        <v>7</v>
      </c>
      <c r="U925" s="65" t="s">
        <v>563</v>
      </c>
      <c r="V925" s="65" t="s">
        <v>564</v>
      </c>
      <c r="W925" s="42"/>
    </row>
    <row r="926" spans="1:23" s="30" customFormat="1" x14ac:dyDescent="0.7">
      <c r="A926" s="78"/>
      <c r="B926" s="93"/>
      <c r="C926" s="44" t="s">
        <v>5</v>
      </c>
      <c r="D926" s="17">
        <f>SUM(D927:D930)</f>
        <v>133969.315</v>
      </c>
      <c r="E926" s="18">
        <f>SUM(E927:E930)</f>
        <v>133969.315</v>
      </c>
      <c r="F926" s="18"/>
      <c r="G926" s="18"/>
      <c r="H926" s="18"/>
      <c r="I926" s="18"/>
      <c r="J926" s="66"/>
      <c r="K926" s="66"/>
      <c r="L926" s="66"/>
      <c r="M926" s="66"/>
      <c r="N926" s="66"/>
      <c r="O926" s="66"/>
      <c r="P926" s="66"/>
      <c r="Q926" s="72"/>
      <c r="R926" s="66"/>
      <c r="S926" s="66"/>
      <c r="T926" s="66"/>
      <c r="U926" s="66"/>
      <c r="V926" s="66"/>
      <c r="W926" s="42"/>
    </row>
    <row r="927" spans="1:23" s="30" customFormat="1" ht="91.5" x14ac:dyDescent="0.7">
      <c r="A927" s="78"/>
      <c r="B927" s="93"/>
      <c r="C927" s="44" t="s">
        <v>0</v>
      </c>
      <c r="D927" s="17">
        <f>SUM(E927:H927)</f>
        <v>121888.7</v>
      </c>
      <c r="E927" s="18">
        <v>121888.7</v>
      </c>
      <c r="F927" s="18"/>
      <c r="G927" s="18"/>
      <c r="H927" s="18"/>
      <c r="I927" s="18"/>
      <c r="J927" s="66"/>
      <c r="K927" s="66"/>
      <c r="L927" s="66"/>
      <c r="M927" s="66"/>
      <c r="N927" s="66"/>
      <c r="O927" s="66"/>
      <c r="P927" s="66"/>
      <c r="Q927" s="72"/>
      <c r="R927" s="66"/>
      <c r="S927" s="66"/>
      <c r="T927" s="66"/>
      <c r="U927" s="66"/>
      <c r="V927" s="66"/>
      <c r="W927" s="42"/>
    </row>
    <row r="928" spans="1:23" s="30" customFormat="1" ht="91.5" x14ac:dyDescent="0.7">
      <c r="A928" s="78"/>
      <c r="B928" s="93"/>
      <c r="C928" s="44" t="s">
        <v>1</v>
      </c>
      <c r="D928" s="17">
        <f>SUM(E928:H928)</f>
        <v>12080.615000000002</v>
      </c>
      <c r="E928" s="18">
        <f>16502.4-4421.785</f>
        <v>12080.615000000002</v>
      </c>
      <c r="F928" s="18"/>
      <c r="G928" s="18"/>
      <c r="H928" s="18"/>
      <c r="I928" s="18"/>
      <c r="J928" s="66"/>
      <c r="K928" s="66"/>
      <c r="L928" s="66"/>
      <c r="M928" s="66"/>
      <c r="N928" s="66"/>
      <c r="O928" s="66"/>
      <c r="P928" s="66"/>
      <c r="Q928" s="72"/>
      <c r="R928" s="66"/>
      <c r="S928" s="66"/>
      <c r="T928" s="66"/>
      <c r="U928" s="66"/>
      <c r="V928" s="66"/>
      <c r="W928" s="42"/>
    </row>
    <row r="929" spans="1:23" ht="91.5" customHeight="1" x14ac:dyDescent="0.7">
      <c r="A929" s="78"/>
      <c r="B929" s="93"/>
      <c r="C929" s="44" t="s">
        <v>2</v>
      </c>
      <c r="D929" s="17"/>
      <c r="E929" s="18"/>
      <c r="F929" s="18"/>
      <c r="G929" s="18"/>
      <c r="H929" s="18"/>
      <c r="I929" s="18"/>
      <c r="J929" s="66"/>
      <c r="K929" s="66"/>
      <c r="L929" s="66"/>
      <c r="M929" s="66"/>
      <c r="N929" s="66"/>
      <c r="O929" s="66"/>
      <c r="P929" s="66"/>
      <c r="Q929" s="72"/>
      <c r="R929" s="66"/>
      <c r="S929" s="66"/>
      <c r="T929" s="66"/>
      <c r="U929" s="66"/>
      <c r="V929" s="66"/>
      <c r="W929" s="42"/>
    </row>
    <row r="930" spans="1:23" ht="113.25" customHeight="1" x14ac:dyDescent="0.7">
      <c r="A930" s="79"/>
      <c r="B930" s="94"/>
      <c r="C930" s="44" t="s">
        <v>3</v>
      </c>
      <c r="D930" s="17"/>
      <c r="E930" s="18"/>
      <c r="F930" s="18"/>
      <c r="G930" s="18"/>
      <c r="H930" s="18"/>
      <c r="I930" s="18"/>
      <c r="J930" s="67"/>
      <c r="K930" s="67"/>
      <c r="L930" s="67"/>
      <c r="M930" s="67"/>
      <c r="N930" s="67"/>
      <c r="O930" s="67"/>
      <c r="P930" s="67"/>
      <c r="Q930" s="73"/>
      <c r="R930" s="67"/>
      <c r="S930" s="67"/>
      <c r="T930" s="67"/>
      <c r="U930" s="67"/>
      <c r="V930" s="67"/>
      <c r="W930" s="42"/>
    </row>
    <row r="931" spans="1:23" x14ac:dyDescent="0.7">
      <c r="A931" s="74" t="s">
        <v>20</v>
      </c>
      <c r="B931" s="75"/>
      <c r="C931" s="75"/>
      <c r="D931" s="75"/>
      <c r="E931" s="75"/>
      <c r="F931" s="75"/>
      <c r="G931" s="75"/>
      <c r="H931" s="75"/>
      <c r="I931" s="75"/>
      <c r="J931" s="75"/>
      <c r="K931" s="75"/>
      <c r="L931" s="75"/>
      <c r="M931" s="75"/>
      <c r="N931" s="75"/>
      <c r="O931" s="75"/>
      <c r="P931" s="75"/>
      <c r="Q931" s="75"/>
      <c r="R931" s="75"/>
      <c r="S931" s="75"/>
      <c r="T931" s="75"/>
      <c r="U931" s="75"/>
      <c r="V931" s="76"/>
    </row>
    <row r="932" spans="1:23" x14ac:dyDescent="0.7">
      <c r="A932" s="77"/>
      <c r="B932" s="89" t="s">
        <v>271</v>
      </c>
      <c r="C932" s="90"/>
      <c r="D932" s="90"/>
      <c r="E932" s="90"/>
      <c r="F932" s="90"/>
      <c r="G932" s="90"/>
      <c r="H932" s="90"/>
      <c r="I932" s="90"/>
      <c r="J932" s="90"/>
      <c r="K932" s="90"/>
      <c r="L932" s="90"/>
      <c r="M932" s="90"/>
      <c r="N932" s="90"/>
      <c r="O932" s="90"/>
      <c r="P932" s="90"/>
      <c r="Q932" s="90"/>
      <c r="R932" s="90"/>
      <c r="S932" s="90"/>
      <c r="T932" s="90"/>
      <c r="U932" s="90"/>
      <c r="V932" s="91"/>
    </row>
    <row r="933" spans="1:23" ht="102.75" customHeight="1" x14ac:dyDescent="0.7">
      <c r="A933" s="78"/>
      <c r="B933" s="92" t="s">
        <v>476</v>
      </c>
      <c r="C933" s="86" t="s">
        <v>581</v>
      </c>
      <c r="D933" s="87"/>
      <c r="E933" s="87"/>
      <c r="F933" s="87"/>
      <c r="G933" s="87"/>
      <c r="H933" s="88"/>
      <c r="I933" s="45"/>
      <c r="J933" s="65" t="s">
        <v>585</v>
      </c>
      <c r="K933" s="65" t="s">
        <v>73</v>
      </c>
      <c r="L933" s="65" t="s">
        <v>87</v>
      </c>
      <c r="M933" s="65" t="s">
        <v>582</v>
      </c>
      <c r="N933" s="65" t="s">
        <v>21</v>
      </c>
      <c r="O933" s="65" t="s">
        <v>21</v>
      </c>
      <c r="P933" s="65" t="s">
        <v>21</v>
      </c>
      <c r="Q933" s="71" t="s">
        <v>584</v>
      </c>
      <c r="R933" s="65" t="s">
        <v>11</v>
      </c>
      <c r="S933" s="65" t="s">
        <v>14</v>
      </c>
      <c r="T933" s="65" t="s">
        <v>19</v>
      </c>
      <c r="U933" s="65"/>
      <c r="V933" s="65" t="s">
        <v>583</v>
      </c>
    </row>
    <row r="934" spans="1:23" x14ac:dyDescent="0.7">
      <c r="A934" s="78"/>
      <c r="B934" s="93"/>
      <c r="C934" s="44" t="s">
        <v>5</v>
      </c>
      <c r="D934" s="17">
        <f>SUM(D935:D938)</f>
        <v>4559.09</v>
      </c>
      <c r="E934" s="18">
        <f>SUM(E935:E938)</f>
        <v>4559.09</v>
      </c>
      <c r="F934" s="18"/>
      <c r="G934" s="18"/>
      <c r="H934" s="18"/>
      <c r="I934" s="18"/>
      <c r="J934" s="66"/>
      <c r="K934" s="66"/>
      <c r="L934" s="66"/>
      <c r="M934" s="66"/>
      <c r="N934" s="66"/>
      <c r="O934" s="66"/>
      <c r="P934" s="66"/>
      <c r="Q934" s="72"/>
      <c r="R934" s="66"/>
      <c r="S934" s="66"/>
      <c r="T934" s="66"/>
      <c r="U934" s="66"/>
      <c r="V934" s="66"/>
    </row>
    <row r="935" spans="1:23" ht="91.5" x14ac:dyDescent="0.7">
      <c r="A935" s="78"/>
      <c r="B935" s="93"/>
      <c r="C935" s="44" t="s">
        <v>0</v>
      </c>
      <c r="D935" s="17"/>
      <c r="E935" s="18"/>
      <c r="F935" s="18"/>
      <c r="G935" s="18"/>
      <c r="H935" s="18"/>
      <c r="I935" s="18"/>
      <c r="J935" s="66"/>
      <c r="K935" s="66"/>
      <c r="L935" s="66"/>
      <c r="M935" s="66"/>
      <c r="N935" s="66"/>
      <c r="O935" s="66"/>
      <c r="P935" s="66"/>
      <c r="Q935" s="72"/>
      <c r="R935" s="66"/>
      <c r="S935" s="66"/>
      <c r="T935" s="66"/>
      <c r="U935" s="66"/>
      <c r="V935" s="66"/>
    </row>
    <row r="936" spans="1:23" ht="91.5" x14ac:dyDescent="0.7">
      <c r="A936" s="78"/>
      <c r="B936" s="93"/>
      <c r="C936" s="44" t="s">
        <v>1</v>
      </c>
      <c r="D936" s="17">
        <f>SUM(E936:H936)</f>
        <v>4559.09</v>
      </c>
      <c r="E936" s="18">
        <f>3559.111+802.46135+197.51765</f>
        <v>4559.09</v>
      </c>
      <c r="F936" s="18"/>
      <c r="G936" s="18"/>
      <c r="H936" s="18"/>
      <c r="I936" s="18"/>
      <c r="J936" s="66"/>
      <c r="K936" s="66"/>
      <c r="L936" s="66"/>
      <c r="M936" s="66"/>
      <c r="N936" s="66"/>
      <c r="O936" s="66"/>
      <c r="P936" s="66"/>
      <c r="Q936" s="72"/>
      <c r="R936" s="66"/>
      <c r="S936" s="66"/>
      <c r="T936" s="66"/>
      <c r="U936" s="66"/>
      <c r="V936" s="66"/>
    </row>
    <row r="937" spans="1:23" ht="101.25" customHeight="1" x14ac:dyDescent="0.7">
      <c r="A937" s="78"/>
      <c r="B937" s="93"/>
      <c r="C937" s="44" t="s">
        <v>2</v>
      </c>
      <c r="D937" s="17"/>
      <c r="E937" s="18"/>
      <c r="F937" s="18"/>
      <c r="G937" s="18"/>
      <c r="H937" s="18"/>
      <c r="I937" s="18"/>
      <c r="J937" s="66"/>
      <c r="K937" s="66"/>
      <c r="L937" s="66"/>
      <c r="M937" s="66"/>
      <c r="N937" s="66"/>
      <c r="O937" s="66"/>
      <c r="P937" s="66"/>
      <c r="Q937" s="72"/>
      <c r="R937" s="66"/>
      <c r="S937" s="66"/>
      <c r="T937" s="66"/>
      <c r="U937" s="66"/>
      <c r="V937" s="66"/>
    </row>
    <row r="938" spans="1:23" ht="91.5" x14ac:dyDescent="0.7">
      <c r="A938" s="79"/>
      <c r="B938" s="94"/>
      <c r="C938" s="44" t="s">
        <v>3</v>
      </c>
      <c r="D938" s="17"/>
      <c r="E938" s="18"/>
      <c r="F938" s="18"/>
      <c r="G938" s="18"/>
      <c r="H938" s="18"/>
      <c r="I938" s="18"/>
      <c r="J938" s="67"/>
      <c r="K938" s="67"/>
      <c r="L938" s="67"/>
      <c r="M938" s="67"/>
      <c r="N938" s="67"/>
      <c r="O938" s="67"/>
      <c r="P938" s="67"/>
      <c r="Q938" s="73"/>
      <c r="R938" s="67"/>
      <c r="S938" s="67"/>
      <c r="T938" s="67"/>
      <c r="U938" s="67"/>
      <c r="V938" s="67"/>
    </row>
    <row r="939" spans="1:23" x14ac:dyDescent="0.7">
      <c r="A939" s="74" t="s">
        <v>20</v>
      </c>
      <c r="B939" s="75"/>
      <c r="C939" s="75"/>
      <c r="D939" s="75"/>
      <c r="E939" s="75"/>
      <c r="F939" s="75"/>
      <c r="G939" s="75"/>
      <c r="H939" s="75"/>
      <c r="I939" s="75"/>
      <c r="J939" s="75"/>
      <c r="K939" s="75"/>
      <c r="L939" s="75"/>
      <c r="M939" s="75"/>
      <c r="N939" s="75"/>
      <c r="O939" s="75"/>
      <c r="P939" s="75"/>
      <c r="Q939" s="75"/>
      <c r="R939" s="75"/>
      <c r="S939" s="75"/>
      <c r="T939" s="75"/>
      <c r="U939" s="75"/>
      <c r="V939" s="76"/>
    </row>
    <row r="940" spans="1:23" x14ac:dyDescent="0.7">
      <c r="A940" s="77"/>
      <c r="B940" s="89" t="s">
        <v>271</v>
      </c>
      <c r="C940" s="90"/>
      <c r="D940" s="90"/>
      <c r="E940" s="90"/>
      <c r="F940" s="90"/>
      <c r="G940" s="90"/>
      <c r="H940" s="90"/>
      <c r="I940" s="90"/>
      <c r="J940" s="90"/>
      <c r="K940" s="90"/>
      <c r="L940" s="90"/>
      <c r="M940" s="90"/>
      <c r="N940" s="90"/>
      <c r="O940" s="90"/>
      <c r="P940" s="90"/>
      <c r="Q940" s="90"/>
      <c r="R940" s="90"/>
      <c r="S940" s="90"/>
      <c r="T940" s="90"/>
      <c r="U940" s="90"/>
      <c r="V940" s="91"/>
    </row>
    <row r="941" spans="1:23" x14ac:dyDescent="0.7">
      <c r="A941" s="78"/>
      <c r="B941" s="92" t="s">
        <v>479</v>
      </c>
      <c r="C941" s="86" t="s">
        <v>642</v>
      </c>
      <c r="D941" s="87"/>
      <c r="E941" s="87"/>
      <c r="F941" s="87"/>
      <c r="G941" s="87"/>
      <c r="H941" s="88"/>
      <c r="I941" s="45"/>
      <c r="J941" s="65" t="s">
        <v>646</v>
      </c>
      <c r="K941" s="65" t="s">
        <v>74</v>
      </c>
      <c r="L941" s="65" t="s">
        <v>645</v>
      </c>
      <c r="M941" s="65" t="s">
        <v>649</v>
      </c>
      <c r="N941" s="65" t="s">
        <v>484</v>
      </c>
      <c r="O941" s="65" t="s">
        <v>484</v>
      </c>
      <c r="P941" s="65" t="s">
        <v>484</v>
      </c>
      <c r="Q941" s="71" t="s">
        <v>651</v>
      </c>
      <c r="R941" s="65" t="s">
        <v>11</v>
      </c>
      <c r="S941" s="65" t="s">
        <v>650</v>
      </c>
      <c r="T941" s="65"/>
      <c r="U941" s="65"/>
      <c r="V941" s="65"/>
    </row>
    <row r="942" spans="1:23" x14ac:dyDescent="0.7">
      <c r="A942" s="78"/>
      <c r="B942" s="93"/>
      <c r="C942" s="44" t="s">
        <v>5</v>
      </c>
      <c r="D942" s="17">
        <f>SUM(D943:D946)</f>
        <v>143000</v>
      </c>
      <c r="E942" s="18">
        <f>SUM(E943:E946)</f>
        <v>42900</v>
      </c>
      <c r="F942" s="18">
        <f>SUM(F943:F946)</f>
        <v>100100</v>
      </c>
      <c r="G942" s="18"/>
      <c r="H942" s="18"/>
      <c r="I942" s="18"/>
      <c r="J942" s="66"/>
      <c r="K942" s="66"/>
      <c r="L942" s="66"/>
      <c r="M942" s="66"/>
      <c r="N942" s="66"/>
      <c r="O942" s="66"/>
      <c r="P942" s="66"/>
      <c r="Q942" s="72"/>
      <c r="R942" s="66"/>
      <c r="S942" s="66"/>
      <c r="T942" s="66"/>
      <c r="U942" s="66"/>
      <c r="V942" s="66"/>
    </row>
    <row r="943" spans="1:23" ht="91.5" x14ac:dyDescent="0.7">
      <c r="A943" s="78"/>
      <c r="B943" s="93"/>
      <c r="C943" s="44" t="s">
        <v>0</v>
      </c>
      <c r="D943" s="17"/>
      <c r="E943" s="18"/>
      <c r="F943" s="18"/>
      <c r="G943" s="18"/>
      <c r="H943" s="18"/>
      <c r="I943" s="18"/>
      <c r="J943" s="66"/>
      <c r="K943" s="66"/>
      <c r="L943" s="66"/>
      <c r="M943" s="66"/>
      <c r="N943" s="66"/>
      <c r="O943" s="66"/>
      <c r="P943" s="66"/>
      <c r="Q943" s="72"/>
      <c r="R943" s="66"/>
      <c r="S943" s="66"/>
      <c r="T943" s="66"/>
      <c r="U943" s="66"/>
      <c r="V943" s="66"/>
    </row>
    <row r="944" spans="1:23" ht="91.5" x14ac:dyDescent="0.7">
      <c r="A944" s="78"/>
      <c r="B944" s="93"/>
      <c r="C944" s="44" t="s">
        <v>1</v>
      </c>
      <c r="D944" s="17">
        <f>SUM(E944:H944)</f>
        <v>143000</v>
      </c>
      <c r="E944" s="18">
        <v>42900</v>
      </c>
      <c r="F944" s="18">
        <v>100100</v>
      </c>
      <c r="G944" s="18"/>
      <c r="H944" s="18"/>
      <c r="I944" s="18"/>
      <c r="J944" s="66"/>
      <c r="K944" s="66"/>
      <c r="L944" s="66"/>
      <c r="M944" s="66"/>
      <c r="N944" s="66"/>
      <c r="O944" s="66"/>
      <c r="P944" s="66"/>
      <c r="Q944" s="72"/>
      <c r="R944" s="66"/>
      <c r="S944" s="66"/>
      <c r="T944" s="66"/>
      <c r="U944" s="66"/>
      <c r="V944" s="66"/>
    </row>
    <row r="945" spans="1:22" ht="93.75" customHeight="1" x14ac:dyDescent="0.7">
      <c r="A945" s="78"/>
      <c r="B945" s="93"/>
      <c r="C945" s="44" t="s">
        <v>2</v>
      </c>
      <c r="D945" s="17"/>
      <c r="E945" s="18"/>
      <c r="F945" s="18"/>
      <c r="G945" s="18"/>
      <c r="H945" s="18"/>
      <c r="I945" s="18"/>
      <c r="J945" s="66"/>
      <c r="K945" s="66"/>
      <c r="L945" s="66"/>
      <c r="M945" s="66"/>
      <c r="N945" s="66"/>
      <c r="O945" s="66"/>
      <c r="P945" s="66"/>
      <c r="Q945" s="72"/>
      <c r="R945" s="66"/>
      <c r="S945" s="66"/>
      <c r="T945" s="66"/>
      <c r="U945" s="66"/>
      <c r="V945" s="66"/>
    </row>
    <row r="946" spans="1:22" ht="91.5" x14ac:dyDescent="0.7">
      <c r="A946" s="79"/>
      <c r="B946" s="94"/>
      <c r="C946" s="44" t="s">
        <v>3</v>
      </c>
      <c r="D946" s="17"/>
      <c r="E946" s="18"/>
      <c r="F946" s="18"/>
      <c r="G946" s="18"/>
      <c r="H946" s="18"/>
      <c r="I946" s="18"/>
      <c r="J946" s="67"/>
      <c r="K946" s="67"/>
      <c r="L946" s="67"/>
      <c r="M946" s="67"/>
      <c r="N946" s="67"/>
      <c r="O946" s="67"/>
      <c r="P946" s="67"/>
      <c r="Q946" s="73"/>
      <c r="R946" s="67"/>
      <c r="S946" s="67"/>
      <c r="T946" s="67"/>
      <c r="U946" s="67"/>
      <c r="V946" s="67"/>
    </row>
    <row r="947" spans="1:22" x14ac:dyDescent="0.7">
      <c r="A947" s="74" t="s">
        <v>20</v>
      </c>
      <c r="B947" s="75"/>
      <c r="C947" s="75"/>
      <c r="D947" s="75"/>
      <c r="E947" s="75"/>
      <c r="F947" s="75"/>
      <c r="G947" s="75"/>
      <c r="H947" s="75"/>
      <c r="I947" s="75"/>
      <c r="J947" s="75"/>
      <c r="K947" s="75"/>
      <c r="L947" s="75"/>
      <c r="M947" s="75"/>
      <c r="N947" s="75"/>
      <c r="O947" s="75"/>
      <c r="P947" s="75"/>
      <c r="Q947" s="75"/>
      <c r="R947" s="75"/>
      <c r="S947" s="75"/>
      <c r="T947" s="75"/>
      <c r="U947" s="75"/>
      <c r="V947" s="76"/>
    </row>
    <row r="948" spans="1:22" x14ac:dyDescent="0.7">
      <c r="A948" s="77"/>
      <c r="B948" s="89" t="s">
        <v>271</v>
      </c>
      <c r="C948" s="90"/>
      <c r="D948" s="90"/>
      <c r="E948" s="90"/>
      <c r="F948" s="90"/>
      <c r="G948" s="90"/>
      <c r="H948" s="90"/>
      <c r="I948" s="90"/>
      <c r="J948" s="90"/>
      <c r="K948" s="90"/>
      <c r="L948" s="90"/>
      <c r="M948" s="90"/>
      <c r="N948" s="90"/>
      <c r="O948" s="90"/>
      <c r="P948" s="90"/>
      <c r="Q948" s="90"/>
      <c r="R948" s="90"/>
      <c r="S948" s="90"/>
      <c r="T948" s="90"/>
      <c r="U948" s="90"/>
      <c r="V948" s="91"/>
    </row>
    <row r="949" spans="1:22" x14ac:dyDescent="0.7">
      <c r="A949" s="78"/>
      <c r="B949" s="92" t="s">
        <v>483</v>
      </c>
      <c r="C949" s="86" t="s">
        <v>643</v>
      </c>
      <c r="D949" s="87"/>
      <c r="E949" s="87"/>
      <c r="F949" s="87"/>
      <c r="G949" s="87"/>
      <c r="H949" s="88"/>
      <c r="I949" s="45"/>
      <c r="J949" s="65" t="s">
        <v>646</v>
      </c>
      <c r="K949" s="65" t="s">
        <v>96</v>
      </c>
      <c r="L949" s="65" t="s">
        <v>645</v>
      </c>
      <c r="M949" s="65" t="s">
        <v>648</v>
      </c>
      <c r="N949" s="65" t="s">
        <v>21</v>
      </c>
      <c r="O949" s="65" t="s">
        <v>21</v>
      </c>
      <c r="P949" s="65" t="s">
        <v>21</v>
      </c>
      <c r="Q949" s="71" t="s">
        <v>652</v>
      </c>
      <c r="R949" s="65" t="s">
        <v>11</v>
      </c>
      <c r="S949" s="65" t="s">
        <v>650</v>
      </c>
      <c r="T949" s="65"/>
      <c r="U949" s="65"/>
      <c r="V949" s="65"/>
    </row>
    <row r="950" spans="1:22" x14ac:dyDescent="0.7">
      <c r="A950" s="78"/>
      <c r="B950" s="93"/>
      <c r="C950" s="44" t="s">
        <v>5</v>
      </c>
      <c r="D950" s="17">
        <f>SUM(D951:D954)</f>
        <v>21150</v>
      </c>
      <c r="E950" s="18"/>
      <c r="F950" s="18">
        <f>SUM(F951:F954)</f>
        <v>21150</v>
      </c>
      <c r="G950" s="18"/>
      <c r="H950" s="18"/>
      <c r="I950" s="18"/>
      <c r="J950" s="66"/>
      <c r="K950" s="66"/>
      <c r="L950" s="66"/>
      <c r="M950" s="66"/>
      <c r="N950" s="66"/>
      <c r="O950" s="66"/>
      <c r="P950" s="66"/>
      <c r="Q950" s="72"/>
      <c r="R950" s="66"/>
      <c r="S950" s="66"/>
      <c r="T950" s="66"/>
      <c r="U950" s="66"/>
      <c r="V950" s="66"/>
    </row>
    <row r="951" spans="1:22" ht="91.5" x14ac:dyDescent="0.7">
      <c r="A951" s="78"/>
      <c r="B951" s="93"/>
      <c r="C951" s="44" t="s">
        <v>0</v>
      </c>
      <c r="D951" s="17"/>
      <c r="E951" s="18"/>
      <c r="F951" s="18"/>
      <c r="G951" s="18"/>
      <c r="H951" s="18"/>
      <c r="I951" s="18"/>
      <c r="J951" s="66"/>
      <c r="K951" s="66"/>
      <c r="L951" s="66"/>
      <c r="M951" s="66"/>
      <c r="N951" s="66"/>
      <c r="O951" s="66"/>
      <c r="P951" s="66"/>
      <c r="Q951" s="72"/>
      <c r="R951" s="66"/>
      <c r="S951" s="66"/>
      <c r="T951" s="66"/>
      <c r="U951" s="66"/>
      <c r="V951" s="66"/>
    </row>
    <row r="952" spans="1:22" ht="91.5" x14ac:dyDescent="0.7">
      <c r="A952" s="78"/>
      <c r="B952" s="93"/>
      <c r="C952" s="44" t="s">
        <v>1</v>
      </c>
      <c r="D952" s="17">
        <f>SUM(E952:H952)</f>
        <v>21150</v>
      </c>
      <c r="E952" s="18"/>
      <c r="F952" s="18">
        <v>21150</v>
      </c>
      <c r="G952" s="18"/>
      <c r="H952" s="18"/>
      <c r="I952" s="18"/>
      <c r="J952" s="66"/>
      <c r="K952" s="66"/>
      <c r="L952" s="66"/>
      <c r="M952" s="66"/>
      <c r="N952" s="66"/>
      <c r="O952" s="66"/>
      <c r="P952" s="66"/>
      <c r="Q952" s="72"/>
      <c r="R952" s="66"/>
      <c r="S952" s="66"/>
      <c r="T952" s="66"/>
      <c r="U952" s="66"/>
      <c r="V952" s="66"/>
    </row>
    <row r="953" spans="1:22" ht="93.75" customHeight="1" x14ac:dyDescent="0.7">
      <c r="A953" s="78"/>
      <c r="B953" s="93"/>
      <c r="C953" s="44" t="s">
        <v>2</v>
      </c>
      <c r="D953" s="17"/>
      <c r="E953" s="18"/>
      <c r="F953" s="18"/>
      <c r="G953" s="18"/>
      <c r="H953" s="18"/>
      <c r="I953" s="18"/>
      <c r="J953" s="66"/>
      <c r="K953" s="66"/>
      <c r="L953" s="66"/>
      <c r="M953" s="66"/>
      <c r="N953" s="66"/>
      <c r="O953" s="66"/>
      <c r="P953" s="66"/>
      <c r="Q953" s="72"/>
      <c r="R953" s="66"/>
      <c r="S953" s="66"/>
      <c r="T953" s="66"/>
      <c r="U953" s="66"/>
      <c r="V953" s="66"/>
    </row>
    <row r="954" spans="1:22" ht="91.5" x14ac:dyDescent="0.7">
      <c r="A954" s="79"/>
      <c r="B954" s="94"/>
      <c r="C954" s="44" t="s">
        <v>3</v>
      </c>
      <c r="D954" s="17"/>
      <c r="E954" s="18"/>
      <c r="F954" s="18"/>
      <c r="G954" s="18"/>
      <c r="H954" s="18"/>
      <c r="I954" s="18"/>
      <c r="J954" s="67"/>
      <c r="K954" s="67"/>
      <c r="L954" s="67"/>
      <c r="M954" s="67"/>
      <c r="N954" s="67"/>
      <c r="O954" s="67"/>
      <c r="P954" s="67"/>
      <c r="Q954" s="73"/>
      <c r="R954" s="67"/>
      <c r="S954" s="67"/>
      <c r="T954" s="67"/>
      <c r="U954" s="67"/>
      <c r="V954" s="67"/>
    </row>
    <row r="955" spans="1:22" x14ac:dyDescent="0.7">
      <c r="A955" s="74" t="s">
        <v>20</v>
      </c>
      <c r="B955" s="75"/>
      <c r="C955" s="75"/>
      <c r="D955" s="75"/>
      <c r="E955" s="75"/>
      <c r="F955" s="75"/>
      <c r="G955" s="75"/>
      <c r="H955" s="75"/>
      <c r="I955" s="75"/>
      <c r="J955" s="75"/>
      <c r="K955" s="75"/>
      <c r="L955" s="75"/>
      <c r="M955" s="75"/>
      <c r="N955" s="75"/>
      <c r="O955" s="75"/>
      <c r="P955" s="75"/>
      <c r="Q955" s="75"/>
      <c r="R955" s="75"/>
      <c r="S955" s="75"/>
      <c r="T955" s="75"/>
      <c r="U955" s="75"/>
      <c r="V955" s="76"/>
    </row>
    <row r="956" spans="1:22" x14ac:dyDescent="0.7">
      <c r="A956" s="77"/>
      <c r="B956" s="89" t="s">
        <v>271</v>
      </c>
      <c r="C956" s="90"/>
      <c r="D956" s="90"/>
      <c r="E956" s="90"/>
      <c r="F956" s="90"/>
      <c r="G956" s="90"/>
      <c r="H956" s="90"/>
      <c r="I956" s="90"/>
      <c r="J956" s="90"/>
      <c r="K956" s="90"/>
      <c r="L956" s="90"/>
      <c r="M956" s="90"/>
      <c r="N956" s="90"/>
      <c r="O956" s="90"/>
      <c r="P956" s="90"/>
      <c r="Q956" s="90"/>
      <c r="R956" s="90"/>
      <c r="S956" s="90"/>
      <c r="T956" s="90"/>
      <c r="U956" s="90"/>
      <c r="V956" s="91"/>
    </row>
    <row r="957" spans="1:22" x14ac:dyDescent="0.7">
      <c r="A957" s="78"/>
      <c r="B957" s="92" t="s">
        <v>673</v>
      </c>
      <c r="C957" s="86" t="s">
        <v>644</v>
      </c>
      <c r="D957" s="87"/>
      <c r="E957" s="87"/>
      <c r="F957" s="87"/>
      <c r="G957" s="87"/>
      <c r="H957" s="88"/>
      <c r="I957" s="45"/>
      <c r="J957" s="65" t="s">
        <v>646</v>
      </c>
      <c r="K957" s="65" t="s">
        <v>96</v>
      </c>
      <c r="L957" s="65" t="s">
        <v>645</v>
      </c>
      <c r="M957" s="65" t="s">
        <v>647</v>
      </c>
      <c r="N957" s="65" t="s">
        <v>21</v>
      </c>
      <c r="O957" s="65" t="s">
        <v>21</v>
      </c>
      <c r="P957" s="65" t="s">
        <v>21</v>
      </c>
      <c r="Q957" s="71" t="s">
        <v>653</v>
      </c>
      <c r="R957" s="65" t="s">
        <v>11</v>
      </c>
      <c r="S957" s="65" t="s">
        <v>650</v>
      </c>
      <c r="T957" s="65"/>
      <c r="U957" s="65"/>
      <c r="V957" s="65"/>
    </row>
    <row r="958" spans="1:22" x14ac:dyDescent="0.7">
      <c r="A958" s="78"/>
      <c r="B958" s="93"/>
      <c r="C958" s="44" t="s">
        <v>5</v>
      </c>
      <c r="D958" s="17">
        <f>SUM(D959:D962)</f>
        <v>32500</v>
      </c>
      <c r="E958" s="18">
        <f>SUM(E959:E962)</f>
        <v>7500</v>
      </c>
      <c r="F958" s="18">
        <f>SUM(F959:F962)</f>
        <v>25000</v>
      </c>
      <c r="G958" s="18"/>
      <c r="H958" s="18"/>
      <c r="I958" s="18"/>
      <c r="J958" s="66"/>
      <c r="K958" s="66"/>
      <c r="L958" s="66"/>
      <c r="M958" s="66"/>
      <c r="N958" s="66"/>
      <c r="O958" s="66"/>
      <c r="P958" s="66"/>
      <c r="Q958" s="72"/>
      <c r="R958" s="66"/>
      <c r="S958" s="66"/>
      <c r="T958" s="66"/>
      <c r="U958" s="66"/>
      <c r="V958" s="66"/>
    </row>
    <row r="959" spans="1:22" ht="91.5" x14ac:dyDescent="0.7">
      <c r="A959" s="78"/>
      <c r="B959" s="93"/>
      <c r="C959" s="44" t="s">
        <v>0</v>
      </c>
      <c r="D959" s="17"/>
      <c r="E959" s="18"/>
      <c r="F959" s="18"/>
      <c r="G959" s="18"/>
      <c r="H959" s="18"/>
      <c r="I959" s="18"/>
      <c r="J959" s="66"/>
      <c r="K959" s="66"/>
      <c r="L959" s="66"/>
      <c r="M959" s="66"/>
      <c r="N959" s="66"/>
      <c r="O959" s="66"/>
      <c r="P959" s="66"/>
      <c r="Q959" s="72"/>
      <c r="R959" s="66"/>
      <c r="S959" s="66"/>
      <c r="T959" s="66"/>
      <c r="U959" s="66"/>
      <c r="V959" s="66"/>
    </row>
    <row r="960" spans="1:22" ht="91.5" x14ac:dyDescent="0.7">
      <c r="A960" s="78"/>
      <c r="B960" s="93"/>
      <c r="C960" s="44" t="s">
        <v>1</v>
      </c>
      <c r="D960" s="17">
        <f>SUM(E960:H960)</f>
        <v>32500</v>
      </c>
      <c r="E960" s="18">
        <v>7500</v>
      </c>
      <c r="F960" s="18">
        <v>25000</v>
      </c>
      <c r="G960" s="18"/>
      <c r="H960" s="18"/>
      <c r="I960" s="18"/>
      <c r="J960" s="66"/>
      <c r="K960" s="66"/>
      <c r="L960" s="66"/>
      <c r="M960" s="66"/>
      <c r="N960" s="66"/>
      <c r="O960" s="66"/>
      <c r="P960" s="66"/>
      <c r="Q960" s="72"/>
      <c r="R960" s="66"/>
      <c r="S960" s="66"/>
      <c r="T960" s="66"/>
      <c r="U960" s="66"/>
      <c r="V960" s="66"/>
    </row>
    <row r="961" spans="1:22" ht="95.25" customHeight="1" x14ac:dyDescent="0.7">
      <c r="A961" s="78"/>
      <c r="B961" s="93"/>
      <c r="C961" s="44" t="s">
        <v>2</v>
      </c>
      <c r="D961" s="17"/>
      <c r="E961" s="18"/>
      <c r="F961" s="18"/>
      <c r="G961" s="18"/>
      <c r="H961" s="18"/>
      <c r="I961" s="18"/>
      <c r="J961" s="66"/>
      <c r="K961" s="66"/>
      <c r="L961" s="66"/>
      <c r="M961" s="66"/>
      <c r="N961" s="66"/>
      <c r="O961" s="66"/>
      <c r="P961" s="66"/>
      <c r="Q961" s="72"/>
      <c r="R961" s="66"/>
      <c r="S961" s="66"/>
      <c r="T961" s="66"/>
      <c r="U961" s="66"/>
      <c r="V961" s="66"/>
    </row>
    <row r="962" spans="1:22" ht="91.5" x14ac:dyDescent="0.7">
      <c r="A962" s="79"/>
      <c r="B962" s="94"/>
      <c r="C962" s="44" t="s">
        <v>3</v>
      </c>
      <c r="D962" s="17"/>
      <c r="E962" s="18"/>
      <c r="F962" s="18"/>
      <c r="G962" s="18"/>
      <c r="H962" s="18"/>
      <c r="I962" s="18"/>
      <c r="J962" s="67"/>
      <c r="K962" s="67"/>
      <c r="L962" s="67"/>
      <c r="M962" s="67"/>
      <c r="N962" s="67"/>
      <c r="O962" s="67"/>
      <c r="P962" s="67"/>
      <c r="Q962" s="73"/>
      <c r="R962" s="67"/>
      <c r="S962" s="67"/>
      <c r="T962" s="67"/>
      <c r="U962" s="67"/>
      <c r="V962" s="67"/>
    </row>
    <row r="963" spans="1:22" ht="70.5" customHeight="1" x14ac:dyDescent="0.7">
      <c r="A963" s="115" t="s">
        <v>80</v>
      </c>
      <c r="B963" s="118" t="s">
        <v>308</v>
      </c>
      <c r="C963" s="119"/>
      <c r="D963" s="119"/>
      <c r="E963" s="119"/>
      <c r="F963" s="119"/>
      <c r="G963" s="119"/>
      <c r="H963" s="119"/>
      <c r="I963" s="119"/>
      <c r="J963" s="119"/>
      <c r="K963" s="119"/>
      <c r="L963" s="119"/>
      <c r="M963" s="119"/>
      <c r="N963" s="119"/>
      <c r="O963" s="119"/>
      <c r="P963" s="119"/>
      <c r="Q963" s="119"/>
      <c r="R963" s="119"/>
      <c r="S963" s="119"/>
      <c r="T963" s="119"/>
      <c r="U963" s="119"/>
      <c r="V963" s="120"/>
    </row>
    <row r="964" spans="1:22" ht="57" customHeight="1" x14ac:dyDescent="0.7">
      <c r="A964" s="116"/>
      <c r="B964" s="113" t="s">
        <v>5</v>
      </c>
      <c r="C964" s="114"/>
      <c r="D964" s="16">
        <f>SUM(D965:D968)</f>
        <v>106779.56621575757</v>
      </c>
      <c r="E964" s="16">
        <f>E972+E980+E988+E996</f>
        <v>106779.56621575757</v>
      </c>
      <c r="F964" s="16"/>
      <c r="G964" s="16"/>
      <c r="H964" s="16"/>
      <c r="I964" s="16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</row>
    <row r="965" spans="1:22" ht="58.5" customHeight="1" x14ac:dyDescent="0.7">
      <c r="A965" s="116"/>
      <c r="B965" s="113" t="s">
        <v>0</v>
      </c>
      <c r="C965" s="114"/>
      <c r="D965" s="16"/>
      <c r="E965" s="16"/>
      <c r="F965" s="16"/>
      <c r="G965" s="16"/>
      <c r="H965" s="16"/>
      <c r="I965" s="16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</row>
    <row r="966" spans="1:22" x14ac:dyDescent="0.7">
      <c r="A966" s="116"/>
      <c r="B966" s="113" t="s">
        <v>1</v>
      </c>
      <c r="C966" s="114"/>
      <c r="D966" s="16">
        <f>SUM(E966:I966)</f>
        <v>94881.509120000002</v>
      </c>
      <c r="E966" s="16">
        <f>E974+E982+E990+E998</f>
        <v>94881.509120000002</v>
      </c>
      <c r="F966" s="16"/>
      <c r="G966" s="16"/>
      <c r="H966" s="16"/>
      <c r="I966" s="16"/>
      <c r="J966" s="57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</row>
    <row r="967" spans="1:22" x14ac:dyDescent="0.7">
      <c r="A967" s="116"/>
      <c r="B967" s="113" t="s">
        <v>2</v>
      </c>
      <c r="C967" s="114"/>
      <c r="D967" s="16">
        <f>SUM(E967:I967)</f>
        <v>11898.057095757575</v>
      </c>
      <c r="E967" s="16">
        <f>E975+E983+E991+E999</f>
        <v>11898.057095757575</v>
      </c>
      <c r="F967" s="16"/>
      <c r="G967" s="16"/>
      <c r="H967" s="16"/>
      <c r="I967" s="16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</row>
    <row r="968" spans="1:22" ht="95.25" customHeight="1" x14ac:dyDescent="0.7">
      <c r="A968" s="117"/>
      <c r="B968" s="113" t="s">
        <v>3</v>
      </c>
      <c r="C968" s="114"/>
      <c r="D968" s="16"/>
      <c r="E968" s="16"/>
      <c r="F968" s="16"/>
      <c r="G968" s="16"/>
      <c r="H968" s="16"/>
      <c r="I968" s="16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</row>
    <row r="969" spans="1:22" x14ac:dyDescent="0.7">
      <c r="A969" s="74" t="s">
        <v>23</v>
      </c>
      <c r="B969" s="75"/>
      <c r="C969" s="75"/>
      <c r="D969" s="75"/>
      <c r="E969" s="75"/>
      <c r="F969" s="75"/>
      <c r="G969" s="75"/>
      <c r="H969" s="75"/>
      <c r="I969" s="75"/>
      <c r="J969" s="75"/>
      <c r="K969" s="75"/>
      <c r="L969" s="75"/>
      <c r="M969" s="75"/>
      <c r="N969" s="75"/>
      <c r="O969" s="75"/>
      <c r="P969" s="75"/>
      <c r="Q969" s="75"/>
      <c r="R969" s="75"/>
      <c r="S969" s="75"/>
      <c r="T969" s="75"/>
      <c r="U969" s="75"/>
      <c r="V969" s="76"/>
    </row>
    <row r="970" spans="1:22" x14ac:dyDescent="0.7">
      <c r="A970" s="77"/>
      <c r="B970" s="80" t="s">
        <v>309</v>
      </c>
      <c r="C970" s="81"/>
      <c r="D970" s="81"/>
      <c r="E970" s="81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2"/>
    </row>
    <row r="971" spans="1:22" x14ac:dyDescent="0.7">
      <c r="A971" s="78"/>
      <c r="B971" s="83" t="s">
        <v>81</v>
      </c>
      <c r="C971" s="95" t="s">
        <v>153</v>
      </c>
      <c r="D971" s="96"/>
      <c r="E971" s="96"/>
      <c r="F971" s="96"/>
      <c r="G971" s="96"/>
      <c r="H971" s="97"/>
      <c r="I971" s="29"/>
      <c r="J971" s="65" t="s">
        <v>310</v>
      </c>
      <c r="K971" s="68"/>
      <c r="L971" s="68" t="s">
        <v>89</v>
      </c>
      <c r="M971" s="68" t="s">
        <v>154</v>
      </c>
      <c r="N971" s="68" t="s">
        <v>112</v>
      </c>
      <c r="O971" s="68" t="s">
        <v>112</v>
      </c>
      <c r="P971" s="68" t="s">
        <v>112</v>
      </c>
      <c r="Q971" s="71" t="s">
        <v>311</v>
      </c>
      <c r="R971" s="68" t="s">
        <v>9</v>
      </c>
      <c r="S971" s="68" t="s">
        <v>13</v>
      </c>
      <c r="T971" s="65" t="s">
        <v>7</v>
      </c>
      <c r="U971" s="68"/>
      <c r="V971" s="68" t="s">
        <v>312</v>
      </c>
    </row>
    <row r="972" spans="1:22" x14ac:dyDescent="0.7">
      <c r="A972" s="78"/>
      <c r="B972" s="84"/>
      <c r="C972" s="32" t="s">
        <v>5</v>
      </c>
      <c r="D972" s="19">
        <f t="shared" ref="D972" si="95">SUM(D973:D976)</f>
        <v>79728.779982424239</v>
      </c>
      <c r="E972" s="13">
        <f>SUM(E973:E975)</f>
        <v>79728.779982424239</v>
      </c>
      <c r="F972" s="13"/>
      <c r="G972" s="13"/>
      <c r="H972" s="13"/>
      <c r="I972" s="13"/>
      <c r="J972" s="66"/>
      <c r="K972" s="69"/>
      <c r="L972" s="69"/>
      <c r="M972" s="69"/>
      <c r="N972" s="69"/>
      <c r="O972" s="69"/>
      <c r="P972" s="69"/>
      <c r="Q972" s="72"/>
      <c r="R972" s="69"/>
      <c r="S972" s="69"/>
      <c r="T972" s="66"/>
      <c r="U972" s="69"/>
      <c r="V972" s="69"/>
    </row>
    <row r="973" spans="1:22" ht="91.5" x14ac:dyDescent="0.7">
      <c r="A973" s="78"/>
      <c r="B973" s="84"/>
      <c r="C973" s="32" t="s">
        <v>0</v>
      </c>
      <c r="D973" s="19"/>
      <c r="E973" s="13"/>
      <c r="F973" s="13"/>
      <c r="G973" s="13"/>
      <c r="H973" s="13"/>
      <c r="I973" s="13"/>
      <c r="J973" s="66"/>
      <c r="K973" s="69"/>
      <c r="L973" s="69"/>
      <c r="M973" s="69"/>
      <c r="N973" s="69"/>
      <c r="O973" s="69"/>
      <c r="P973" s="69"/>
      <c r="Q973" s="72"/>
      <c r="R973" s="69"/>
      <c r="S973" s="69"/>
      <c r="T973" s="66"/>
      <c r="U973" s="69"/>
      <c r="V973" s="69"/>
    </row>
    <row r="974" spans="1:22" ht="91.5" x14ac:dyDescent="0.7">
      <c r="A974" s="78"/>
      <c r="B974" s="84"/>
      <c r="C974" s="32" t="s">
        <v>1</v>
      </c>
      <c r="D974" s="19">
        <f>SUM(E974:H974)</f>
        <v>69918.255739999993</v>
      </c>
      <c r="E974" s="18">
        <f>87411.771-13350.36789-4143.14737</f>
        <v>69918.255739999993</v>
      </c>
      <c r="F974" s="13"/>
      <c r="G974" s="13"/>
      <c r="H974" s="13"/>
      <c r="I974" s="13"/>
      <c r="J974" s="66"/>
      <c r="K974" s="69"/>
      <c r="L974" s="69"/>
      <c r="M974" s="69"/>
      <c r="N974" s="69"/>
      <c r="O974" s="69"/>
      <c r="P974" s="69"/>
      <c r="Q974" s="72"/>
      <c r="R974" s="69"/>
      <c r="S974" s="69"/>
      <c r="T974" s="66"/>
      <c r="U974" s="69"/>
      <c r="V974" s="69"/>
    </row>
    <row r="975" spans="1:22" ht="102.75" customHeight="1" x14ac:dyDescent="0.7">
      <c r="A975" s="78"/>
      <c r="B975" s="84"/>
      <c r="C975" s="32" t="s">
        <v>2</v>
      </c>
      <c r="D975" s="19">
        <f>SUM(E975:H975)</f>
        <v>9810.5242424242424</v>
      </c>
      <c r="E975" s="18">
        <v>9810.5242424242424</v>
      </c>
      <c r="F975" s="13"/>
      <c r="G975" s="13"/>
      <c r="H975" s="13"/>
      <c r="I975" s="13"/>
      <c r="J975" s="66"/>
      <c r="K975" s="69"/>
      <c r="L975" s="69"/>
      <c r="M975" s="69"/>
      <c r="N975" s="69"/>
      <c r="O975" s="69"/>
      <c r="P975" s="69"/>
      <c r="Q975" s="72"/>
      <c r="R975" s="69"/>
      <c r="S975" s="69"/>
      <c r="T975" s="66"/>
      <c r="U975" s="69"/>
      <c r="V975" s="69"/>
    </row>
    <row r="976" spans="1:22" ht="91.5" x14ac:dyDescent="0.7">
      <c r="A976" s="79"/>
      <c r="B976" s="85"/>
      <c r="C976" s="32" t="s">
        <v>3</v>
      </c>
      <c r="D976" s="19"/>
      <c r="E976" s="13"/>
      <c r="F976" s="13"/>
      <c r="G976" s="13"/>
      <c r="H976" s="13"/>
      <c r="I976" s="13"/>
      <c r="J976" s="67"/>
      <c r="K976" s="70"/>
      <c r="L976" s="70"/>
      <c r="M976" s="70"/>
      <c r="N976" s="70"/>
      <c r="O976" s="70"/>
      <c r="P976" s="70"/>
      <c r="Q976" s="73"/>
      <c r="R976" s="70"/>
      <c r="S976" s="70"/>
      <c r="T976" s="67"/>
      <c r="U976" s="70"/>
      <c r="V976" s="70"/>
    </row>
    <row r="977" spans="1:22" x14ac:dyDescent="0.7">
      <c r="A977" s="74" t="s">
        <v>23</v>
      </c>
      <c r="B977" s="75"/>
      <c r="C977" s="75"/>
      <c r="D977" s="75"/>
      <c r="E977" s="75"/>
      <c r="F977" s="75"/>
      <c r="G977" s="75"/>
      <c r="H977" s="75"/>
      <c r="I977" s="75"/>
      <c r="J977" s="75"/>
      <c r="K977" s="75"/>
      <c r="L977" s="75"/>
      <c r="M977" s="75"/>
      <c r="N977" s="75"/>
      <c r="O977" s="75"/>
      <c r="P977" s="75"/>
      <c r="Q977" s="75"/>
      <c r="R977" s="75"/>
      <c r="S977" s="75"/>
      <c r="T977" s="75"/>
      <c r="U977" s="75"/>
      <c r="V977" s="76"/>
    </row>
    <row r="978" spans="1:22" x14ac:dyDescent="0.7">
      <c r="A978" s="77"/>
      <c r="B978" s="80" t="s">
        <v>309</v>
      </c>
      <c r="C978" s="81"/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2"/>
    </row>
    <row r="979" spans="1:22" x14ac:dyDescent="0.7">
      <c r="A979" s="78"/>
      <c r="B979" s="83" t="s">
        <v>152</v>
      </c>
      <c r="C979" s="95" t="s">
        <v>439</v>
      </c>
      <c r="D979" s="96"/>
      <c r="E979" s="96"/>
      <c r="F979" s="96"/>
      <c r="G979" s="96"/>
      <c r="H979" s="97"/>
      <c r="I979" s="29"/>
      <c r="J979" s="65" t="s">
        <v>73</v>
      </c>
      <c r="K979" s="68"/>
      <c r="L979" s="68" t="s">
        <v>89</v>
      </c>
      <c r="M979" s="68" t="s">
        <v>440</v>
      </c>
      <c r="N979" s="68" t="s">
        <v>441</v>
      </c>
      <c r="O979" s="68" t="s">
        <v>441</v>
      </c>
      <c r="P979" s="68" t="s">
        <v>441</v>
      </c>
      <c r="Q979" s="71" t="s">
        <v>442</v>
      </c>
      <c r="R979" s="68" t="s">
        <v>9</v>
      </c>
      <c r="S979" s="68" t="s">
        <v>443</v>
      </c>
      <c r="T979" s="65" t="s">
        <v>7</v>
      </c>
      <c r="U979" s="68"/>
      <c r="V979" s="68" t="s">
        <v>444</v>
      </c>
    </row>
    <row r="980" spans="1:22" x14ac:dyDescent="0.7">
      <c r="A980" s="78"/>
      <c r="B980" s="84"/>
      <c r="C980" s="32" t="s">
        <v>5</v>
      </c>
      <c r="D980" s="19">
        <f t="shared" ref="D980" si="96">SUM(D981:D984)</f>
        <v>18776.64433333333</v>
      </c>
      <c r="E980" s="13">
        <f>SUM(E981:E984)</f>
        <v>18776.64433333333</v>
      </c>
      <c r="F980" s="13"/>
      <c r="G980" s="13"/>
      <c r="H980" s="13"/>
      <c r="I980" s="13"/>
      <c r="J980" s="66"/>
      <c r="K980" s="69"/>
      <c r="L980" s="69"/>
      <c r="M980" s="69"/>
      <c r="N980" s="69"/>
      <c r="O980" s="69"/>
      <c r="P980" s="69"/>
      <c r="Q980" s="72"/>
      <c r="R980" s="69"/>
      <c r="S980" s="69"/>
      <c r="T980" s="66"/>
      <c r="U980" s="69"/>
      <c r="V980" s="69"/>
    </row>
    <row r="981" spans="1:22" ht="91.5" x14ac:dyDescent="0.7">
      <c r="A981" s="78"/>
      <c r="B981" s="84"/>
      <c r="C981" s="32" t="s">
        <v>0</v>
      </c>
      <c r="D981" s="19"/>
      <c r="E981" s="13"/>
      <c r="F981" s="13"/>
      <c r="G981" s="13"/>
      <c r="H981" s="13"/>
      <c r="I981" s="13"/>
      <c r="J981" s="66"/>
      <c r="K981" s="69"/>
      <c r="L981" s="69"/>
      <c r="M981" s="69"/>
      <c r="N981" s="69"/>
      <c r="O981" s="69"/>
      <c r="P981" s="69"/>
      <c r="Q981" s="72"/>
      <c r="R981" s="69"/>
      <c r="S981" s="69"/>
      <c r="T981" s="66"/>
      <c r="U981" s="69"/>
      <c r="V981" s="69"/>
    </row>
    <row r="982" spans="1:22" ht="91.5" x14ac:dyDescent="0.7">
      <c r="A982" s="78"/>
      <c r="B982" s="84"/>
      <c r="C982" s="32" t="s">
        <v>1</v>
      </c>
      <c r="D982" s="19">
        <f>SUM(E982:H982)</f>
        <v>16898.979899999998</v>
      </c>
      <c r="E982" s="18">
        <f>13350.36789+3548.61201</f>
        <v>16898.979899999998</v>
      </c>
      <c r="F982" s="13"/>
      <c r="G982" s="13"/>
      <c r="H982" s="13"/>
      <c r="I982" s="13"/>
      <c r="J982" s="66"/>
      <c r="K982" s="69"/>
      <c r="L982" s="69"/>
      <c r="M982" s="69"/>
      <c r="N982" s="69"/>
      <c r="O982" s="69"/>
      <c r="P982" s="69"/>
      <c r="Q982" s="72"/>
      <c r="R982" s="69"/>
      <c r="S982" s="69"/>
      <c r="T982" s="66"/>
      <c r="U982" s="69"/>
      <c r="V982" s="69"/>
    </row>
    <row r="983" spans="1:22" ht="91.5" x14ac:dyDescent="0.7">
      <c r="A983" s="78"/>
      <c r="B983" s="84"/>
      <c r="C983" s="32" t="s">
        <v>2</v>
      </c>
      <c r="D983" s="19">
        <f>SUM(E983:H983)</f>
        <v>1877.6644333333315</v>
      </c>
      <c r="E983" s="13">
        <v>1877.6644333333315</v>
      </c>
      <c r="F983" s="13"/>
      <c r="G983" s="13"/>
      <c r="H983" s="13"/>
      <c r="I983" s="13"/>
      <c r="J983" s="66"/>
      <c r="K983" s="69"/>
      <c r="L983" s="69"/>
      <c r="M983" s="69"/>
      <c r="N983" s="69"/>
      <c r="O983" s="69"/>
      <c r="P983" s="69"/>
      <c r="Q983" s="72"/>
      <c r="R983" s="69"/>
      <c r="S983" s="69"/>
      <c r="T983" s="66"/>
      <c r="U983" s="69"/>
      <c r="V983" s="69"/>
    </row>
    <row r="984" spans="1:22" ht="91.5" x14ac:dyDescent="0.7">
      <c r="A984" s="79"/>
      <c r="B984" s="85"/>
      <c r="C984" s="32" t="s">
        <v>3</v>
      </c>
      <c r="D984" s="19"/>
      <c r="E984" s="13"/>
      <c r="F984" s="13"/>
      <c r="G984" s="13"/>
      <c r="H984" s="13"/>
      <c r="I984" s="13"/>
      <c r="J984" s="67"/>
      <c r="K984" s="70"/>
      <c r="L984" s="70"/>
      <c r="M984" s="70"/>
      <c r="N984" s="70"/>
      <c r="O984" s="70"/>
      <c r="P984" s="70"/>
      <c r="Q984" s="73"/>
      <c r="R984" s="70"/>
      <c r="S984" s="70"/>
      <c r="T984" s="67"/>
      <c r="U984" s="70"/>
      <c r="V984" s="70"/>
    </row>
    <row r="985" spans="1:22" x14ac:dyDescent="0.7">
      <c r="A985" s="74" t="s">
        <v>23</v>
      </c>
      <c r="B985" s="75"/>
      <c r="C985" s="75"/>
      <c r="D985" s="75"/>
      <c r="E985" s="75"/>
      <c r="F985" s="75"/>
      <c r="G985" s="75"/>
      <c r="H985" s="75"/>
      <c r="I985" s="75"/>
      <c r="J985" s="75"/>
      <c r="K985" s="75"/>
      <c r="L985" s="75"/>
      <c r="M985" s="75"/>
      <c r="N985" s="75"/>
      <c r="O985" s="75"/>
      <c r="P985" s="75"/>
      <c r="Q985" s="75"/>
      <c r="R985" s="75"/>
      <c r="S985" s="75"/>
      <c r="T985" s="75"/>
      <c r="U985" s="75"/>
      <c r="V985" s="76"/>
    </row>
    <row r="986" spans="1:22" x14ac:dyDescent="0.7">
      <c r="A986" s="77"/>
      <c r="B986" s="80" t="s">
        <v>309</v>
      </c>
      <c r="C986" s="81"/>
      <c r="D986" s="81"/>
      <c r="E986" s="81"/>
      <c r="F986" s="81"/>
      <c r="G986" s="81"/>
      <c r="H986" s="81"/>
      <c r="I986" s="81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2"/>
    </row>
    <row r="987" spans="1:22" ht="110.25" customHeight="1" x14ac:dyDescent="0.7">
      <c r="A987" s="78"/>
      <c r="B987" s="83" t="s">
        <v>430</v>
      </c>
      <c r="C987" s="95" t="s">
        <v>678</v>
      </c>
      <c r="D987" s="96"/>
      <c r="E987" s="96"/>
      <c r="F987" s="96"/>
      <c r="G987" s="96"/>
      <c r="H987" s="97"/>
      <c r="I987" s="29"/>
      <c r="J987" s="65"/>
      <c r="K987" s="68" t="s">
        <v>73</v>
      </c>
      <c r="L987" s="68" t="s">
        <v>89</v>
      </c>
      <c r="M987" s="68"/>
      <c r="N987" s="68" t="s">
        <v>679</v>
      </c>
      <c r="O987" s="68" t="s">
        <v>679</v>
      </c>
      <c r="P987" s="68" t="s">
        <v>679</v>
      </c>
      <c r="Q987" s="71" t="s">
        <v>680</v>
      </c>
      <c r="R987" s="68" t="s">
        <v>9</v>
      </c>
      <c r="S987" s="68" t="s">
        <v>681</v>
      </c>
      <c r="T987" s="65" t="s">
        <v>118</v>
      </c>
      <c r="U987" s="68"/>
      <c r="V987" s="68"/>
    </row>
    <row r="988" spans="1:22" x14ac:dyDescent="0.7">
      <c r="A988" s="78"/>
      <c r="B988" s="84"/>
      <c r="C988" s="32" t="s">
        <v>5</v>
      </c>
      <c r="D988" s="19">
        <f t="shared" ref="D988" si="97">SUM(D989:D992)</f>
        <v>4197.3684199999998</v>
      </c>
      <c r="E988" s="13">
        <f>SUM(E989:E991)</f>
        <v>4197.3684199999998</v>
      </c>
      <c r="F988" s="13"/>
      <c r="G988" s="13"/>
      <c r="H988" s="13"/>
      <c r="I988" s="13"/>
      <c r="J988" s="66"/>
      <c r="K988" s="69"/>
      <c r="L988" s="69"/>
      <c r="M988" s="69"/>
      <c r="N988" s="69"/>
      <c r="O988" s="69"/>
      <c r="P988" s="69"/>
      <c r="Q988" s="72"/>
      <c r="R988" s="69"/>
      <c r="S988" s="69"/>
      <c r="T988" s="66"/>
      <c r="U988" s="69"/>
      <c r="V988" s="69"/>
    </row>
    <row r="989" spans="1:22" ht="91.5" x14ac:dyDescent="0.7">
      <c r="A989" s="78"/>
      <c r="B989" s="84"/>
      <c r="C989" s="32" t="s">
        <v>0</v>
      </c>
      <c r="D989" s="19"/>
      <c r="E989" s="13"/>
      <c r="F989" s="13"/>
      <c r="G989" s="13"/>
      <c r="H989" s="13"/>
      <c r="I989" s="13"/>
      <c r="J989" s="66"/>
      <c r="K989" s="69"/>
      <c r="L989" s="69"/>
      <c r="M989" s="69"/>
      <c r="N989" s="69"/>
      <c r="O989" s="69"/>
      <c r="P989" s="69"/>
      <c r="Q989" s="72"/>
      <c r="R989" s="69"/>
      <c r="S989" s="69"/>
      <c r="T989" s="66"/>
      <c r="U989" s="69"/>
      <c r="V989" s="69"/>
    </row>
    <row r="990" spans="1:22" ht="91.5" x14ac:dyDescent="0.7">
      <c r="A990" s="78"/>
      <c r="B990" s="84"/>
      <c r="C990" s="32" t="s">
        <v>1</v>
      </c>
      <c r="D990" s="19">
        <f>SUM(E990:H990)</f>
        <v>3987.5</v>
      </c>
      <c r="E990" s="18">
        <v>3987.5</v>
      </c>
      <c r="F990" s="13"/>
      <c r="G990" s="13"/>
      <c r="H990" s="13"/>
      <c r="I990" s="13"/>
      <c r="J990" s="66"/>
      <c r="K990" s="69"/>
      <c r="L990" s="69"/>
      <c r="M990" s="69"/>
      <c r="N990" s="69"/>
      <c r="O990" s="69"/>
      <c r="P990" s="69"/>
      <c r="Q990" s="72"/>
      <c r="R990" s="69"/>
      <c r="S990" s="69"/>
      <c r="T990" s="66"/>
      <c r="U990" s="69"/>
      <c r="V990" s="69"/>
    </row>
    <row r="991" spans="1:22" ht="91.5" customHeight="1" x14ac:dyDescent="0.7">
      <c r="A991" s="78"/>
      <c r="B991" s="84"/>
      <c r="C991" s="32" t="s">
        <v>2</v>
      </c>
      <c r="D991" s="19">
        <f>SUM(E991:H991)</f>
        <v>209.86841999999999</v>
      </c>
      <c r="E991" s="18">
        <v>209.86841999999999</v>
      </c>
      <c r="F991" s="39"/>
      <c r="G991" s="40"/>
      <c r="H991" s="13"/>
      <c r="I991" s="13"/>
      <c r="J991" s="66"/>
      <c r="K991" s="69"/>
      <c r="L991" s="69"/>
      <c r="M991" s="69"/>
      <c r="N991" s="69"/>
      <c r="O991" s="69"/>
      <c r="P991" s="69"/>
      <c r="Q991" s="72"/>
      <c r="R991" s="69"/>
      <c r="S991" s="69"/>
      <c r="T991" s="66"/>
      <c r="U991" s="69"/>
      <c r="V991" s="69"/>
    </row>
    <row r="992" spans="1:22" ht="91.5" x14ac:dyDescent="0.7">
      <c r="A992" s="79"/>
      <c r="B992" s="85"/>
      <c r="C992" s="32" t="s">
        <v>3</v>
      </c>
      <c r="D992" s="19"/>
      <c r="E992" s="13"/>
      <c r="F992" s="13"/>
      <c r="G992" s="13"/>
      <c r="H992" s="13"/>
      <c r="I992" s="13"/>
      <c r="J992" s="67"/>
      <c r="K992" s="70"/>
      <c r="L992" s="70"/>
      <c r="M992" s="70"/>
      <c r="N992" s="70"/>
      <c r="O992" s="70"/>
      <c r="P992" s="70"/>
      <c r="Q992" s="73"/>
      <c r="R992" s="70"/>
      <c r="S992" s="70"/>
      <c r="T992" s="67"/>
      <c r="U992" s="70"/>
      <c r="V992" s="70"/>
    </row>
    <row r="993" spans="1:22" ht="46.5" customHeight="1" x14ac:dyDescent="0.7">
      <c r="A993" s="74" t="s">
        <v>24</v>
      </c>
      <c r="B993" s="75"/>
      <c r="C993" s="75"/>
      <c r="D993" s="75"/>
      <c r="E993" s="75"/>
      <c r="F993" s="75"/>
      <c r="G993" s="75"/>
      <c r="H993" s="75"/>
      <c r="I993" s="75"/>
      <c r="J993" s="75"/>
      <c r="K993" s="75"/>
      <c r="L993" s="75"/>
      <c r="M993" s="75"/>
      <c r="N993" s="75"/>
      <c r="O993" s="75"/>
      <c r="P993" s="75"/>
      <c r="Q993" s="75"/>
      <c r="R993" s="75"/>
      <c r="S993" s="75"/>
      <c r="T993" s="75"/>
      <c r="U993" s="75"/>
      <c r="V993" s="76"/>
    </row>
    <row r="994" spans="1:22" ht="46.5" customHeight="1" x14ac:dyDescent="0.7">
      <c r="A994" s="77"/>
      <c r="B994" s="80" t="s">
        <v>313</v>
      </c>
      <c r="C994" s="81"/>
      <c r="D994" s="81"/>
      <c r="E994" s="81"/>
      <c r="F994" s="81"/>
      <c r="G994" s="81"/>
      <c r="H994" s="81"/>
      <c r="I994" s="81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2"/>
    </row>
    <row r="995" spans="1:22" ht="46.5" customHeight="1" x14ac:dyDescent="0.7">
      <c r="A995" s="78"/>
      <c r="B995" s="83" t="s">
        <v>677</v>
      </c>
      <c r="C995" s="86" t="s">
        <v>343</v>
      </c>
      <c r="D995" s="87"/>
      <c r="E995" s="87"/>
      <c r="F995" s="87"/>
      <c r="G995" s="87"/>
      <c r="H995" s="88"/>
      <c r="I995" s="29"/>
      <c r="J995" s="65" t="s">
        <v>155</v>
      </c>
      <c r="K995" s="68"/>
      <c r="L995" s="68" t="s">
        <v>87</v>
      </c>
      <c r="M995" s="68" t="s">
        <v>344</v>
      </c>
      <c r="N995" s="68" t="s">
        <v>24</v>
      </c>
      <c r="O995" s="68" t="s">
        <v>24</v>
      </c>
      <c r="P995" s="68" t="s">
        <v>24</v>
      </c>
      <c r="Q995" s="71" t="s">
        <v>345</v>
      </c>
      <c r="R995" s="68" t="s">
        <v>11</v>
      </c>
      <c r="S995" s="68" t="s">
        <v>10</v>
      </c>
      <c r="T995" s="65" t="s">
        <v>19</v>
      </c>
      <c r="U995" s="68"/>
      <c r="V995" s="68" t="s">
        <v>346</v>
      </c>
    </row>
    <row r="996" spans="1:22" x14ac:dyDescent="0.7">
      <c r="A996" s="78"/>
      <c r="B996" s="84"/>
      <c r="C996" s="32" t="s">
        <v>5</v>
      </c>
      <c r="D996" s="19">
        <f t="shared" ref="D996:E996" si="98">SUM(D997:D1000)</f>
        <v>4076.7734800000003</v>
      </c>
      <c r="E996" s="13">
        <f t="shared" si="98"/>
        <v>4076.7734800000003</v>
      </c>
      <c r="F996" s="13"/>
      <c r="G996" s="13"/>
      <c r="H996" s="13"/>
      <c r="I996" s="13"/>
      <c r="J996" s="66"/>
      <c r="K996" s="69"/>
      <c r="L996" s="69"/>
      <c r="M996" s="69"/>
      <c r="N996" s="69"/>
      <c r="O996" s="69"/>
      <c r="P996" s="69"/>
      <c r="Q996" s="72"/>
      <c r="R996" s="69"/>
      <c r="S996" s="69"/>
      <c r="T996" s="66"/>
      <c r="U996" s="69"/>
      <c r="V996" s="69"/>
    </row>
    <row r="997" spans="1:22" ht="91.5" x14ac:dyDescent="0.7">
      <c r="A997" s="78"/>
      <c r="B997" s="84"/>
      <c r="C997" s="32" t="s">
        <v>0</v>
      </c>
      <c r="D997" s="19"/>
      <c r="E997" s="13"/>
      <c r="F997" s="13"/>
      <c r="G997" s="13"/>
      <c r="H997" s="13"/>
      <c r="I997" s="13"/>
      <c r="J997" s="66"/>
      <c r="K997" s="69"/>
      <c r="L997" s="69"/>
      <c r="M997" s="69"/>
      <c r="N997" s="69"/>
      <c r="O997" s="69"/>
      <c r="P997" s="69"/>
      <c r="Q997" s="72"/>
      <c r="R997" s="69"/>
      <c r="S997" s="69"/>
      <c r="T997" s="66"/>
      <c r="U997" s="69"/>
      <c r="V997" s="69"/>
    </row>
    <row r="998" spans="1:22" ht="91.5" x14ac:dyDescent="0.7">
      <c r="A998" s="78"/>
      <c r="B998" s="84"/>
      <c r="C998" s="32" t="s">
        <v>1</v>
      </c>
      <c r="D998" s="19">
        <f>SUM(E998:H998)</f>
        <v>4076.7734800000003</v>
      </c>
      <c r="E998" s="13">
        <f>4407.84-331.06652</f>
        <v>4076.7734800000003</v>
      </c>
      <c r="F998" s="13"/>
      <c r="G998" s="13"/>
      <c r="H998" s="13"/>
      <c r="I998" s="13"/>
      <c r="J998" s="66"/>
      <c r="K998" s="69"/>
      <c r="L998" s="69"/>
      <c r="M998" s="69"/>
      <c r="N998" s="69"/>
      <c r="O998" s="69"/>
      <c r="P998" s="69"/>
      <c r="Q998" s="72"/>
      <c r="R998" s="69"/>
      <c r="S998" s="69"/>
      <c r="T998" s="66"/>
      <c r="U998" s="69"/>
      <c r="V998" s="69"/>
    </row>
    <row r="999" spans="1:22" ht="95.25" customHeight="1" x14ac:dyDescent="0.7">
      <c r="A999" s="78"/>
      <c r="B999" s="84"/>
      <c r="C999" s="32" t="s">
        <v>2</v>
      </c>
      <c r="D999" s="19"/>
      <c r="E999" s="13"/>
      <c r="F999" s="13"/>
      <c r="G999" s="13"/>
      <c r="H999" s="13"/>
      <c r="I999" s="13"/>
      <c r="J999" s="66"/>
      <c r="K999" s="69"/>
      <c r="L999" s="69"/>
      <c r="M999" s="69"/>
      <c r="N999" s="69"/>
      <c r="O999" s="69"/>
      <c r="P999" s="69"/>
      <c r="Q999" s="72"/>
      <c r="R999" s="69"/>
      <c r="S999" s="69"/>
      <c r="T999" s="66"/>
      <c r="U999" s="69"/>
      <c r="V999" s="69"/>
    </row>
    <row r="1000" spans="1:22" ht="91.5" x14ac:dyDescent="0.7">
      <c r="A1000" s="79"/>
      <c r="B1000" s="85"/>
      <c r="C1000" s="32" t="s">
        <v>3</v>
      </c>
      <c r="D1000" s="19"/>
      <c r="E1000" s="13"/>
      <c r="F1000" s="13"/>
      <c r="G1000" s="13"/>
      <c r="H1000" s="13"/>
      <c r="I1000" s="13"/>
      <c r="J1000" s="67"/>
      <c r="K1000" s="70"/>
      <c r="L1000" s="70"/>
      <c r="M1000" s="70"/>
      <c r="N1000" s="70"/>
      <c r="O1000" s="70"/>
      <c r="P1000" s="70"/>
      <c r="Q1000" s="73"/>
      <c r="R1000" s="70"/>
      <c r="S1000" s="70"/>
      <c r="T1000" s="67"/>
      <c r="U1000" s="70"/>
      <c r="V1000" s="70"/>
    </row>
    <row r="1001" spans="1:22" x14ac:dyDescent="0.7">
      <c r="A1001" s="115" t="s">
        <v>62</v>
      </c>
      <c r="B1001" s="118" t="s">
        <v>321</v>
      </c>
      <c r="C1001" s="119"/>
      <c r="D1001" s="119"/>
      <c r="E1001" s="119"/>
      <c r="F1001" s="119"/>
      <c r="G1001" s="119"/>
      <c r="H1001" s="119"/>
      <c r="I1001" s="119"/>
      <c r="J1001" s="119"/>
      <c r="K1001" s="119"/>
      <c r="L1001" s="119"/>
      <c r="M1001" s="119"/>
      <c r="N1001" s="119"/>
      <c r="O1001" s="119"/>
      <c r="P1001" s="119"/>
      <c r="Q1001" s="119"/>
      <c r="R1001" s="119"/>
      <c r="S1001" s="119"/>
      <c r="T1001" s="119"/>
      <c r="U1001" s="119"/>
      <c r="V1001" s="120"/>
    </row>
    <row r="1002" spans="1:22" x14ac:dyDescent="0.7">
      <c r="A1002" s="116"/>
      <c r="B1002" s="113" t="s">
        <v>5</v>
      </c>
      <c r="C1002" s="114"/>
      <c r="D1002" s="16">
        <f>SUM(D1003:D1007)</f>
        <v>243888.06116000004</v>
      </c>
      <c r="E1002" s="16">
        <f>E1011+E1019+E1028</f>
        <v>51450.630160000008</v>
      </c>
      <c r="F1002" s="16">
        <f>F1011+F1019+F1028</f>
        <v>192437.43100000001</v>
      </c>
      <c r="G1002" s="16"/>
      <c r="H1002" s="16"/>
      <c r="I1002" s="16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</row>
    <row r="1003" spans="1:22" x14ac:dyDescent="0.7">
      <c r="A1003" s="116"/>
      <c r="B1003" s="113" t="s">
        <v>0</v>
      </c>
      <c r="C1003" s="114"/>
      <c r="D1003" s="16"/>
      <c r="E1003" s="16"/>
      <c r="F1003" s="16"/>
      <c r="G1003" s="16"/>
      <c r="H1003" s="16"/>
      <c r="I1003" s="16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</row>
    <row r="1004" spans="1:22" x14ac:dyDescent="0.7">
      <c r="A1004" s="116"/>
      <c r="B1004" s="113" t="s">
        <v>1</v>
      </c>
      <c r="C1004" s="114"/>
      <c r="D1004" s="16">
        <f>SUM(E1004:I1004)</f>
        <v>194078.79682000002</v>
      </c>
      <c r="E1004" s="16">
        <f t="shared" ref="E1004:F1004" si="99">E1013+E1021+E1030</f>
        <v>1641.36582</v>
      </c>
      <c r="F1004" s="16">
        <f t="shared" si="99"/>
        <v>192437.43100000001</v>
      </c>
      <c r="G1004" s="16"/>
      <c r="H1004" s="16"/>
      <c r="I1004" s="16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</row>
    <row r="1005" spans="1:22" x14ac:dyDescent="0.7">
      <c r="A1005" s="116"/>
      <c r="B1005" s="113" t="s">
        <v>357</v>
      </c>
      <c r="C1005" s="114"/>
      <c r="D1005" s="16">
        <f>SUM(E1005:I1005)</f>
        <v>49809.264340000009</v>
      </c>
      <c r="E1005" s="16">
        <f>E1022</f>
        <v>49809.264340000009</v>
      </c>
      <c r="F1005" s="16"/>
      <c r="G1005" s="16"/>
      <c r="H1005" s="16"/>
      <c r="I1005" s="16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</row>
    <row r="1006" spans="1:22" x14ac:dyDescent="0.7">
      <c r="A1006" s="116"/>
      <c r="B1006" s="113" t="s">
        <v>2</v>
      </c>
      <c r="C1006" s="114"/>
      <c r="D1006" s="16"/>
      <c r="E1006" s="16"/>
      <c r="F1006" s="16"/>
      <c r="G1006" s="16"/>
      <c r="H1006" s="16"/>
      <c r="I1006" s="16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</row>
    <row r="1007" spans="1:22" ht="95.25" customHeight="1" x14ac:dyDescent="0.7">
      <c r="A1007" s="117"/>
      <c r="B1007" s="113" t="s">
        <v>3</v>
      </c>
      <c r="C1007" s="114"/>
      <c r="D1007" s="20"/>
      <c r="E1007" s="16"/>
      <c r="F1007" s="16"/>
      <c r="G1007" s="16"/>
      <c r="H1007" s="16"/>
      <c r="I1007" s="16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</row>
    <row r="1008" spans="1:22" x14ac:dyDescent="0.7">
      <c r="A1008" s="74" t="s">
        <v>16</v>
      </c>
      <c r="B1008" s="75"/>
      <c r="C1008" s="75"/>
      <c r="D1008" s="75"/>
      <c r="E1008" s="75"/>
      <c r="F1008" s="75"/>
      <c r="G1008" s="75"/>
      <c r="H1008" s="75"/>
      <c r="I1008" s="75"/>
      <c r="J1008" s="75"/>
      <c r="K1008" s="75"/>
      <c r="L1008" s="75"/>
      <c r="M1008" s="75"/>
      <c r="N1008" s="75"/>
      <c r="O1008" s="75"/>
      <c r="P1008" s="75"/>
      <c r="Q1008" s="75"/>
      <c r="R1008" s="75"/>
      <c r="S1008" s="75"/>
      <c r="T1008" s="75"/>
      <c r="U1008" s="75"/>
      <c r="V1008" s="76"/>
    </row>
    <row r="1009" spans="1:22" x14ac:dyDescent="0.7">
      <c r="A1009" s="77"/>
      <c r="B1009" s="89" t="s">
        <v>322</v>
      </c>
      <c r="C1009" s="90"/>
      <c r="D1009" s="90"/>
      <c r="E1009" s="90"/>
      <c r="F1009" s="90"/>
      <c r="G1009" s="90"/>
      <c r="H1009" s="90"/>
      <c r="I1009" s="90"/>
      <c r="J1009" s="90"/>
      <c r="K1009" s="90"/>
      <c r="L1009" s="90"/>
      <c r="M1009" s="90"/>
      <c r="N1009" s="90"/>
      <c r="O1009" s="90"/>
      <c r="P1009" s="90"/>
      <c r="Q1009" s="90"/>
      <c r="R1009" s="90"/>
      <c r="S1009" s="90"/>
      <c r="T1009" s="90"/>
      <c r="U1009" s="90"/>
      <c r="V1009" s="91"/>
    </row>
    <row r="1010" spans="1:22" ht="293.25" customHeight="1" x14ac:dyDescent="0.7">
      <c r="A1010" s="78"/>
      <c r="B1010" s="92" t="s">
        <v>63</v>
      </c>
      <c r="C1010" s="86" t="s">
        <v>314</v>
      </c>
      <c r="D1010" s="87"/>
      <c r="E1010" s="87"/>
      <c r="F1010" s="87"/>
      <c r="G1010" s="87"/>
      <c r="H1010" s="88"/>
      <c r="I1010" s="45"/>
      <c r="J1010" s="65" t="s">
        <v>316</v>
      </c>
      <c r="K1010" s="65"/>
      <c r="L1010" s="65" t="s">
        <v>87</v>
      </c>
      <c r="M1010" s="65"/>
      <c r="N1010" s="65" t="s">
        <v>159</v>
      </c>
      <c r="O1010" s="65"/>
      <c r="P1010" s="65" t="s">
        <v>159</v>
      </c>
      <c r="Q1010" s="71" t="s">
        <v>315</v>
      </c>
      <c r="R1010" s="65" t="s">
        <v>11</v>
      </c>
      <c r="S1010" s="65" t="s">
        <v>10</v>
      </c>
      <c r="T1010" s="65" t="s">
        <v>7</v>
      </c>
      <c r="U1010" s="65"/>
      <c r="V1010" s="65" t="s">
        <v>342</v>
      </c>
    </row>
    <row r="1011" spans="1:22" ht="282.75" customHeight="1" x14ac:dyDescent="0.7">
      <c r="A1011" s="78"/>
      <c r="B1011" s="93"/>
      <c r="C1011" s="44" t="s">
        <v>5</v>
      </c>
      <c r="D1011" s="17">
        <f t="shared" ref="D1011" si="100">SUM(D1012:D1015)</f>
        <v>192565.31398000001</v>
      </c>
      <c r="E1011" s="18">
        <f>SUM(E1012:E1015)</f>
        <v>127.88298</v>
      </c>
      <c r="F1011" s="18">
        <f>SUM(F1012:F1015)</f>
        <v>192437.43100000001</v>
      </c>
      <c r="G1011" s="18"/>
      <c r="H1011" s="18"/>
      <c r="I1011" s="18"/>
      <c r="J1011" s="66"/>
      <c r="K1011" s="66"/>
      <c r="L1011" s="66"/>
      <c r="M1011" s="66"/>
      <c r="N1011" s="66"/>
      <c r="O1011" s="66"/>
      <c r="P1011" s="66"/>
      <c r="Q1011" s="72"/>
      <c r="R1011" s="66"/>
      <c r="S1011" s="66"/>
      <c r="T1011" s="66"/>
      <c r="U1011" s="66"/>
      <c r="V1011" s="66"/>
    </row>
    <row r="1012" spans="1:22" ht="91.5" x14ac:dyDescent="0.7">
      <c r="A1012" s="78"/>
      <c r="B1012" s="93"/>
      <c r="C1012" s="44" t="s">
        <v>0</v>
      </c>
      <c r="D1012" s="17"/>
      <c r="E1012" s="18"/>
      <c r="F1012" s="18"/>
      <c r="G1012" s="18"/>
      <c r="H1012" s="18"/>
      <c r="I1012" s="18"/>
      <c r="J1012" s="66"/>
      <c r="K1012" s="66"/>
      <c r="L1012" s="66"/>
      <c r="M1012" s="66"/>
      <c r="N1012" s="66"/>
      <c r="O1012" s="66"/>
      <c r="P1012" s="66"/>
      <c r="Q1012" s="72"/>
      <c r="R1012" s="66"/>
      <c r="S1012" s="66"/>
      <c r="T1012" s="66"/>
      <c r="U1012" s="66"/>
      <c r="V1012" s="66"/>
    </row>
    <row r="1013" spans="1:22" ht="91.5" x14ac:dyDescent="0.7">
      <c r="A1013" s="78"/>
      <c r="B1013" s="93"/>
      <c r="C1013" s="44" t="s">
        <v>1</v>
      </c>
      <c r="D1013" s="17">
        <f>SUM(E1013:I1013)</f>
        <v>192565.31398000001</v>
      </c>
      <c r="E1013" s="18">
        <v>127.88298</v>
      </c>
      <c r="F1013" s="18">
        <v>192437.43100000001</v>
      </c>
      <c r="G1013" s="18"/>
      <c r="H1013" s="18"/>
      <c r="I1013" s="18"/>
      <c r="J1013" s="66"/>
      <c r="K1013" s="66"/>
      <c r="L1013" s="66"/>
      <c r="M1013" s="66"/>
      <c r="N1013" s="66"/>
      <c r="O1013" s="66"/>
      <c r="P1013" s="66"/>
      <c r="Q1013" s="72"/>
      <c r="R1013" s="66"/>
      <c r="S1013" s="66"/>
      <c r="T1013" s="66"/>
      <c r="U1013" s="66"/>
      <c r="V1013" s="66"/>
    </row>
    <row r="1014" spans="1:22" ht="91.5" customHeight="1" x14ac:dyDescent="0.7">
      <c r="A1014" s="78"/>
      <c r="B1014" s="93"/>
      <c r="C1014" s="44" t="s">
        <v>2</v>
      </c>
      <c r="D1014" s="17"/>
      <c r="E1014" s="18"/>
      <c r="F1014" s="18"/>
      <c r="G1014" s="18"/>
      <c r="H1014" s="18"/>
      <c r="I1014" s="18"/>
      <c r="J1014" s="66"/>
      <c r="K1014" s="66"/>
      <c r="L1014" s="66"/>
      <c r="M1014" s="66"/>
      <c r="N1014" s="66"/>
      <c r="O1014" s="66"/>
      <c r="P1014" s="66"/>
      <c r="Q1014" s="72"/>
      <c r="R1014" s="66"/>
      <c r="S1014" s="66"/>
      <c r="T1014" s="66"/>
      <c r="U1014" s="66"/>
      <c r="V1014" s="66"/>
    </row>
    <row r="1015" spans="1:22" ht="91.5" x14ac:dyDescent="0.7">
      <c r="A1015" s="79"/>
      <c r="B1015" s="94"/>
      <c r="C1015" s="44" t="s">
        <v>3</v>
      </c>
      <c r="D1015" s="17"/>
      <c r="E1015" s="18"/>
      <c r="F1015" s="18"/>
      <c r="G1015" s="18"/>
      <c r="H1015" s="18"/>
      <c r="I1015" s="18"/>
      <c r="J1015" s="67"/>
      <c r="K1015" s="67"/>
      <c r="L1015" s="67"/>
      <c r="M1015" s="67"/>
      <c r="N1015" s="67"/>
      <c r="O1015" s="67"/>
      <c r="P1015" s="67"/>
      <c r="Q1015" s="73"/>
      <c r="R1015" s="67"/>
      <c r="S1015" s="67"/>
      <c r="T1015" s="67"/>
      <c r="U1015" s="67"/>
      <c r="V1015" s="67"/>
    </row>
    <row r="1016" spans="1:22" x14ac:dyDescent="0.7">
      <c r="A1016" s="74" t="s">
        <v>142</v>
      </c>
      <c r="B1016" s="75"/>
      <c r="C1016" s="75"/>
      <c r="D1016" s="75"/>
      <c r="E1016" s="75"/>
      <c r="F1016" s="75"/>
      <c r="G1016" s="75"/>
      <c r="H1016" s="75"/>
      <c r="I1016" s="75"/>
      <c r="J1016" s="75"/>
      <c r="K1016" s="75"/>
      <c r="L1016" s="75"/>
      <c r="M1016" s="75"/>
      <c r="N1016" s="75"/>
      <c r="O1016" s="75"/>
      <c r="P1016" s="75"/>
      <c r="Q1016" s="75"/>
      <c r="R1016" s="75"/>
      <c r="S1016" s="75"/>
      <c r="T1016" s="75"/>
      <c r="U1016" s="75"/>
      <c r="V1016" s="76"/>
    </row>
    <row r="1017" spans="1:22" x14ac:dyDescent="0.7">
      <c r="A1017" s="77"/>
      <c r="B1017" s="89" t="s">
        <v>322</v>
      </c>
      <c r="C1017" s="90"/>
      <c r="D1017" s="90"/>
      <c r="E1017" s="90"/>
      <c r="F1017" s="90"/>
      <c r="G1017" s="90"/>
      <c r="H1017" s="90"/>
      <c r="I1017" s="90"/>
      <c r="J1017" s="90"/>
      <c r="K1017" s="90"/>
      <c r="L1017" s="90"/>
      <c r="M1017" s="90"/>
      <c r="N1017" s="90"/>
      <c r="O1017" s="90"/>
      <c r="P1017" s="90"/>
      <c r="Q1017" s="90"/>
      <c r="R1017" s="90"/>
      <c r="S1017" s="90"/>
      <c r="T1017" s="90"/>
      <c r="U1017" s="90"/>
      <c r="V1017" s="91"/>
    </row>
    <row r="1018" spans="1:22" ht="110.25" customHeight="1" x14ac:dyDescent="0.7">
      <c r="A1018" s="78"/>
      <c r="B1018" s="92" t="s">
        <v>363</v>
      </c>
      <c r="C1018" s="86" t="s">
        <v>362</v>
      </c>
      <c r="D1018" s="87"/>
      <c r="E1018" s="87"/>
      <c r="F1018" s="87"/>
      <c r="G1018" s="87"/>
      <c r="H1018" s="88"/>
      <c r="I1018" s="45"/>
      <c r="J1018" s="65" t="s">
        <v>360</v>
      </c>
      <c r="K1018" s="65"/>
      <c r="L1018" s="65" t="s">
        <v>356</v>
      </c>
      <c r="M1018" s="65" t="s">
        <v>68</v>
      </c>
      <c r="N1018" s="65" t="s">
        <v>92</v>
      </c>
      <c r="O1018" s="65"/>
      <c r="P1018" s="65" t="s">
        <v>92</v>
      </c>
      <c r="Q1018" s="71" t="s">
        <v>364</v>
      </c>
      <c r="R1018" s="65" t="s">
        <v>11</v>
      </c>
      <c r="S1018" s="65" t="s">
        <v>10</v>
      </c>
      <c r="T1018" s="65" t="s">
        <v>7</v>
      </c>
      <c r="U1018" s="127"/>
      <c r="V1018" s="65"/>
    </row>
    <row r="1019" spans="1:22" x14ac:dyDescent="0.7">
      <c r="A1019" s="78"/>
      <c r="B1019" s="93"/>
      <c r="C1019" s="44" t="s">
        <v>5</v>
      </c>
      <c r="D1019" s="17">
        <f>SUM(D1020:D1024)</f>
        <v>49809.264340000009</v>
      </c>
      <c r="E1019" s="18">
        <f>SUM(E1020:E1024)</f>
        <v>49809.264340000009</v>
      </c>
      <c r="F1019" s="18"/>
      <c r="G1019" s="18"/>
      <c r="H1019" s="18"/>
      <c r="I1019" s="18"/>
      <c r="J1019" s="66"/>
      <c r="K1019" s="66"/>
      <c r="L1019" s="66"/>
      <c r="M1019" s="66"/>
      <c r="N1019" s="66"/>
      <c r="O1019" s="66"/>
      <c r="P1019" s="66"/>
      <c r="Q1019" s="72"/>
      <c r="R1019" s="66"/>
      <c r="S1019" s="66"/>
      <c r="T1019" s="66"/>
      <c r="U1019" s="66"/>
      <c r="V1019" s="66"/>
    </row>
    <row r="1020" spans="1:22" ht="91.5" x14ac:dyDescent="0.7">
      <c r="A1020" s="78"/>
      <c r="B1020" s="93"/>
      <c r="C1020" s="44" t="s">
        <v>0</v>
      </c>
      <c r="D1020" s="17"/>
      <c r="E1020" s="18"/>
      <c r="F1020" s="18"/>
      <c r="G1020" s="18"/>
      <c r="H1020" s="18"/>
      <c r="I1020" s="18"/>
      <c r="J1020" s="66"/>
      <c r="K1020" s="66"/>
      <c r="L1020" s="66"/>
      <c r="M1020" s="66"/>
      <c r="N1020" s="66"/>
      <c r="O1020" s="66"/>
      <c r="P1020" s="66"/>
      <c r="Q1020" s="72"/>
      <c r="R1020" s="66"/>
      <c r="S1020" s="66"/>
      <c r="T1020" s="66"/>
      <c r="U1020" s="66"/>
      <c r="V1020" s="66"/>
    </row>
    <row r="1021" spans="1:22" ht="91.5" x14ac:dyDescent="0.7">
      <c r="A1021" s="78"/>
      <c r="B1021" s="93"/>
      <c r="C1021" s="44" t="s">
        <v>1</v>
      </c>
      <c r="D1021" s="17"/>
      <c r="E1021" s="18"/>
      <c r="F1021" s="18"/>
      <c r="G1021" s="18"/>
      <c r="H1021" s="18"/>
      <c r="I1021" s="18"/>
      <c r="J1021" s="66"/>
      <c r="K1021" s="66"/>
      <c r="L1021" s="66"/>
      <c r="M1021" s="66"/>
      <c r="N1021" s="66"/>
      <c r="O1021" s="66"/>
      <c r="P1021" s="66"/>
      <c r="Q1021" s="72"/>
      <c r="R1021" s="66"/>
      <c r="S1021" s="66"/>
      <c r="T1021" s="66"/>
      <c r="U1021" s="66"/>
      <c r="V1021" s="66"/>
    </row>
    <row r="1022" spans="1:22" ht="274.5" x14ac:dyDescent="0.7">
      <c r="A1022" s="78"/>
      <c r="B1022" s="93"/>
      <c r="C1022" s="44" t="s">
        <v>357</v>
      </c>
      <c r="D1022" s="17">
        <f>SUM(E1022:I1022)</f>
        <v>49809.264340000009</v>
      </c>
      <c r="E1022" s="18">
        <f>74922.92574-25113.6614</f>
        <v>49809.264340000009</v>
      </c>
      <c r="F1022" s="18"/>
      <c r="G1022" s="18"/>
      <c r="H1022" s="18"/>
      <c r="I1022" s="18"/>
      <c r="J1022" s="66"/>
      <c r="K1022" s="66"/>
      <c r="L1022" s="66"/>
      <c r="M1022" s="66"/>
      <c r="N1022" s="66"/>
      <c r="O1022" s="66"/>
      <c r="P1022" s="66"/>
      <c r="Q1022" s="72"/>
      <c r="R1022" s="66"/>
      <c r="S1022" s="66"/>
      <c r="T1022" s="66"/>
      <c r="U1022" s="66"/>
      <c r="V1022" s="66"/>
    </row>
    <row r="1023" spans="1:22" ht="95.25" customHeight="1" x14ac:dyDescent="0.7">
      <c r="A1023" s="78"/>
      <c r="B1023" s="93"/>
      <c r="C1023" s="44" t="s">
        <v>2</v>
      </c>
      <c r="D1023" s="17"/>
      <c r="E1023" s="18"/>
      <c r="F1023" s="18"/>
      <c r="G1023" s="18"/>
      <c r="H1023" s="18"/>
      <c r="I1023" s="18"/>
      <c r="J1023" s="66"/>
      <c r="K1023" s="66"/>
      <c r="L1023" s="66"/>
      <c r="M1023" s="66"/>
      <c r="N1023" s="66"/>
      <c r="O1023" s="66"/>
      <c r="P1023" s="66"/>
      <c r="Q1023" s="72"/>
      <c r="R1023" s="66"/>
      <c r="S1023" s="66"/>
      <c r="T1023" s="66"/>
      <c r="U1023" s="66"/>
      <c r="V1023" s="66"/>
    </row>
    <row r="1024" spans="1:22" ht="91.5" x14ac:dyDescent="0.7">
      <c r="A1024" s="79"/>
      <c r="B1024" s="94"/>
      <c r="C1024" s="44" t="s">
        <v>3</v>
      </c>
      <c r="D1024" s="17"/>
      <c r="E1024" s="18"/>
      <c r="F1024" s="18"/>
      <c r="G1024" s="18"/>
      <c r="H1024" s="18"/>
      <c r="I1024" s="18"/>
      <c r="J1024" s="67"/>
      <c r="K1024" s="67"/>
      <c r="L1024" s="67"/>
      <c r="M1024" s="67"/>
      <c r="N1024" s="67"/>
      <c r="O1024" s="67"/>
      <c r="P1024" s="67"/>
      <c r="Q1024" s="73"/>
      <c r="R1024" s="67"/>
      <c r="S1024" s="67"/>
      <c r="T1024" s="67"/>
      <c r="U1024" s="67"/>
      <c r="V1024" s="67"/>
    </row>
    <row r="1025" spans="1:22" x14ac:dyDescent="0.7">
      <c r="A1025" s="74" t="s">
        <v>90</v>
      </c>
      <c r="B1025" s="75"/>
      <c r="C1025" s="75"/>
      <c r="D1025" s="75"/>
      <c r="E1025" s="75"/>
      <c r="F1025" s="75"/>
      <c r="G1025" s="75"/>
      <c r="H1025" s="75"/>
      <c r="I1025" s="75"/>
      <c r="J1025" s="75"/>
      <c r="K1025" s="75"/>
      <c r="L1025" s="75"/>
      <c r="M1025" s="75"/>
      <c r="N1025" s="75"/>
      <c r="O1025" s="75"/>
      <c r="P1025" s="75"/>
      <c r="Q1025" s="75"/>
      <c r="R1025" s="75"/>
      <c r="S1025" s="75"/>
      <c r="T1025" s="75"/>
      <c r="U1025" s="75"/>
      <c r="V1025" s="76"/>
    </row>
    <row r="1026" spans="1:22" x14ac:dyDescent="0.7">
      <c r="A1026" s="77"/>
      <c r="B1026" s="89" t="s">
        <v>322</v>
      </c>
      <c r="C1026" s="90"/>
      <c r="D1026" s="90"/>
      <c r="E1026" s="90"/>
      <c r="F1026" s="90"/>
      <c r="G1026" s="90"/>
      <c r="H1026" s="90"/>
      <c r="I1026" s="90"/>
      <c r="J1026" s="90"/>
      <c r="K1026" s="90"/>
      <c r="L1026" s="90"/>
      <c r="M1026" s="90"/>
      <c r="N1026" s="90"/>
      <c r="O1026" s="90"/>
      <c r="P1026" s="90"/>
      <c r="Q1026" s="90"/>
      <c r="R1026" s="90"/>
      <c r="S1026" s="90"/>
      <c r="T1026" s="90"/>
      <c r="U1026" s="90"/>
      <c r="V1026" s="91"/>
    </row>
    <row r="1027" spans="1:22" ht="162.75" customHeight="1" x14ac:dyDescent="0.7">
      <c r="A1027" s="78"/>
      <c r="B1027" s="83" t="s">
        <v>429</v>
      </c>
      <c r="C1027" s="95" t="s">
        <v>427</v>
      </c>
      <c r="D1027" s="96"/>
      <c r="E1027" s="96"/>
      <c r="F1027" s="96"/>
      <c r="G1027" s="96"/>
      <c r="H1027" s="97"/>
      <c r="I1027" s="29"/>
      <c r="J1027" s="68" t="s">
        <v>73</v>
      </c>
      <c r="K1027" s="68"/>
      <c r="L1027" s="68" t="s">
        <v>86</v>
      </c>
      <c r="M1027" s="68"/>
      <c r="N1027" s="68" t="s">
        <v>90</v>
      </c>
      <c r="O1027" s="68" t="s">
        <v>90</v>
      </c>
      <c r="P1027" s="68"/>
      <c r="Q1027" s="71"/>
      <c r="R1027" s="68" t="s">
        <v>11</v>
      </c>
      <c r="S1027" s="68" t="s">
        <v>428</v>
      </c>
      <c r="T1027" s="65" t="s">
        <v>177</v>
      </c>
      <c r="U1027" s="68"/>
      <c r="V1027" s="68"/>
    </row>
    <row r="1028" spans="1:22" x14ac:dyDescent="0.7">
      <c r="A1028" s="78"/>
      <c r="B1028" s="84"/>
      <c r="C1028" s="32" t="s">
        <v>5</v>
      </c>
      <c r="D1028" s="19">
        <f>SUM(D1029:D1032)</f>
        <v>1513.4828399999999</v>
      </c>
      <c r="E1028" s="13">
        <f t="shared" ref="E1028" si="101">SUM(E1029:E1032)</f>
        <v>1513.4828399999999</v>
      </c>
      <c r="F1028" s="13"/>
      <c r="G1028" s="13"/>
      <c r="H1028" s="13"/>
      <c r="I1028" s="13"/>
      <c r="J1028" s="69"/>
      <c r="K1028" s="69"/>
      <c r="L1028" s="69"/>
      <c r="M1028" s="69"/>
      <c r="N1028" s="69"/>
      <c r="O1028" s="69"/>
      <c r="P1028" s="69"/>
      <c r="Q1028" s="72"/>
      <c r="R1028" s="69"/>
      <c r="S1028" s="69"/>
      <c r="T1028" s="66"/>
      <c r="U1028" s="69"/>
      <c r="V1028" s="69"/>
    </row>
    <row r="1029" spans="1:22" ht="91.5" x14ac:dyDescent="0.7">
      <c r="A1029" s="78"/>
      <c r="B1029" s="84"/>
      <c r="C1029" s="32" t="s">
        <v>0</v>
      </c>
      <c r="D1029" s="19"/>
      <c r="E1029" s="13"/>
      <c r="F1029" s="13"/>
      <c r="G1029" s="13"/>
      <c r="H1029" s="13"/>
      <c r="I1029" s="13"/>
      <c r="J1029" s="69"/>
      <c r="K1029" s="69"/>
      <c r="L1029" s="69"/>
      <c r="M1029" s="69"/>
      <c r="N1029" s="69"/>
      <c r="O1029" s="69"/>
      <c r="P1029" s="69"/>
      <c r="Q1029" s="72"/>
      <c r="R1029" s="69"/>
      <c r="S1029" s="69"/>
      <c r="T1029" s="66"/>
      <c r="U1029" s="69"/>
      <c r="V1029" s="69"/>
    </row>
    <row r="1030" spans="1:22" ht="91.5" x14ac:dyDescent="0.7">
      <c r="A1030" s="78"/>
      <c r="B1030" s="84"/>
      <c r="C1030" s="32" t="s">
        <v>1</v>
      </c>
      <c r="D1030" s="19">
        <f>SUM(E1030:H1030)</f>
        <v>1513.4828399999999</v>
      </c>
      <c r="E1030" s="18">
        <v>1513.4828399999999</v>
      </c>
      <c r="F1030" s="13"/>
      <c r="G1030" s="13"/>
      <c r="H1030" s="13"/>
      <c r="I1030" s="13"/>
      <c r="J1030" s="69"/>
      <c r="K1030" s="69"/>
      <c r="L1030" s="69"/>
      <c r="M1030" s="69"/>
      <c r="N1030" s="69"/>
      <c r="O1030" s="69"/>
      <c r="P1030" s="69"/>
      <c r="Q1030" s="72"/>
      <c r="R1030" s="69"/>
      <c r="S1030" s="69"/>
      <c r="T1030" s="66"/>
      <c r="U1030" s="69"/>
      <c r="V1030" s="69"/>
    </row>
    <row r="1031" spans="1:22" ht="95.25" customHeight="1" x14ac:dyDescent="0.7">
      <c r="A1031" s="78"/>
      <c r="B1031" s="84"/>
      <c r="C1031" s="32" t="s">
        <v>2</v>
      </c>
      <c r="D1031" s="19"/>
      <c r="E1031" s="13"/>
      <c r="F1031" s="13"/>
      <c r="G1031" s="13"/>
      <c r="H1031" s="13"/>
      <c r="I1031" s="13"/>
      <c r="J1031" s="69"/>
      <c r="K1031" s="69"/>
      <c r="L1031" s="69"/>
      <c r="M1031" s="69"/>
      <c r="N1031" s="69"/>
      <c r="O1031" s="69"/>
      <c r="P1031" s="69"/>
      <c r="Q1031" s="72"/>
      <c r="R1031" s="69"/>
      <c r="S1031" s="69"/>
      <c r="T1031" s="66"/>
      <c r="U1031" s="69"/>
      <c r="V1031" s="69"/>
    </row>
    <row r="1032" spans="1:22" ht="91.5" x14ac:dyDescent="0.7">
      <c r="A1032" s="79"/>
      <c r="B1032" s="85"/>
      <c r="C1032" s="32" t="s">
        <v>3</v>
      </c>
      <c r="D1032" s="19"/>
      <c r="E1032" s="13"/>
      <c r="F1032" s="13"/>
      <c r="G1032" s="13"/>
      <c r="H1032" s="13"/>
      <c r="I1032" s="13"/>
      <c r="J1032" s="70"/>
      <c r="K1032" s="70"/>
      <c r="L1032" s="70"/>
      <c r="M1032" s="70"/>
      <c r="N1032" s="70"/>
      <c r="O1032" s="70"/>
      <c r="P1032" s="70"/>
      <c r="Q1032" s="73"/>
      <c r="R1032" s="70"/>
      <c r="S1032" s="70"/>
      <c r="T1032" s="67"/>
      <c r="U1032" s="70"/>
      <c r="V1032" s="70"/>
    </row>
    <row r="1033" spans="1:22" x14ac:dyDescent="0.7">
      <c r="A1033" s="115" t="s">
        <v>82</v>
      </c>
      <c r="B1033" s="118" t="s">
        <v>318</v>
      </c>
      <c r="C1033" s="119"/>
      <c r="D1033" s="119"/>
      <c r="E1033" s="119"/>
      <c r="F1033" s="119"/>
      <c r="G1033" s="119"/>
      <c r="H1033" s="119"/>
      <c r="I1033" s="119"/>
      <c r="J1033" s="119"/>
      <c r="K1033" s="119"/>
      <c r="L1033" s="119"/>
      <c r="M1033" s="119"/>
      <c r="N1033" s="119"/>
      <c r="O1033" s="119"/>
      <c r="P1033" s="119"/>
      <c r="Q1033" s="119"/>
      <c r="R1033" s="119"/>
      <c r="S1033" s="119"/>
      <c r="T1033" s="119"/>
      <c r="U1033" s="119"/>
      <c r="V1033" s="120"/>
    </row>
    <row r="1034" spans="1:22" x14ac:dyDescent="0.7">
      <c r="A1034" s="116"/>
      <c r="B1034" s="113" t="s">
        <v>5</v>
      </c>
      <c r="C1034" s="114"/>
      <c r="D1034" s="16">
        <f t="shared" ref="D1034" si="102">SUM(D1035:D1038)</f>
        <v>231385.41657010102</v>
      </c>
      <c r="E1034" s="16">
        <f>E1042+E1050</f>
        <v>50502.180570101009</v>
      </c>
      <c r="F1034" s="16">
        <f>F1042+F1050</f>
        <v>180883.236</v>
      </c>
      <c r="G1034" s="16"/>
      <c r="H1034" s="16"/>
      <c r="I1034" s="16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</row>
    <row r="1035" spans="1:22" x14ac:dyDescent="0.7">
      <c r="A1035" s="116"/>
      <c r="B1035" s="113" t="s">
        <v>0</v>
      </c>
      <c r="C1035" s="114"/>
      <c r="D1035" s="16"/>
      <c r="E1035" s="16"/>
      <c r="F1035" s="16"/>
      <c r="G1035" s="16"/>
      <c r="H1035" s="16"/>
      <c r="I1035" s="16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</row>
    <row r="1036" spans="1:22" x14ac:dyDescent="0.7">
      <c r="A1036" s="116"/>
      <c r="B1036" s="113" t="s">
        <v>1</v>
      </c>
      <c r="C1036" s="114"/>
      <c r="D1036" s="16">
        <f>SUM(E1036:H1036)</f>
        <v>227633.02126000001</v>
      </c>
      <c r="E1036" s="16">
        <f t="shared" ref="E1036:F1036" si="103">E1044+E1052</f>
        <v>46749.785259999997</v>
      </c>
      <c r="F1036" s="16">
        <f t="shared" si="103"/>
        <v>180883.236</v>
      </c>
      <c r="G1036" s="16"/>
      <c r="H1036" s="16"/>
      <c r="I1036" s="16"/>
      <c r="J1036" s="54"/>
      <c r="K1036" s="55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</row>
    <row r="1037" spans="1:22" x14ac:dyDescent="0.7">
      <c r="A1037" s="116"/>
      <c r="B1037" s="113" t="s">
        <v>2</v>
      </c>
      <c r="C1037" s="114"/>
      <c r="D1037" s="16">
        <f>SUM(E1037:H1037)</f>
        <v>3752.3953101010102</v>
      </c>
      <c r="E1037" s="16">
        <f t="shared" ref="E1037" si="104">E1045+E1053</f>
        <v>3752.3953101010102</v>
      </c>
      <c r="F1037" s="16"/>
      <c r="G1037" s="16"/>
      <c r="H1037" s="16"/>
      <c r="I1037" s="16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</row>
    <row r="1038" spans="1:22" ht="99" customHeight="1" x14ac:dyDescent="0.7">
      <c r="A1038" s="117"/>
      <c r="B1038" s="113" t="s">
        <v>3</v>
      </c>
      <c r="C1038" s="114"/>
      <c r="D1038" s="20"/>
      <c r="E1038" s="16"/>
      <c r="F1038" s="16"/>
      <c r="G1038" s="16"/>
      <c r="H1038" s="16"/>
      <c r="I1038" s="16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</row>
    <row r="1039" spans="1:22" x14ac:dyDescent="0.7">
      <c r="A1039" s="74" t="s">
        <v>16</v>
      </c>
      <c r="B1039" s="75"/>
      <c r="C1039" s="75"/>
      <c r="D1039" s="75"/>
      <c r="E1039" s="75"/>
      <c r="F1039" s="75"/>
      <c r="G1039" s="75"/>
      <c r="H1039" s="75"/>
      <c r="I1039" s="75"/>
      <c r="J1039" s="75"/>
      <c r="K1039" s="75"/>
      <c r="L1039" s="75"/>
      <c r="M1039" s="75"/>
      <c r="N1039" s="75"/>
      <c r="O1039" s="75"/>
      <c r="P1039" s="75"/>
      <c r="Q1039" s="75"/>
      <c r="R1039" s="75"/>
      <c r="S1039" s="75"/>
      <c r="T1039" s="75"/>
      <c r="U1039" s="75"/>
      <c r="V1039" s="76"/>
    </row>
    <row r="1040" spans="1:22" x14ac:dyDescent="0.7">
      <c r="A1040" s="77"/>
      <c r="B1040" s="80" t="s">
        <v>317</v>
      </c>
      <c r="C1040" s="81"/>
      <c r="D1040" s="81"/>
      <c r="E1040" s="81"/>
      <c r="F1040" s="81"/>
      <c r="G1040" s="81"/>
      <c r="H1040" s="81"/>
      <c r="I1040" s="81"/>
      <c r="J1040" s="81"/>
      <c r="K1040" s="81"/>
      <c r="L1040" s="81"/>
      <c r="M1040" s="81"/>
      <c r="N1040" s="81"/>
      <c r="O1040" s="81"/>
      <c r="P1040" s="81"/>
      <c r="Q1040" s="81"/>
      <c r="R1040" s="81"/>
      <c r="S1040" s="81"/>
      <c r="T1040" s="81"/>
      <c r="U1040" s="81"/>
      <c r="V1040" s="82"/>
    </row>
    <row r="1041" spans="1:22" ht="99" customHeight="1" x14ac:dyDescent="0.7">
      <c r="A1041" s="78"/>
      <c r="B1041" s="83" t="s">
        <v>83</v>
      </c>
      <c r="C1041" s="95" t="s">
        <v>70</v>
      </c>
      <c r="D1041" s="96"/>
      <c r="E1041" s="96"/>
      <c r="F1041" s="96"/>
      <c r="G1041" s="96"/>
      <c r="H1041" s="97"/>
      <c r="I1041" s="29"/>
      <c r="J1041" s="65" t="s">
        <v>161</v>
      </c>
      <c r="K1041" s="68"/>
      <c r="L1041" s="68" t="s">
        <v>89</v>
      </c>
      <c r="M1041" s="68"/>
      <c r="N1041" s="68" t="s">
        <v>93</v>
      </c>
      <c r="O1041" s="68"/>
      <c r="P1041" s="68" t="s">
        <v>93</v>
      </c>
      <c r="Q1041" s="71"/>
      <c r="R1041" s="68" t="s">
        <v>9</v>
      </c>
      <c r="S1041" s="68" t="s">
        <v>85</v>
      </c>
      <c r="T1041" s="65" t="s">
        <v>7</v>
      </c>
      <c r="U1041" s="68"/>
      <c r="V1041" s="68"/>
    </row>
    <row r="1042" spans="1:22" x14ac:dyDescent="0.7">
      <c r="A1042" s="78"/>
      <c r="B1042" s="84"/>
      <c r="C1042" s="32" t="s">
        <v>5</v>
      </c>
      <c r="D1042" s="19">
        <f>SUM(D1043:D1046)</f>
        <v>230775.41657010099</v>
      </c>
      <c r="E1042" s="13">
        <f>SUM(E1043:E1046)</f>
        <v>49892.180570101009</v>
      </c>
      <c r="F1042" s="13">
        <f>SUM(F1043:F1046)</f>
        <v>180883.236</v>
      </c>
      <c r="G1042" s="13"/>
      <c r="H1042" s="13"/>
      <c r="I1042" s="13"/>
      <c r="J1042" s="66"/>
      <c r="K1042" s="69"/>
      <c r="L1042" s="69"/>
      <c r="M1042" s="69"/>
      <c r="N1042" s="69"/>
      <c r="O1042" s="69"/>
      <c r="P1042" s="69"/>
      <c r="Q1042" s="72"/>
      <c r="R1042" s="69"/>
      <c r="S1042" s="69"/>
      <c r="T1042" s="66"/>
      <c r="U1042" s="69"/>
      <c r="V1042" s="69"/>
    </row>
    <row r="1043" spans="1:22" ht="91.5" x14ac:dyDescent="0.7">
      <c r="A1043" s="78"/>
      <c r="B1043" s="84"/>
      <c r="C1043" s="32" t="s">
        <v>0</v>
      </c>
      <c r="D1043" s="19"/>
      <c r="E1043" s="13"/>
      <c r="F1043" s="13"/>
      <c r="G1043" s="13"/>
      <c r="H1043" s="13"/>
      <c r="I1043" s="13"/>
      <c r="J1043" s="66"/>
      <c r="K1043" s="69"/>
      <c r="L1043" s="69"/>
      <c r="M1043" s="69"/>
      <c r="N1043" s="69"/>
      <c r="O1043" s="69"/>
      <c r="P1043" s="69"/>
      <c r="Q1043" s="72"/>
      <c r="R1043" s="69"/>
      <c r="S1043" s="69"/>
      <c r="T1043" s="66"/>
      <c r="U1043" s="69"/>
      <c r="V1043" s="69"/>
    </row>
    <row r="1044" spans="1:22" ht="91.5" x14ac:dyDescent="0.7">
      <c r="A1044" s="78"/>
      <c r="B1044" s="84"/>
      <c r="C1044" s="32" t="s">
        <v>1</v>
      </c>
      <c r="D1044" s="19">
        <f>SUM(E1044:H1044)</f>
        <v>227029.12125999999</v>
      </c>
      <c r="E1044" s="18">
        <f>70000-9795.24347-8005.38627-6053.485</f>
        <v>46145.885259999995</v>
      </c>
      <c r="F1044" s="13">
        <v>180883.236</v>
      </c>
      <c r="G1044" s="13"/>
      <c r="H1044" s="13"/>
      <c r="I1044" s="13"/>
      <c r="J1044" s="66"/>
      <c r="K1044" s="69"/>
      <c r="L1044" s="69"/>
      <c r="M1044" s="69"/>
      <c r="N1044" s="69"/>
      <c r="O1044" s="69"/>
      <c r="P1044" s="69"/>
      <c r="Q1044" s="72"/>
      <c r="R1044" s="69"/>
      <c r="S1044" s="69"/>
      <c r="T1044" s="66"/>
      <c r="U1044" s="69"/>
      <c r="V1044" s="69"/>
    </row>
    <row r="1045" spans="1:22" ht="95.25" customHeight="1" x14ac:dyDescent="0.7">
      <c r="A1045" s="78"/>
      <c r="B1045" s="84"/>
      <c r="C1045" s="32" t="s">
        <v>2</v>
      </c>
      <c r="D1045" s="19">
        <f>SUM(E1045:H1045)</f>
        <v>3746.2953101010103</v>
      </c>
      <c r="E1045" s="13">
        <v>3746.2953101010103</v>
      </c>
      <c r="F1045" s="13"/>
      <c r="G1045" s="13"/>
      <c r="H1045" s="13"/>
      <c r="I1045" s="13"/>
      <c r="J1045" s="66"/>
      <c r="K1045" s="69"/>
      <c r="L1045" s="69"/>
      <c r="M1045" s="69"/>
      <c r="N1045" s="69"/>
      <c r="O1045" s="69"/>
      <c r="P1045" s="69"/>
      <c r="Q1045" s="72"/>
      <c r="R1045" s="69"/>
      <c r="S1045" s="69"/>
      <c r="T1045" s="66"/>
      <c r="U1045" s="69"/>
      <c r="V1045" s="69"/>
    </row>
    <row r="1046" spans="1:22" ht="91.5" x14ac:dyDescent="0.7">
      <c r="A1046" s="79"/>
      <c r="B1046" s="85"/>
      <c r="C1046" s="32" t="s">
        <v>3</v>
      </c>
      <c r="D1046" s="19"/>
      <c r="E1046" s="13"/>
      <c r="F1046" s="13"/>
      <c r="G1046" s="13"/>
      <c r="H1046" s="13"/>
      <c r="I1046" s="13"/>
      <c r="J1046" s="67"/>
      <c r="K1046" s="70"/>
      <c r="L1046" s="70"/>
      <c r="M1046" s="70"/>
      <c r="N1046" s="70"/>
      <c r="O1046" s="70"/>
      <c r="P1046" s="70"/>
      <c r="Q1046" s="73"/>
      <c r="R1046" s="70"/>
      <c r="S1046" s="70"/>
      <c r="T1046" s="67"/>
      <c r="U1046" s="70"/>
      <c r="V1046" s="70"/>
    </row>
    <row r="1047" spans="1:22" x14ac:dyDescent="0.7">
      <c r="A1047" s="74" t="s">
        <v>16</v>
      </c>
      <c r="B1047" s="75"/>
      <c r="C1047" s="75"/>
      <c r="D1047" s="75"/>
      <c r="E1047" s="75"/>
      <c r="F1047" s="75"/>
      <c r="G1047" s="75"/>
      <c r="H1047" s="75"/>
      <c r="I1047" s="75"/>
      <c r="J1047" s="75"/>
      <c r="K1047" s="75"/>
      <c r="L1047" s="75"/>
      <c r="M1047" s="75"/>
      <c r="N1047" s="75"/>
      <c r="O1047" s="75"/>
      <c r="P1047" s="75"/>
      <c r="Q1047" s="75"/>
      <c r="R1047" s="75"/>
      <c r="S1047" s="75"/>
      <c r="T1047" s="75"/>
      <c r="U1047" s="75"/>
      <c r="V1047" s="76"/>
    </row>
    <row r="1048" spans="1:22" x14ac:dyDescent="0.7">
      <c r="A1048" s="77"/>
      <c r="B1048" s="80" t="s">
        <v>317</v>
      </c>
      <c r="C1048" s="81"/>
      <c r="D1048" s="81"/>
      <c r="E1048" s="81"/>
      <c r="F1048" s="81"/>
      <c r="G1048" s="81"/>
      <c r="H1048" s="81"/>
      <c r="I1048" s="81"/>
      <c r="J1048" s="81"/>
      <c r="K1048" s="81"/>
      <c r="L1048" s="81"/>
      <c r="M1048" s="81"/>
      <c r="N1048" s="81"/>
      <c r="O1048" s="81"/>
      <c r="P1048" s="81"/>
      <c r="Q1048" s="81"/>
      <c r="R1048" s="81"/>
      <c r="S1048" s="81"/>
      <c r="T1048" s="81"/>
      <c r="U1048" s="81"/>
      <c r="V1048" s="82"/>
    </row>
    <row r="1049" spans="1:22" ht="99" customHeight="1" x14ac:dyDescent="0.7">
      <c r="A1049" s="78"/>
      <c r="B1049" s="83" t="s">
        <v>531</v>
      </c>
      <c r="C1049" s="86" t="s">
        <v>534</v>
      </c>
      <c r="D1049" s="87"/>
      <c r="E1049" s="87"/>
      <c r="F1049" s="87"/>
      <c r="G1049" s="87"/>
      <c r="H1049" s="88"/>
      <c r="I1049" s="45"/>
      <c r="J1049" s="65" t="s">
        <v>73</v>
      </c>
      <c r="K1049" s="65"/>
      <c r="L1049" s="65" t="s">
        <v>89</v>
      </c>
      <c r="M1049" s="65"/>
      <c r="N1049" s="65" t="s">
        <v>533</v>
      </c>
      <c r="O1049" s="65" t="s">
        <v>533</v>
      </c>
      <c r="P1049" s="65" t="s">
        <v>533</v>
      </c>
      <c r="Q1049" s="71"/>
      <c r="R1049" s="65" t="s">
        <v>9</v>
      </c>
      <c r="S1049" s="65" t="s">
        <v>532</v>
      </c>
      <c r="T1049" s="65" t="s">
        <v>7</v>
      </c>
      <c r="U1049" s="68"/>
      <c r="V1049" s="68"/>
    </row>
    <row r="1050" spans="1:22" x14ac:dyDescent="0.7">
      <c r="A1050" s="78"/>
      <c r="B1050" s="84"/>
      <c r="C1050" s="44" t="s">
        <v>5</v>
      </c>
      <c r="D1050" s="17">
        <f>SUM(D1051:D1054)</f>
        <v>610</v>
      </c>
      <c r="E1050" s="18">
        <f>SUM(E1051:E1054)</f>
        <v>610</v>
      </c>
      <c r="F1050" s="18"/>
      <c r="G1050" s="18"/>
      <c r="H1050" s="18"/>
      <c r="I1050" s="18"/>
      <c r="J1050" s="66"/>
      <c r="K1050" s="66"/>
      <c r="L1050" s="66"/>
      <c r="M1050" s="66"/>
      <c r="N1050" s="66"/>
      <c r="O1050" s="66"/>
      <c r="P1050" s="66"/>
      <c r="Q1050" s="72"/>
      <c r="R1050" s="66"/>
      <c r="S1050" s="66"/>
      <c r="T1050" s="66"/>
      <c r="U1050" s="69"/>
      <c r="V1050" s="69"/>
    </row>
    <row r="1051" spans="1:22" ht="91.5" x14ac:dyDescent="0.7">
      <c r="A1051" s="78"/>
      <c r="B1051" s="84"/>
      <c r="C1051" s="44" t="s">
        <v>0</v>
      </c>
      <c r="D1051" s="17"/>
      <c r="E1051" s="18"/>
      <c r="F1051" s="18"/>
      <c r="G1051" s="18"/>
      <c r="H1051" s="18"/>
      <c r="I1051" s="18"/>
      <c r="J1051" s="66"/>
      <c r="K1051" s="66"/>
      <c r="L1051" s="66"/>
      <c r="M1051" s="66"/>
      <c r="N1051" s="66"/>
      <c r="O1051" s="66"/>
      <c r="P1051" s="66"/>
      <c r="Q1051" s="72"/>
      <c r="R1051" s="66"/>
      <c r="S1051" s="66"/>
      <c r="T1051" s="66"/>
      <c r="U1051" s="69"/>
      <c r="V1051" s="69"/>
    </row>
    <row r="1052" spans="1:22" ht="91.5" x14ac:dyDescent="0.7">
      <c r="A1052" s="78"/>
      <c r="B1052" s="84"/>
      <c r="C1052" s="44" t="s">
        <v>1</v>
      </c>
      <c r="D1052" s="17">
        <f>SUM(E1052:H1052)</f>
        <v>603.9</v>
      </c>
      <c r="E1052" s="18">
        <v>603.9</v>
      </c>
      <c r="F1052" s="18"/>
      <c r="G1052" s="18"/>
      <c r="H1052" s="18"/>
      <c r="I1052" s="18"/>
      <c r="J1052" s="66"/>
      <c r="K1052" s="66"/>
      <c r="L1052" s="66"/>
      <c r="M1052" s="66"/>
      <c r="N1052" s="66"/>
      <c r="O1052" s="66"/>
      <c r="P1052" s="66"/>
      <c r="Q1052" s="72"/>
      <c r="R1052" s="66"/>
      <c r="S1052" s="66"/>
      <c r="T1052" s="66"/>
      <c r="U1052" s="69"/>
      <c r="V1052" s="69"/>
    </row>
    <row r="1053" spans="1:22" ht="99" customHeight="1" x14ac:dyDescent="0.7">
      <c r="A1053" s="78"/>
      <c r="B1053" s="84"/>
      <c r="C1053" s="44" t="s">
        <v>2</v>
      </c>
      <c r="D1053" s="17">
        <f>SUM(E1053:H1053)</f>
        <v>6.1</v>
      </c>
      <c r="E1053" s="18">
        <v>6.1</v>
      </c>
      <c r="F1053" s="18"/>
      <c r="G1053" s="18"/>
      <c r="H1053" s="18"/>
      <c r="I1053" s="18"/>
      <c r="J1053" s="66"/>
      <c r="K1053" s="66"/>
      <c r="L1053" s="66"/>
      <c r="M1053" s="66"/>
      <c r="N1053" s="66"/>
      <c r="O1053" s="66"/>
      <c r="P1053" s="66"/>
      <c r="Q1053" s="72"/>
      <c r="R1053" s="66"/>
      <c r="S1053" s="66"/>
      <c r="T1053" s="66"/>
      <c r="U1053" s="69"/>
      <c r="V1053" s="69"/>
    </row>
    <row r="1054" spans="1:22" ht="91.5" x14ac:dyDescent="0.7">
      <c r="A1054" s="79"/>
      <c r="B1054" s="85"/>
      <c r="C1054" s="44" t="s">
        <v>3</v>
      </c>
      <c r="D1054" s="17"/>
      <c r="E1054" s="18"/>
      <c r="F1054" s="18"/>
      <c r="G1054" s="18"/>
      <c r="H1054" s="18"/>
      <c r="I1054" s="18"/>
      <c r="J1054" s="67"/>
      <c r="K1054" s="67"/>
      <c r="L1054" s="67"/>
      <c r="M1054" s="67"/>
      <c r="N1054" s="67"/>
      <c r="O1054" s="67"/>
      <c r="P1054" s="67"/>
      <c r="Q1054" s="73"/>
      <c r="R1054" s="67"/>
      <c r="S1054" s="67"/>
      <c r="T1054" s="67"/>
      <c r="U1054" s="70"/>
      <c r="V1054" s="70"/>
    </row>
    <row r="1055" spans="1:22" x14ac:dyDescent="0.7">
      <c r="A1055" s="134" t="s">
        <v>5</v>
      </c>
      <c r="B1055" s="135"/>
      <c r="C1055" s="135"/>
      <c r="D1055" s="135"/>
      <c r="E1055" s="135"/>
      <c r="F1055" s="135"/>
      <c r="G1055" s="135"/>
      <c r="H1055" s="135"/>
      <c r="I1055" s="135"/>
      <c r="J1055" s="135"/>
      <c r="K1055" s="135"/>
      <c r="L1055" s="135"/>
      <c r="M1055" s="135"/>
      <c r="N1055" s="135"/>
      <c r="O1055" s="135"/>
      <c r="P1055" s="135"/>
      <c r="Q1055" s="135"/>
      <c r="R1055" s="135"/>
      <c r="S1055" s="135"/>
      <c r="T1055" s="135"/>
      <c r="U1055" s="135"/>
      <c r="V1055" s="136"/>
    </row>
    <row r="1056" spans="1:22" x14ac:dyDescent="0.7">
      <c r="A1056" s="131" t="s">
        <v>5</v>
      </c>
      <c r="B1056" s="132"/>
      <c r="C1056" s="133"/>
      <c r="D1056" s="21">
        <f>SUM(D1057:D1061)</f>
        <v>11805400.085781813</v>
      </c>
      <c r="E1056" s="21">
        <f t="shared" ref="E1056:I1058" si="105">E14+E116+E242+E264+E422+E524+E546+E560+E592+E720+E742+E964+E1002+E1034</f>
        <v>5213483.8970690984</v>
      </c>
      <c r="F1056" s="21">
        <f t="shared" si="105"/>
        <v>2718496.2851213641</v>
      </c>
      <c r="G1056" s="21">
        <f t="shared" si="105"/>
        <v>1652681.1953313537</v>
      </c>
      <c r="H1056" s="21">
        <f t="shared" si="105"/>
        <v>1190105.3689999999</v>
      </c>
      <c r="I1056" s="21">
        <f t="shared" si="105"/>
        <v>1021151.723</v>
      </c>
      <c r="J1056" s="58"/>
      <c r="K1056" s="58"/>
      <c r="L1056" s="58"/>
      <c r="M1056" s="58"/>
      <c r="N1056" s="58"/>
      <c r="O1056" s="58"/>
      <c r="P1056" s="58"/>
      <c r="Q1056" s="58"/>
      <c r="R1056" s="58"/>
      <c r="S1056" s="58"/>
      <c r="T1056" s="51"/>
      <c r="U1056" s="51"/>
      <c r="V1056" s="52"/>
    </row>
    <row r="1057" spans="1:22" x14ac:dyDescent="0.7">
      <c r="A1057" s="131" t="s">
        <v>0</v>
      </c>
      <c r="B1057" s="132"/>
      <c r="C1057" s="133"/>
      <c r="D1057" s="23">
        <f>SUM(E1057:I1057)</f>
        <v>1314649.3840000001</v>
      </c>
      <c r="E1057" s="21">
        <f t="shared" si="105"/>
        <v>1314649.3840000001</v>
      </c>
      <c r="F1057" s="21">
        <f t="shared" si="105"/>
        <v>0</v>
      </c>
      <c r="G1057" s="21">
        <f t="shared" si="105"/>
        <v>0</v>
      </c>
      <c r="H1057" s="21">
        <f t="shared" si="105"/>
        <v>0</v>
      </c>
      <c r="I1057" s="21">
        <f t="shared" si="105"/>
        <v>0</v>
      </c>
      <c r="J1057" s="59"/>
      <c r="K1057" s="59"/>
      <c r="L1057" s="59"/>
      <c r="M1057" s="59"/>
      <c r="N1057" s="59"/>
      <c r="O1057" s="59"/>
      <c r="P1057" s="59"/>
      <c r="Q1057" s="59"/>
      <c r="R1057" s="59"/>
      <c r="S1057" s="59"/>
      <c r="T1057" s="51"/>
      <c r="U1057" s="51"/>
      <c r="V1057" s="52"/>
    </row>
    <row r="1058" spans="1:22" x14ac:dyDescent="0.7">
      <c r="A1058" s="131" t="s">
        <v>1</v>
      </c>
      <c r="B1058" s="132"/>
      <c r="C1058" s="133"/>
      <c r="D1058" s="23">
        <f t="shared" ref="D1058:D1061" si="106">SUM(E1058:I1058)</f>
        <v>10089731.808269998</v>
      </c>
      <c r="E1058" s="21">
        <f t="shared" si="105"/>
        <v>3527990.018269999</v>
      </c>
      <c r="F1058" s="21">
        <f t="shared" si="105"/>
        <v>2708576.105</v>
      </c>
      <c r="G1058" s="21">
        <f t="shared" si="105"/>
        <v>1641908.5930000001</v>
      </c>
      <c r="H1058" s="21">
        <f t="shared" si="105"/>
        <v>1190105.3689999999</v>
      </c>
      <c r="I1058" s="21">
        <f t="shared" si="105"/>
        <v>1021151.723</v>
      </c>
      <c r="J1058" s="60"/>
      <c r="K1058" s="60"/>
      <c r="L1058" s="60"/>
      <c r="M1058" s="61"/>
      <c r="N1058" s="61"/>
      <c r="O1058" s="61"/>
      <c r="P1058" s="62"/>
      <c r="Q1058" s="62"/>
      <c r="R1058" s="59"/>
      <c r="S1058" s="59"/>
      <c r="T1058" s="51"/>
      <c r="U1058" s="51"/>
      <c r="V1058" s="52"/>
    </row>
    <row r="1059" spans="1:22" x14ac:dyDescent="0.7">
      <c r="A1059" s="131" t="s">
        <v>357</v>
      </c>
      <c r="B1059" s="132"/>
      <c r="C1059" s="133"/>
      <c r="D1059" s="23">
        <f t="shared" si="106"/>
        <v>111166.68250000001</v>
      </c>
      <c r="E1059" s="21">
        <f>E563+E595+E1005</f>
        <v>111166.68250000001</v>
      </c>
      <c r="F1059" s="21">
        <f>F563+F595+F1005</f>
        <v>0</v>
      </c>
      <c r="G1059" s="21">
        <f>G563+G595+G1005</f>
        <v>0</v>
      </c>
      <c r="H1059" s="21">
        <f>H563+H595+H1005</f>
        <v>0</v>
      </c>
      <c r="I1059" s="21">
        <f>I563+I595+I1005</f>
        <v>0</v>
      </c>
      <c r="J1059" s="60"/>
      <c r="K1059" s="60"/>
      <c r="L1059" s="60"/>
      <c r="M1059" s="61"/>
      <c r="N1059" s="61"/>
      <c r="O1059" s="61"/>
      <c r="P1059" s="62"/>
      <c r="Q1059" s="62"/>
      <c r="R1059" s="59"/>
      <c r="S1059" s="59"/>
      <c r="T1059" s="51"/>
      <c r="U1059" s="51"/>
      <c r="V1059" s="52"/>
    </row>
    <row r="1060" spans="1:22" x14ac:dyDescent="0.7">
      <c r="A1060" s="131" t="s">
        <v>2</v>
      </c>
      <c r="B1060" s="132"/>
      <c r="C1060" s="133"/>
      <c r="D1060" s="23">
        <f t="shared" si="106"/>
        <v>54552.928571816876</v>
      </c>
      <c r="E1060" s="21">
        <f t="shared" ref="E1060:I1061" si="107">E17+E119+E245+E267+E425+E527+E549+E564+E596+E723+E745+E967+E1006+E1037</f>
        <v>33860.146119098725</v>
      </c>
      <c r="F1060" s="21">
        <f t="shared" si="107"/>
        <v>9920.1801213643903</v>
      </c>
      <c r="G1060" s="21">
        <f t="shared" si="107"/>
        <v>10772.602331353759</v>
      </c>
      <c r="H1060" s="21">
        <f t="shared" si="107"/>
        <v>0</v>
      </c>
      <c r="I1060" s="21">
        <f t="shared" si="107"/>
        <v>0</v>
      </c>
      <c r="J1060" s="63"/>
      <c r="K1060" s="59"/>
      <c r="L1060" s="59"/>
      <c r="M1060" s="62"/>
      <c r="N1060" s="62"/>
      <c r="O1060" s="62"/>
      <c r="P1060" s="62"/>
      <c r="Q1060" s="62"/>
      <c r="R1060" s="59"/>
      <c r="S1060" s="59"/>
      <c r="T1060" s="51"/>
      <c r="U1060" s="51"/>
      <c r="V1060" s="52"/>
    </row>
    <row r="1061" spans="1:22" x14ac:dyDescent="0.7">
      <c r="A1061" s="131" t="s">
        <v>3</v>
      </c>
      <c r="B1061" s="132"/>
      <c r="C1061" s="133"/>
      <c r="D1061" s="21">
        <f t="shared" si="106"/>
        <v>235299.28243999998</v>
      </c>
      <c r="E1061" s="21">
        <f t="shared" si="107"/>
        <v>235299.28243999998</v>
      </c>
      <c r="F1061" s="21">
        <f t="shared" si="107"/>
        <v>0</v>
      </c>
      <c r="G1061" s="21">
        <f t="shared" si="107"/>
        <v>0</v>
      </c>
      <c r="H1061" s="21">
        <f t="shared" si="107"/>
        <v>0</v>
      </c>
      <c r="I1061" s="21">
        <f t="shared" si="107"/>
        <v>0</v>
      </c>
      <c r="J1061" s="59"/>
      <c r="K1061" s="59"/>
      <c r="L1061" s="59"/>
      <c r="M1061" s="59"/>
      <c r="N1061" s="59"/>
      <c r="O1061" s="59"/>
      <c r="P1061" s="59"/>
      <c r="Q1061" s="59"/>
      <c r="R1061" s="59"/>
      <c r="S1061" s="59"/>
      <c r="T1061" s="51"/>
      <c r="U1061" s="51"/>
      <c r="V1061" s="64"/>
    </row>
    <row r="1062" spans="1:22" x14ac:dyDescent="0.7">
      <c r="A1062" s="26"/>
      <c r="B1062" s="27"/>
      <c r="C1062" s="26"/>
      <c r="D1062" s="28"/>
      <c r="E1062" s="38"/>
      <c r="F1062" s="24"/>
      <c r="G1062" s="24"/>
      <c r="H1062" s="24"/>
      <c r="I1062" s="24"/>
      <c r="J1062" s="59"/>
      <c r="K1062" s="59"/>
      <c r="L1062" s="59"/>
      <c r="M1062" s="59"/>
      <c r="N1062" s="59"/>
      <c r="O1062" s="59"/>
      <c r="P1062" s="59"/>
      <c r="Q1062" s="59"/>
      <c r="R1062" s="59"/>
      <c r="S1062" s="59"/>
      <c r="T1062" s="51"/>
      <c r="U1062" s="51"/>
      <c r="V1062" s="64" t="s">
        <v>446</v>
      </c>
    </row>
    <row r="1063" spans="1:22" x14ac:dyDescent="0.7">
      <c r="A1063" s="9"/>
      <c r="B1063" s="10"/>
      <c r="C1063" s="9"/>
      <c r="D1063" s="11"/>
      <c r="E1063" s="11"/>
      <c r="F1063" s="31"/>
      <c r="G1063" s="31"/>
      <c r="H1063" s="9"/>
      <c r="I1063" s="9"/>
    </row>
    <row r="1064" spans="1:22" x14ac:dyDescent="0.7">
      <c r="A1064" s="9"/>
      <c r="B1064" s="10"/>
      <c r="C1064" s="9"/>
      <c r="D1064" s="9"/>
      <c r="E1064" s="11"/>
      <c r="F1064" s="11"/>
      <c r="G1064" s="11"/>
      <c r="H1064" s="11"/>
      <c r="I1064" s="11"/>
    </row>
    <row r="1065" spans="1:22" x14ac:dyDescent="0.7">
      <c r="A1065" s="9"/>
      <c r="B1065" s="10"/>
      <c r="C1065" s="9"/>
      <c r="D1065" s="11"/>
      <c r="E1065" s="11"/>
      <c r="F1065" s="11"/>
      <c r="G1065" s="11"/>
      <c r="H1065" s="11"/>
      <c r="I1065" s="11"/>
    </row>
    <row r="1066" spans="1:22" x14ac:dyDescent="0.7">
      <c r="A1066" s="9"/>
      <c r="B1066" s="10"/>
      <c r="C1066" s="9"/>
      <c r="D1066" s="11"/>
      <c r="E1066" s="11"/>
      <c r="F1066" s="11"/>
      <c r="G1066" s="11"/>
      <c r="H1066" s="11"/>
      <c r="I1066" s="11"/>
    </row>
    <row r="1067" spans="1:22" x14ac:dyDescent="0.7">
      <c r="A1067" s="9"/>
      <c r="B1067" s="10"/>
      <c r="C1067" s="9"/>
      <c r="D1067" s="11"/>
      <c r="E1067" s="11"/>
      <c r="F1067" s="11"/>
      <c r="G1067" s="11"/>
      <c r="H1067" s="11"/>
      <c r="I1067" s="11"/>
    </row>
    <row r="1068" spans="1:22" x14ac:dyDescent="0.7">
      <c r="A1068" s="9"/>
      <c r="B1068" s="10"/>
      <c r="C1068" s="9"/>
      <c r="D1068" s="11"/>
      <c r="E1068" s="11"/>
      <c r="F1068" s="11"/>
      <c r="G1068" s="11"/>
      <c r="H1068" s="11"/>
      <c r="I1068" s="11"/>
    </row>
    <row r="1069" spans="1:22" x14ac:dyDescent="0.7">
      <c r="A1069" s="9"/>
      <c r="B1069" s="10"/>
      <c r="C1069" s="9"/>
      <c r="D1069" s="11"/>
      <c r="E1069" s="11"/>
      <c r="F1069" s="11"/>
      <c r="G1069" s="9"/>
      <c r="H1069" s="9"/>
      <c r="I1069" s="9"/>
    </row>
    <row r="1070" spans="1:22" x14ac:dyDescent="0.7">
      <c r="D1070" s="11"/>
      <c r="E1070" s="11"/>
    </row>
    <row r="1071" spans="1:22" x14ac:dyDescent="0.7">
      <c r="D1071" s="11"/>
      <c r="E1071" s="11"/>
    </row>
    <row r="1072" spans="1:22" x14ac:dyDescent="0.7">
      <c r="D1072" s="11"/>
    </row>
    <row r="1073" spans="4:5" x14ac:dyDescent="0.7">
      <c r="D1073" s="11"/>
    </row>
    <row r="1074" spans="4:5" x14ac:dyDescent="0.7">
      <c r="D1074" s="11"/>
    </row>
    <row r="1075" spans="4:5" x14ac:dyDescent="0.7">
      <c r="D1075" s="11"/>
    </row>
    <row r="1076" spans="4:5" x14ac:dyDescent="0.7">
      <c r="D1076" s="11"/>
    </row>
    <row r="1077" spans="4:5" x14ac:dyDescent="0.7">
      <c r="E1077" s="25"/>
    </row>
  </sheetData>
  <mergeCells count="2256">
    <mergeCell ref="S713:S718"/>
    <mergeCell ref="T713:T718"/>
    <mergeCell ref="U713:U718"/>
    <mergeCell ref="V713:V718"/>
    <mergeCell ref="A459:V459"/>
    <mergeCell ref="A460:A466"/>
    <mergeCell ref="B460:V460"/>
    <mergeCell ref="B461:B466"/>
    <mergeCell ref="C461:H461"/>
    <mergeCell ref="J461:J466"/>
    <mergeCell ref="K461:K466"/>
    <mergeCell ref="L461:L466"/>
    <mergeCell ref="M461:M466"/>
    <mergeCell ref="N461:N466"/>
    <mergeCell ref="O461:O466"/>
    <mergeCell ref="P461:P466"/>
    <mergeCell ref="Q461:Q466"/>
    <mergeCell ref="R461:R466"/>
    <mergeCell ref="S461:S466"/>
    <mergeCell ref="T461:T466"/>
    <mergeCell ref="U461:U466"/>
    <mergeCell ref="V461:V466"/>
    <mergeCell ref="L665:L670"/>
    <mergeCell ref="M665:M670"/>
    <mergeCell ref="N665:N670"/>
    <mergeCell ref="O665:O670"/>
    <mergeCell ref="P665:P670"/>
    <mergeCell ref="Q665:Q670"/>
    <mergeCell ref="R665:R670"/>
    <mergeCell ref="S665:S670"/>
    <mergeCell ref="T665:T670"/>
    <mergeCell ref="U665:U670"/>
    <mergeCell ref="A451:V451"/>
    <mergeCell ref="A452:A458"/>
    <mergeCell ref="B452:V452"/>
    <mergeCell ref="B453:B458"/>
    <mergeCell ref="C453:H453"/>
    <mergeCell ref="J453:J458"/>
    <mergeCell ref="K453:K458"/>
    <mergeCell ref="L453:L458"/>
    <mergeCell ref="M453:M458"/>
    <mergeCell ref="N453:N458"/>
    <mergeCell ref="O453:O458"/>
    <mergeCell ref="P453:P458"/>
    <mergeCell ref="Q453:Q458"/>
    <mergeCell ref="R453:R458"/>
    <mergeCell ref="S453:S458"/>
    <mergeCell ref="T453:T458"/>
    <mergeCell ref="U453:U458"/>
    <mergeCell ref="V453:V458"/>
    <mergeCell ref="A443:V443"/>
    <mergeCell ref="A444:A450"/>
    <mergeCell ref="B444:V444"/>
    <mergeCell ref="B445:B450"/>
    <mergeCell ref="C445:H445"/>
    <mergeCell ref="J445:J450"/>
    <mergeCell ref="K445:K450"/>
    <mergeCell ref="L445:L450"/>
    <mergeCell ref="M445:M450"/>
    <mergeCell ref="N445:N450"/>
    <mergeCell ref="O445:O450"/>
    <mergeCell ref="P445:P450"/>
    <mergeCell ref="Q445:Q450"/>
    <mergeCell ref="R445:R450"/>
    <mergeCell ref="S445:S450"/>
    <mergeCell ref="T445:T450"/>
    <mergeCell ref="U445:U450"/>
    <mergeCell ref="V445:V450"/>
    <mergeCell ref="A435:V435"/>
    <mergeCell ref="A436:A442"/>
    <mergeCell ref="B436:V436"/>
    <mergeCell ref="B437:B442"/>
    <mergeCell ref="C437:H437"/>
    <mergeCell ref="J437:J442"/>
    <mergeCell ref="K437:K442"/>
    <mergeCell ref="L437:L442"/>
    <mergeCell ref="M437:M442"/>
    <mergeCell ref="N437:N442"/>
    <mergeCell ref="O437:O442"/>
    <mergeCell ref="P437:P442"/>
    <mergeCell ref="Q437:Q442"/>
    <mergeCell ref="R437:R442"/>
    <mergeCell ref="S437:S442"/>
    <mergeCell ref="T437:T442"/>
    <mergeCell ref="U437:U442"/>
    <mergeCell ref="V437:V442"/>
    <mergeCell ref="A233:V233"/>
    <mergeCell ref="A234:A240"/>
    <mergeCell ref="B234:V234"/>
    <mergeCell ref="B235:B240"/>
    <mergeCell ref="C235:H235"/>
    <mergeCell ref="J235:J240"/>
    <mergeCell ref="K235:K240"/>
    <mergeCell ref="L235:L240"/>
    <mergeCell ref="M235:M240"/>
    <mergeCell ref="N235:N240"/>
    <mergeCell ref="O235:O240"/>
    <mergeCell ref="P235:P240"/>
    <mergeCell ref="Q235:Q240"/>
    <mergeCell ref="R235:R240"/>
    <mergeCell ref="S235:S240"/>
    <mergeCell ref="T235:T240"/>
    <mergeCell ref="U235:U240"/>
    <mergeCell ref="V235:V240"/>
    <mergeCell ref="A99:V99"/>
    <mergeCell ref="A100:A106"/>
    <mergeCell ref="B100:V100"/>
    <mergeCell ref="B101:B106"/>
    <mergeCell ref="C101:H101"/>
    <mergeCell ref="J101:J106"/>
    <mergeCell ref="K101:K106"/>
    <mergeCell ref="L101:L106"/>
    <mergeCell ref="M101:M106"/>
    <mergeCell ref="N101:N106"/>
    <mergeCell ref="O101:O106"/>
    <mergeCell ref="P101:P106"/>
    <mergeCell ref="Q101:Q106"/>
    <mergeCell ref="R101:R106"/>
    <mergeCell ref="S101:S106"/>
    <mergeCell ref="T101:T106"/>
    <mergeCell ref="U101:U106"/>
    <mergeCell ref="V101:V106"/>
    <mergeCell ref="C53:H53"/>
    <mergeCell ref="J53:J58"/>
    <mergeCell ref="K53:K58"/>
    <mergeCell ref="L53:L58"/>
    <mergeCell ref="M53:M58"/>
    <mergeCell ref="N53:N58"/>
    <mergeCell ref="O53:O58"/>
    <mergeCell ref="P53:P58"/>
    <mergeCell ref="Q53:Q58"/>
    <mergeCell ref="R53:R58"/>
    <mergeCell ref="S53:S58"/>
    <mergeCell ref="T53:T58"/>
    <mergeCell ref="U53:U58"/>
    <mergeCell ref="V53:V58"/>
    <mergeCell ref="A515:V515"/>
    <mergeCell ref="A516:A522"/>
    <mergeCell ref="B516:V516"/>
    <mergeCell ref="B517:B522"/>
    <mergeCell ref="C517:H517"/>
    <mergeCell ref="J517:J522"/>
    <mergeCell ref="K517:K522"/>
    <mergeCell ref="L517:L522"/>
    <mergeCell ref="M517:M522"/>
    <mergeCell ref="N517:N522"/>
    <mergeCell ref="O517:O522"/>
    <mergeCell ref="P517:P522"/>
    <mergeCell ref="Q517:Q522"/>
    <mergeCell ref="R517:R522"/>
    <mergeCell ref="S517:S522"/>
    <mergeCell ref="T517:T522"/>
    <mergeCell ref="U517:U522"/>
    <mergeCell ref="V517:V522"/>
    <mergeCell ref="J93:J98"/>
    <mergeCell ref="K93:K98"/>
    <mergeCell ref="L93:L98"/>
    <mergeCell ref="M93:M98"/>
    <mergeCell ref="N93:N98"/>
    <mergeCell ref="O93:O98"/>
    <mergeCell ref="P93:P98"/>
    <mergeCell ref="Q93:Q98"/>
    <mergeCell ref="R93:R98"/>
    <mergeCell ref="S93:S98"/>
    <mergeCell ref="T93:T98"/>
    <mergeCell ref="U93:U98"/>
    <mergeCell ref="V93:V98"/>
    <mergeCell ref="A185:V185"/>
    <mergeCell ref="A186:A192"/>
    <mergeCell ref="B186:V186"/>
    <mergeCell ref="B187:B192"/>
    <mergeCell ref="C187:H187"/>
    <mergeCell ref="J187:J192"/>
    <mergeCell ref="K187:K192"/>
    <mergeCell ref="L187:L192"/>
    <mergeCell ref="M187:M192"/>
    <mergeCell ref="N187:N192"/>
    <mergeCell ref="O187:O192"/>
    <mergeCell ref="P187:P192"/>
    <mergeCell ref="Q187:Q192"/>
    <mergeCell ref="R187:R192"/>
    <mergeCell ref="S187:S192"/>
    <mergeCell ref="T187:T192"/>
    <mergeCell ref="U187:U192"/>
    <mergeCell ref="V187:V192"/>
    <mergeCell ref="U179:U184"/>
    <mergeCell ref="A993:V993"/>
    <mergeCell ref="M971:M976"/>
    <mergeCell ref="S179:S184"/>
    <mergeCell ref="T179:T184"/>
    <mergeCell ref="V179:V184"/>
    <mergeCell ref="M179:M184"/>
    <mergeCell ref="N179:N184"/>
    <mergeCell ref="O179:O184"/>
    <mergeCell ref="P179:P184"/>
    <mergeCell ref="Q179:Q184"/>
    <mergeCell ref="R179:R184"/>
    <mergeCell ref="U171:U176"/>
    <mergeCell ref="V171:V176"/>
    <mergeCell ref="A177:V177"/>
    <mergeCell ref="A178:A184"/>
    <mergeCell ref="B178:V178"/>
    <mergeCell ref="B179:B184"/>
    <mergeCell ref="C179:H179"/>
    <mergeCell ref="J179:J184"/>
    <mergeCell ref="K179:K184"/>
    <mergeCell ref="L179:L184"/>
    <mergeCell ref="O171:O176"/>
    <mergeCell ref="P171:P176"/>
    <mergeCell ref="Q171:Q176"/>
    <mergeCell ref="R171:R176"/>
    <mergeCell ref="S171:S176"/>
    <mergeCell ref="T171:T176"/>
    <mergeCell ref="O971:O976"/>
    <mergeCell ref="P971:P976"/>
    <mergeCell ref="Q971:Q976"/>
    <mergeCell ref="R971:R976"/>
    <mergeCell ref="B967:C967"/>
    <mergeCell ref="A169:V169"/>
    <mergeCell ref="A170:A176"/>
    <mergeCell ref="B170:V170"/>
    <mergeCell ref="B171:B176"/>
    <mergeCell ref="C171:H171"/>
    <mergeCell ref="J171:J176"/>
    <mergeCell ref="K171:K176"/>
    <mergeCell ref="L171:L176"/>
    <mergeCell ref="O979:O984"/>
    <mergeCell ref="P979:P984"/>
    <mergeCell ref="Q979:Q984"/>
    <mergeCell ref="R979:R984"/>
    <mergeCell ref="S979:S984"/>
    <mergeCell ref="T979:T984"/>
    <mergeCell ref="A977:V977"/>
    <mergeCell ref="A978:A984"/>
    <mergeCell ref="B978:V978"/>
    <mergeCell ref="B979:B984"/>
    <mergeCell ref="C979:H979"/>
    <mergeCell ref="J979:J984"/>
    <mergeCell ref="K979:K984"/>
    <mergeCell ref="L979:L984"/>
    <mergeCell ref="M979:M984"/>
    <mergeCell ref="N979:N984"/>
    <mergeCell ref="S971:S976"/>
    <mergeCell ref="T971:T976"/>
    <mergeCell ref="U971:U976"/>
    <mergeCell ref="V971:V976"/>
    <mergeCell ref="U979:U984"/>
    <mergeCell ref="V979:V984"/>
    <mergeCell ref="U845:U850"/>
    <mergeCell ref="N971:N976"/>
    <mergeCell ref="A1058:C1058"/>
    <mergeCell ref="A1059:C1059"/>
    <mergeCell ref="A1060:C1060"/>
    <mergeCell ref="A1061:C1061"/>
    <mergeCell ref="A1025:V1025"/>
    <mergeCell ref="A1026:A1032"/>
    <mergeCell ref="B1026:V1026"/>
    <mergeCell ref="B1027:B1032"/>
    <mergeCell ref="C1027:H1027"/>
    <mergeCell ref="J1027:J1032"/>
    <mergeCell ref="T1041:T1046"/>
    <mergeCell ref="U1041:U1046"/>
    <mergeCell ref="V1041:V1046"/>
    <mergeCell ref="A1055:V1055"/>
    <mergeCell ref="A1056:C1056"/>
    <mergeCell ref="A1057:C1057"/>
    <mergeCell ref="N1041:N1046"/>
    <mergeCell ref="O1041:O1046"/>
    <mergeCell ref="P1041:P1046"/>
    <mergeCell ref="Q1041:Q1046"/>
    <mergeCell ref="R1041:R1046"/>
    <mergeCell ref="S1041:S1046"/>
    <mergeCell ref="B1038:C1038"/>
    <mergeCell ref="A1039:V1039"/>
    <mergeCell ref="A1040:A1046"/>
    <mergeCell ref="B1040:V1040"/>
    <mergeCell ref="B1041:B1046"/>
    <mergeCell ref="C1041:H1041"/>
    <mergeCell ref="J1041:J1046"/>
    <mergeCell ref="K1041:K1046"/>
    <mergeCell ref="L1041:L1046"/>
    <mergeCell ref="M1041:M1046"/>
    <mergeCell ref="A1033:A1038"/>
    <mergeCell ref="B1033:V1033"/>
    <mergeCell ref="B1034:C1034"/>
    <mergeCell ref="B1035:C1035"/>
    <mergeCell ref="B1036:C1036"/>
    <mergeCell ref="B1037:C1037"/>
    <mergeCell ref="M1018:M1024"/>
    <mergeCell ref="N1018:N1024"/>
    <mergeCell ref="O1018:O1024"/>
    <mergeCell ref="P1018:P1024"/>
    <mergeCell ref="Q1018:Q1024"/>
    <mergeCell ref="R1018:R1024"/>
    <mergeCell ref="Q1027:Q1032"/>
    <mergeCell ref="R1027:R1032"/>
    <mergeCell ref="S1027:S1032"/>
    <mergeCell ref="T1027:T1032"/>
    <mergeCell ref="U1027:U1032"/>
    <mergeCell ref="V1027:V1032"/>
    <mergeCell ref="K1027:K1032"/>
    <mergeCell ref="L1027:L1032"/>
    <mergeCell ref="M1027:M1032"/>
    <mergeCell ref="N1027:N1032"/>
    <mergeCell ref="O1027:O1032"/>
    <mergeCell ref="P1027:P1032"/>
    <mergeCell ref="U1010:U1015"/>
    <mergeCell ref="V1010:V1015"/>
    <mergeCell ref="A1016:V1016"/>
    <mergeCell ref="A1017:A1024"/>
    <mergeCell ref="B1017:V1017"/>
    <mergeCell ref="B1018:B1024"/>
    <mergeCell ref="C1018:H1018"/>
    <mergeCell ref="J1018:J1024"/>
    <mergeCell ref="K1018:K1024"/>
    <mergeCell ref="L1018:L1024"/>
    <mergeCell ref="O1010:O1015"/>
    <mergeCell ref="P1010:P1015"/>
    <mergeCell ref="Q1010:Q1015"/>
    <mergeCell ref="R1010:R1015"/>
    <mergeCell ref="S1010:S1015"/>
    <mergeCell ref="T1010:T1015"/>
    <mergeCell ref="A1008:V1008"/>
    <mergeCell ref="A1009:A1015"/>
    <mergeCell ref="B1009:V1009"/>
    <mergeCell ref="B1010:B1015"/>
    <mergeCell ref="C1010:H1010"/>
    <mergeCell ref="J1010:J1015"/>
    <mergeCell ref="K1010:K1015"/>
    <mergeCell ref="L1010:L1015"/>
    <mergeCell ref="M1010:M1015"/>
    <mergeCell ref="N1010:N1015"/>
    <mergeCell ref="S1018:S1024"/>
    <mergeCell ref="T1018:T1024"/>
    <mergeCell ref="U1018:U1024"/>
    <mergeCell ref="V1018:V1024"/>
    <mergeCell ref="A1001:A1007"/>
    <mergeCell ref="B1001:V1001"/>
    <mergeCell ref="B1002:C1002"/>
    <mergeCell ref="B1003:C1003"/>
    <mergeCell ref="B1004:C1004"/>
    <mergeCell ref="B1005:C1005"/>
    <mergeCell ref="B1006:C1006"/>
    <mergeCell ref="B1007:C1007"/>
    <mergeCell ref="Q995:Q1000"/>
    <mergeCell ref="R995:R1000"/>
    <mergeCell ref="S995:S1000"/>
    <mergeCell ref="T995:T1000"/>
    <mergeCell ref="U995:U1000"/>
    <mergeCell ref="V995:V1000"/>
    <mergeCell ref="K995:K1000"/>
    <mergeCell ref="L995:L1000"/>
    <mergeCell ref="M995:M1000"/>
    <mergeCell ref="N995:N1000"/>
    <mergeCell ref="O995:O1000"/>
    <mergeCell ref="P995:P1000"/>
    <mergeCell ref="A994:A1000"/>
    <mergeCell ref="B994:V994"/>
    <mergeCell ref="B995:B1000"/>
    <mergeCell ref="C995:H995"/>
    <mergeCell ref="J995:J1000"/>
    <mergeCell ref="B968:C968"/>
    <mergeCell ref="A969:V969"/>
    <mergeCell ref="A970:A976"/>
    <mergeCell ref="B970:V970"/>
    <mergeCell ref="B971:B976"/>
    <mergeCell ref="C971:H971"/>
    <mergeCell ref="J971:J976"/>
    <mergeCell ref="K971:K976"/>
    <mergeCell ref="L971:L976"/>
    <mergeCell ref="R861:R866"/>
    <mergeCell ref="S861:S866"/>
    <mergeCell ref="T861:T866"/>
    <mergeCell ref="U861:U866"/>
    <mergeCell ref="V861:V866"/>
    <mergeCell ref="A963:A968"/>
    <mergeCell ref="B963:V963"/>
    <mergeCell ref="B964:C964"/>
    <mergeCell ref="B965:C965"/>
    <mergeCell ref="B966:C966"/>
    <mergeCell ref="L861:L866"/>
    <mergeCell ref="M861:M866"/>
    <mergeCell ref="N861:N866"/>
    <mergeCell ref="O861:O866"/>
    <mergeCell ref="P861:P866"/>
    <mergeCell ref="Q861:Q866"/>
    <mergeCell ref="A867:V867"/>
    <mergeCell ref="A868:A874"/>
    <mergeCell ref="B868:V868"/>
    <mergeCell ref="B869:B874"/>
    <mergeCell ref="C869:H869"/>
    <mergeCell ref="J869:J874"/>
    <mergeCell ref="K869:K874"/>
    <mergeCell ref="Q837:Q842"/>
    <mergeCell ref="T853:T858"/>
    <mergeCell ref="U853:U858"/>
    <mergeCell ref="V853:V858"/>
    <mergeCell ref="A859:V859"/>
    <mergeCell ref="A860:A866"/>
    <mergeCell ref="B860:V860"/>
    <mergeCell ref="B861:B866"/>
    <mergeCell ref="C861:H861"/>
    <mergeCell ref="J861:J866"/>
    <mergeCell ref="K861:K866"/>
    <mergeCell ref="N853:N858"/>
    <mergeCell ref="O853:O858"/>
    <mergeCell ref="P853:P858"/>
    <mergeCell ref="Q853:Q858"/>
    <mergeCell ref="R853:R858"/>
    <mergeCell ref="S853:S858"/>
    <mergeCell ref="V845:V850"/>
    <mergeCell ref="A851:V851"/>
    <mergeCell ref="A852:A858"/>
    <mergeCell ref="B852:V852"/>
    <mergeCell ref="B853:B858"/>
    <mergeCell ref="C853:H853"/>
    <mergeCell ref="J853:J858"/>
    <mergeCell ref="K853:K858"/>
    <mergeCell ref="L853:L858"/>
    <mergeCell ref="M853:M858"/>
    <mergeCell ref="P845:P850"/>
    <mergeCell ref="Q845:Q850"/>
    <mergeCell ref="R845:R850"/>
    <mergeCell ref="S845:S850"/>
    <mergeCell ref="T845:T850"/>
    <mergeCell ref="C829:H829"/>
    <mergeCell ref="J829:J834"/>
    <mergeCell ref="K829:K834"/>
    <mergeCell ref="L829:L834"/>
    <mergeCell ref="M829:M834"/>
    <mergeCell ref="P821:P826"/>
    <mergeCell ref="Q821:Q826"/>
    <mergeCell ref="R821:R826"/>
    <mergeCell ref="S821:S826"/>
    <mergeCell ref="T821:T826"/>
    <mergeCell ref="U821:U826"/>
    <mergeCell ref="A844:A850"/>
    <mergeCell ref="B844:V844"/>
    <mergeCell ref="B845:B850"/>
    <mergeCell ref="C845:H845"/>
    <mergeCell ref="J845:J850"/>
    <mergeCell ref="K845:K850"/>
    <mergeCell ref="L845:L850"/>
    <mergeCell ref="M845:M850"/>
    <mergeCell ref="N845:N850"/>
    <mergeCell ref="O845:O850"/>
    <mergeCell ref="R837:R842"/>
    <mergeCell ref="S837:S842"/>
    <mergeCell ref="T837:T842"/>
    <mergeCell ref="U837:U842"/>
    <mergeCell ref="V837:V842"/>
    <mergeCell ref="A843:V843"/>
    <mergeCell ref="L837:L842"/>
    <mergeCell ref="M837:M842"/>
    <mergeCell ref="N837:N842"/>
    <mergeCell ref="O837:O842"/>
    <mergeCell ref="P837:P842"/>
    <mergeCell ref="A820:A826"/>
    <mergeCell ref="B820:V820"/>
    <mergeCell ref="B821:B826"/>
    <mergeCell ref="C821:H821"/>
    <mergeCell ref="J821:J826"/>
    <mergeCell ref="K821:K826"/>
    <mergeCell ref="L821:L826"/>
    <mergeCell ref="M821:M826"/>
    <mergeCell ref="N821:N826"/>
    <mergeCell ref="O821:O826"/>
    <mergeCell ref="A819:V819"/>
    <mergeCell ref="T829:T834"/>
    <mergeCell ref="U829:U834"/>
    <mergeCell ref="V829:V834"/>
    <mergeCell ref="A835:V835"/>
    <mergeCell ref="A836:A842"/>
    <mergeCell ref="B836:V836"/>
    <mergeCell ref="B837:B842"/>
    <mergeCell ref="C837:H837"/>
    <mergeCell ref="J837:J842"/>
    <mergeCell ref="K837:K842"/>
    <mergeCell ref="N829:N834"/>
    <mergeCell ref="O829:O834"/>
    <mergeCell ref="P829:P834"/>
    <mergeCell ref="Q829:Q834"/>
    <mergeCell ref="R829:R834"/>
    <mergeCell ref="S829:S834"/>
    <mergeCell ref="V821:V826"/>
    <mergeCell ref="A827:V827"/>
    <mergeCell ref="A828:A834"/>
    <mergeCell ref="B828:V828"/>
    <mergeCell ref="B829:B834"/>
    <mergeCell ref="T813:T818"/>
    <mergeCell ref="U813:U818"/>
    <mergeCell ref="V813:V818"/>
    <mergeCell ref="N813:N818"/>
    <mergeCell ref="O813:O818"/>
    <mergeCell ref="P813:P818"/>
    <mergeCell ref="Q813:Q818"/>
    <mergeCell ref="R813:R818"/>
    <mergeCell ref="S813:S818"/>
    <mergeCell ref="V805:V810"/>
    <mergeCell ref="A811:V811"/>
    <mergeCell ref="A812:A818"/>
    <mergeCell ref="B812:V812"/>
    <mergeCell ref="B813:B818"/>
    <mergeCell ref="C813:H813"/>
    <mergeCell ref="J813:J818"/>
    <mergeCell ref="K813:K818"/>
    <mergeCell ref="L813:L818"/>
    <mergeCell ref="M813:M818"/>
    <mergeCell ref="P805:P810"/>
    <mergeCell ref="Q805:Q810"/>
    <mergeCell ref="R805:R810"/>
    <mergeCell ref="S805:S810"/>
    <mergeCell ref="T805:T810"/>
    <mergeCell ref="U805:U810"/>
    <mergeCell ref="A804:A810"/>
    <mergeCell ref="B804:V804"/>
    <mergeCell ref="B805:B810"/>
    <mergeCell ref="C805:H805"/>
    <mergeCell ref="J805:J810"/>
    <mergeCell ref="K805:K810"/>
    <mergeCell ref="L805:L810"/>
    <mergeCell ref="M805:M810"/>
    <mergeCell ref="N805:N810"/>
    <mergeCell ref="O805:O810"/>
    <mergeCell ref="R797:R802"/>
    <mergeCell ref="S797:S802"/>
    <mergeCell ref="T797:T802"/>
    <mergeCell ref="U797:U802"/>
    <mergeCell ref="V797:V802"/>
    <mergeCell ref="A803:V803"/>
    <mergeCell ref="L797:L802"/>
    <mergeCell ref="M797:M802"/>
    <mergeCell ref="N797:N802"/>
    <mergeCell ref="O797:O802"/>
    <mergeCell ref="P797:P802"/>
    <mergeCell ref="Q797:Q802"/>
    <mergeCell ref="T789:T794"/>
    <mergeCell ref="U789:U794"/>
    <mergeCell ref="V789:V794"/>
    <mergeCell ref="A795:V795"/>
    <mergeCell ref="A796:A802"/>
    <mergeCell ref="B796:V796"/>
    <mergeCell ref="B797:B802"/>
    <mergeCell ref="C797:H797"/>
    <mergeCell ref="J797:J802"/>
    <mergeCell ref="K797:K802"/>
    <mergeCell ref="N789:N794"/>
    <mergeCell ref="O789:O794"/>
    <mergeCell ref="P789:P794"/>
    <mergeCell ref="Q789:Q794"/>
    <mergeCell ref="R789:R794"/>
    <mergeCell ref="S789:S794"/>
    <mergeCell ref="V781:V786"/>
    <mergeCell ref="A787:V787"/>
    <mergeCell ref="A788:A794"/>
    <mergeCell ref="B788:V788"/>
    <mergeCell ref="B789:B794"/>
    <mergeCell ref="C789:H789"/>
    <mergeCell ref="J789:J794"/>
    <mergeCell ref="K789:K794"/>
    <mergeCell ref="L789:L794"/>
    <mergeCell ref="M789:M794"/>
    <mergeCell ref="P781:P786"/>
    <mergeCell ref="Q781:Q786"/>
    <mergeCell ref="R781:R786"/>
    <mergeCell ref="S781:S786"/>
    <mergeCell ref="T781:T786"/>
    <mergeCell ref="U781:U786"/>
    <mergeCell ref="A780:A786"/>
    <mergeCell ref="B780:V780"/>
    <mergeCell ref="B781:B786"/>
    <mergeCell ref="C781:H781"/>
    <mergeCell ref="J781:J786"/>
    <mergeCell ref="K781:K786"/>
    <mergeCell ref="L781:L786"/>
    <mergeCell ref="M781:M786"/>
    <mergeCell ref="N781:N786"/>
    <mergeCell ref="O781:O786"/>
    <mergeCell ref="R773:R778"/>
    <mergeCell ref="S773:S778"/>
    <mergeCell ref="T773:T778"/>
    <mergeCell ref="U773:U778"/>
    <mergeCell ref="V773:V778"/>
    <mergeCell ref="A779:V779"/>
    <mergeCell ref="L773:L778"/>
    <mergeCell ref="M773:M778"/>
    <mergeCell ref="N773:N778"/>
    <mergeCell ref="O773:O778"/>
    <mergeCell ref="P773:P778"/>
    <mergeCell ref="Q773:Q778"/>
    <mergeCell ref="A771:V771"/>
    <mergeCell ref="A772:A778"/>
    <mergeCell ref="B772:V772"/>
    <mergeCell ref="B773:B778"/>
    <mergeCell ref="C773:H773"/>
    <mergeCell ref="J773:J778"/>
    <mergeCell ref="K773:K778"/>
    <mergeCell ref="V765:V770"/>
    <mergeCell ref="P765:P770"/>
    <mergeCell ref="Q765:Q770"/>
    <mergeCell ref="R765:R770"/>
    <mergeCell ref="S765:S770"/>
    <mergeCell ref="T765:T770"/>
    <mergeCell ref="U765:U770"/>
    <mergeCell ref="A764:A770"/>
    <mergeCell ref="B764:V764"/>
    <mergeCell ref="B765:B770"/>
    <mergeCell ref="C765:H765"/>
    <mergeCell ref="J765:J770"/>
    <mergeCell ref="K765:K770"/>
    <mergeCell ref="L765:L770"/>
    <mergeCell ref="M765:M770"/>
    <mergeCell ref="N765:N770"/>
    <mergeCell ref="O765:O770"/>
    <mergeCell ref="R757:R762"/>
    <mergeCell ref="S757:S762"/>
    <mergeCell ref="T757:T762"/>
    <mergeCell ref="U757:U762"/>
    <mergeCell ref="V757:V762"/>
    <mergeCell ref="A763:V763"/>
    <mergeCell ref="L757:L762"/>
    <mergeCell ref="M757:M762"/>
    <mergeCell ref="N757:N762"/>
    <mergeCell ref="O757:O762"/>
    <mergeCell ref="P757:P762"/>
    <mergeCell ref="Q757:Q762"/>
    <mergeCell ref="T749:T754"/>
    <mergeCell ref="U749:U754"/>
    <mergeCell ref="V749:V754"/>
    <mergeCell ref="A755:V755"/>
    <mergeCell ref="A756:A762"/>
    <mergeCell ref="B756:V756"/>
    <mergeCell ref="B757:B762"/>
    <mergeCell ref="C757:H757"/>
    <mergeCell ref="J757:J762"/>
    <mergeCell ref="K757:K762"/>
    <mergeCell ref="N749:N754"/>
    <mergeCell ref="O749:O754"/>
    <mergeCell ref="P749:P754"/>
    <mergeCell ref="Q749:Q754"/>
    <mergeCell ref="R749:R754"/>
    <mergeCell ref="S749:S754"/>
    <mergeCell ref="B746:C746"/>
    <mergeCell ref="A747:V747"/>
    <mergeCell ref="A748:A754"/>
    <mergeCell ref="B748:V748"/>
    <mergeCell ref="B749:B754"/>
    <mergeCell ref="C749:H749"/>
    <mergeCell ref="J749:J754"/>
    <mergeCell ref="K749:K754"/>
    <mergeCell ref="L749:L754"/>
    <mergeCell ref="M749:M754"/>
    <mergeCell ref="S727:S732"/>
    <mergeCell ref="T727:T732"/>
    <mergeCell ref="U727:U732"/>
    <mergeCell ref="V727:V732"/>
    <mergeCell ref="A741:A746"/>
    <mergeCell ref="B741:V741"/>
    <mergeCell ref="B742:C742"/>
    <mergeCell ref="B743:C743"/>
    <mergeCell ref="B744:C744"/>
    <mergeCell ref="B745:C745"/>
    <mergeCell ref="M727:M732"/>
    <mergeCell ref="N727:N732"/>
    <mergeCell ref="O727:O732"/>
    <mergeCell ref="P727:P732"/>
    <mergeCell ref="Q727:Q732"/>
    <mergeCell ref="R727:R732"/>
    <mergeCell ref="A726:A732"/>
    <mergeCell ref="B726:V726"/>
    <mergeCell ref="B727:B732"/>
    <mergeCell ref="C727:H727"/>
    <mergeCell ref="J727:J732"/>
    <mergeCell ref="K727:K732"/>
    <mergeCell ref="A725:V725"/>
    <mergeCell ref="V665:V670"/>
    <mergeCell ref="A671:V671"/>
    <mergeCell ref="A672:A678"/>
    <mergeCell ref="B672:V672"/>
    <mergeCell ref="C673:H673"/>
    <mergeCell ref="J673:J678"/>
    <mergeCell ref="K673:K678"/>
    <mergeCell ref="L673:L678"/>
    <mergeCell ref="M673:M678"/>
    <mergeCell ref="N673:N678"/>
    <mergeCell ref="O673:O678"/>
    <mergeCell ref="P673:P678"/>
    <mergeCell ref="Q673:Q678"/>
    <mergeCell ref="R673:R678"/>
    <mergeCell ref="S673:S678"/>
    <mergeCell ref="T673:T678"/>
    <mergeCell ref="A711:V711"/>
    <mergeCell ref="A712:A718"/>
    <mergeCell ref="B712:V712"/>
    <mergeCell ref="B713:B718"/>
    <mergeCell ref="C713:H713"/>
    <mergeCell ref="U673:U678"/>
    <mergeCell ref="V673:V678"/>
    <mergeCell ref="B673:B678"/>
    <mergeCell ref="N681:N686"/>
    <mergeCell ref="O681:O686"/>
    <mergeCell ref="P681:P686"/>
    <mergeCell ref="Q681:Q686"/>
    <mergeCell ref="R681:R686"/>
    <mergeCell ref="S681:S686"/>
    <mergeCell ref="T681:T686"/>
    <mergeCell ref="A655:V655"/>
    <mergeCell ref="A656:A662"/>
    <mergeCell ref="B656:V656"/>
    <mergeCell ref="B657:B662"/>
    <mergeCell ref="C657:H657"/>
    <mergeCell ref="J657:J662"/>
    <mergeCell ref="K657:K662"/>
    <mergeCell ref="L657:L662"/>
    <mergeCell ref="M657:M662"/>
    <mergeCell ref="N657:N662"/>
    <mergeCell ref="U657:U662"/>
    <mergeCell ref="V657:V662"/>
    <mergeCell ref="A719:A724"/>
    <mergeCell ref="B719:V719"/>
    <mergeCell ref="B720:C720"/>
    <mergeCell ref="B721:C721"/>
    <mergeCell ref="B722:C722"/>
    <mergeCell ref="B723:C723"/>
    <mergeCell ref="B724:C724"/>
    <mergeCell ref="O657:O662"/>
    <mergeCell ref="P657:P662"/>
    <mergeCell ref="Q657:Q662"/>
    <mergeCell ref="R657:R662"/>
    <mergeCell ref="S657:S662"/>
    <mergeCell ref="T657:T662"/>
    <mergeCell ref="A663:V663"/>
    <mergeCell ref="A664:A670"/>
    <mergeCell ref="B664:V664"/>
    <mergeCell ref="B665:B670"/>
    <mergeCell ref="C665:H665"/>
    <mergeCell ref="J665:J670"/>
    <mergeCell ref="K665:K670"/>
    <mergeCell ref="S649:S654"/>
    <mergeCell ref="T649:T654"/>
    <mergeCell ref="U649:U654"/>
    <mergeCell ref="V649:V654"/>
    <mergeCell ref="M649:M654"/>
    <mergeCell ref="N649:N654"/>
    <mergeCell ref="O649:O654"/>
    <mergeCell ref="P649:P654"/>
    <mergeCell ref="Q649:Q654"/>
    <mergeCell ref="R649:R654"/>
    <mergeCell ref="U641:U646"/>
    <mergeCell ref="V641:V646"/>
    <mergeCell ref="A647:V647"/>
    <mergeCell ref="A648:A654"/>
    <mergeCell ref="B648:V648"/>
    <mergeCell ref="B649:B654"/>
    <mergeCell ref="C649:H649"/>
    <mergeCell ref="J649:J654"/>
    <mergeCell ref="K649:K654"/>
    <mergeCell ref="L649:L654"/>
    <mergeCell ref="O641:O646"/>
    <mergeCell ref="P641:P646"/>
    <mergeCell ref="Q641:Q646"/>
    <mergeCell ref="R641:R646"/>
    <mergeCell ref="S641:S646"/>
    <mergeCell ref="T641:T646"/>
    <mergeCell ref="A639:V639"/>
    <mergeCell ref="A640:A646"/>
    <mergeCell ref="B640:V640"/>
    <mergeCell ref="B641:B646"/>
    <mergeCell ref="C641:H641"/>
    <mergeCell ref="J641:J646"/>
    <mergeCell ref="K641:K646"/>
    <mergeCell ref="L641:L646"/>
    <mergeCell ref="M641:M646"/>
    <mergeCell ref="N641:N646"/>
    <mergeCell ref="Q633:Q638"/>
    <mergeCell ref="R633:R638"/>
    <mergeCell ref="S633:S638"/>
    <mergeCell ref="T633:T638"/>
    <mergeCell ref="U633:U638"/>
    <mergeCell ref="V633:V638"/>
    <mergeCell ref="K633:K638"/>
    <mergeCell ref="L633:L638"/>
    <mergeCell ref="M633:M638"/>
    <mergeCell ref="N633:N638"/>
    <mergeCell ref="O633:O638"/>
    <mergeCell ref="P633:P638"/>
    <mergeCell ref="A632:A638"/>
    <mergeCell ref="B632:V632"/>
    <mergeCell ref="B633:B638"/>
    <mergeCell ref="C633:H633"/>
    <mergeCell ref="J633:J638"/>
    <mergeCell ref="L625:L630"/>
    <mergeCell ref="Q617:Q622"/>
    <mergeCell ref="R617:R622"/>
    <mergeCell ref="S617:S622"/>
    <mergeCell ref="T617:T622"/>
    <mergeCell ref="U617:U622"/>
    <mergeCell ref="V617:V622"/>
    <mergeCell ref="K617:K622"/>
    <mergeCell ref="L617:L622"/>
    <mergeCell ref="M617:M622"/>
    <mergeCell ref="N617:N622"/>
    <mergeCell ref="O617:O622"/>
    <mergeCell ref="P617:P622"/>
    <mergeCell ref="S625:S630"/>
    <mergeCell ref="T625:T630"/>
    <mergeCell ref="U625:U630"/>
    <mergeCell ref="V625:V630"/>
    <mergeCell ref="M600:M606"/>
    <mergeCell ref="N600:N606"/>
    <mergeCell ref="A631:V631"/>
    <mergeCell ref="S609:S614"/>
    <mergeCell ref="T609:T614"/>
    <mergeCell ref="U609:U614"/>
    <mergeCell ref="V609:V614"/>
    <mergeCell ref="A615:V615"/>
    <mergeCell ref="A616:A622"/>
    <mergeCell ref="B616:V616"/>
    <mergeCell ref="B617:B622"/>
    <mergeCell ref="C617:H617"/>
    <mergeCell ref="J617:J622"/>
    <mergeCell ref="M609:M614"/>
    <mergeCell ref="N609:N614"/>
    <mergeCell ref="O609:O614"/>
    <mergeCell ref="P609:P614"/>
    <mergeCell ref="Q609:Q614"/>
    <mergeCell ref="R609:R614"/>
    <mergeCell ref="M625:M630"/>
    <mergeCell ref="N625:N630"/>
    <mergeCell ref="O625:O630"/>
    <mergeCell ref="P625:P630"/>
    <mergeCell ref="Q625:Q630"/>
    <mergeCell ref="R625:R630"/>
    <mergeCell ref="A623:V623"/>
    <mergeCell ref="A624:A630"/>
    <mergeCell ref="B624:V624"/>
    <mergeCell ref="B625:B630"/>
    <mergeCell ref="C625:H625"/>
    <mergeCell ref="J625:J630"/>
    <mergeCell ref="K625:K630"/>
    <mergeCell ref="A591:A597"/>
    <mergeCell ref="B591:V591"/>
    <mergeCell ref="B592:C592"/>
    <mergeCell ref="B593:C593"/>
    <mergeCell ref="B594:C594"/>
    <mergeCell ref="B596:C596"/>
    <mergeCell ref="B597:C597"/>
    <mergeCell ref="B595:C595"/>
    <mergeCell ref="U600:U606"/>
    <mergeCell ref="V600:V606"/>
    <mergeCell ref="A607:V607"/>
    <mergeCell ref="A608:A614"/>
    <mergeCell ref="B608:V608"/>
    <mergeCell ref="B609:B614"/>
    <mergeCell ref="C609:H609"/>
    <mergeCell ref="J609:J614"/>
    <mergeCell ref="K609:K614"/>
    <mergeCell ref="L609:L614"/>
    <mergeCell ref="O600:O606"/>
    <mergeCell ref="P600:P606"/>
    <mergeCell ref="Q600:Q606"/>
    <mergeCell ref="R600:R606"/>
    <mergeCell ref="S600:S606"/>
    <mergeCell ref="T600:T606"/>
    <mergeCell ref="A598:V598"/>
    <mergeCell ref="A599:A606"/>
    <mergeCell ref="B599:V599"/>
    <mergeCell ref="B600:B606"/>
    <mergeCell ref="C600:H600"/>
    <mergeCell ref="J600:J606"/>
    <mergeCell ref="K600:K606"/>
    <mergeCell ref="L600:L606"/>
    <mergeCell ref="Q584:Q590"/>
    <mergeCell ref="R584:R590"/>
    <mergeCell ref="S584:S590"/>
    <mergeCell ref="T584:T590"/>
    <mergeCell ref="U584:U590"/>
    <mergeCell ref="V584:V590"/>
    <mergeCell ref="K584:K590"/>
    <mergeCell ref="L584:L590"/>
    <mergeCell ref="M584:M590"/>
    <mergeCell ref="N584:N590"/>
    <mergeCell ref="O584:O590"/>
    <mergeCell ref="P584:P590"/>
    <mergeCell ref="S576:S581"/>
    <mergeCell ref="T576:T581"/>
    <mergeCell ref="U576:U581"/>
    <mergeCell ref="V576:V581"/>
    <mergeCell ref="A582:V582"/>
    <mergeCell ref="A583:A590"/>
    <mergeCell ref="B583:V583"/>
    <mergeCell ref="B584:B590"/>
    <mergeCell ref="C584:H584"/>
    <mergeCell ref="J584:J590"/>
    <mergeCell ref="M576:M581"/>
    <mergeCell ref="N576:N581"/>
    <mergeCell ref="O576:O581"/>
    <mergeCell ref="P576:P581"/>
    <mergeCell ref="Q576:Q581"/>
    <mergeCell ref="R576:R581"/>
    <mergeCell ref="U568:U573"/>
    <mergeCell ref="V568:V573"/>
    <mergeCell ref="A574:V574"/>
    <mergeCell ref="A575:A581"/>
    <mergeCell ref="B575:V575"/>
    <mergeCell ref="B576:B581"/>
    <mergeCell ref="C576:H576"/>
    <mergeCell ref="J576:J581"/>
    <mergeCell ref="K576:K581"/>
    <mergeCell ref="L576:L581"/>
    <mergeCell ref="O568:O573"/>
    <mergeCell ref="P568:P573"/>
    <mergeCell ref="Q568:Q573"/>
    <mergeCell ref="R568:R573"/>
    <mergeCell ref="S568:S573"/>
    <mergeCell ref="T568:T573"/>
    <mergeCell ref="A566:V566"/>
    <mergeCell ref="A567:A573"/>
    <mergeCell ref="B567:V567"/>
    <mergeCell ref="B568:B573"/>
    <mergeCell ref="C568:H568"/>
    <mergeCell ref="J568:J573"/>
    <mergeCell ref="K568:K573"/>
    <mergeCell ref="L568:L573"/>
    <mergeCell ref="M568:M573"/>
    <mergeCell ref="N568:N573"/>
    <mergeCell ref="U553:U558"/>
    <mergeCell ref="V553:V558"/>
    <mergeCell ref="A559:A565"/>
    <mergeCell ref="B559:V559"/>
    <mergeCell ref="B560:C560"/>
    <mergeCell ref="B561:C561"/>
    <mergeCell ref="B562:C562"/>
    <mergeCell ref="B563:C563"/>
    <mergeCell ref="B564:C564"/>
    <mergeCell ref="B565:C565"/>
    <mergeCell ref="O553:O558"/>
    <mergeCell ref="P553:P558"/>
    <mergeCell ref="Q553:Q558"/>
    <mergeCell ref="R553:R558"/>
    <mergeCell ref="S553:S558"/>
    <mergeCell ref="T553:T558"/>
    <mergeCell ref="A551:V551"/>
    <mergeCell ref="A552:A558"/>
    <mergeCell ref="B552:V552"/>
    <mergeCell ref="B553:B558"/>
    <mergeCell ref="C553:H553"/>
    <mergeCell ref="J553:J558"/>
    <mergeCell ref="K553:K558"/>
    <mergeCell ref="L553:L558"/>
    <mergeCell ref="M553:M558"/>
    <mergeCell ref="N553:N558"/>
    <mergeCell ref="U531:U536"/>
    <mergeCell ref="V531:V536"/>
    <mergeCell ref="A545:A550"/>
    <mergeCell ref="B545:V545"/>
    <mergeCell ref="B546:C546"/>
    <mergeCell ref="B547:C547"/>
    <mergeCell ref="B548:C548"/>
    <mergeCell ref="B549:C549"/>
    <mergeCell ref="B550:C550"/>
    <mergeCell ref="O531:O536"/>
    <mergeCell ref="P531:P536"/>
    <mergeCell ref="Q531:Q536"/>
    <mergeCell ref="R531:R536"/>
    <mergeCell ref="S531:S536"/>
    <mergeCell ref="T531:T536"/>
    <mergeCell ref="A529:V529"/>
    <mergeCell ref="A530:A536"/>
    <mergeCell ref="B530:V530"/>
    <mergeCell ref="B531:B536"/>
    <mergeCell ref="C531:H531"/>
    <mergeCell ref="J531:J536"/>
    <mergeCell ref="K531:K536"/>
    <mergeCell ref="L531:L536"/>
    <mergeCell ref="M531:M536"/>
    <mergeCell ref="N531:N536"/>
    <mergeCell ref="A537:V537"/>
    <mergeCell ref="A538:A544"/>
    <mergeCell ref="B538:V538"/>
    <mergeCell ref="B539:B544"/>
    <mergeCell ref="C539:H539"/>
    <mergeCell ref="J539:J544"/>
    <mergeCell ref="K539:K544"/>
    <mergeCell ref="A523:A528"/>
    <mergeCell ref="B523:V523"/>
    <mergeCell ref="B524:C524"/>
    <mergeCell ref="B525:C525"/>
    <mergeCell ref="B526:C526"/>
    <mergeCell ref="B527:C527"/>
    <mergeCell ref="B528:C528"/>
    <mergeCell ref="Q485:Q490"/>
    <mergeCell ref="R485:R490"/>
    <mergeCell ref="S485:S490"/>
    <mergeCell ref="T485:T490"/>
    <mergeCell ref="U485:U490"/>
    <mergeCell ref="V485:V490"/>
    <mergeCell ref="K485:K490"/>
    <mergeCell ref="L485:L490"/>
    <mergeCell ref="M485:M490"/>
    <mergeCell ref="N485:N490"/>
    <mergeCell ref="O485:O490"/>
    <mergeCell ref="P485:P490"/>
    <mergeCell ref="A491:V491"/>
    <mergeCell ref="A492:A498"/>
    <mergeCell ref="B492:V492"/>
    <mergeCell ref="B493:B498"/>
    <mergeCell ref="C493:H493"/>
    <mergeCell ref="J493:J498"/>
    <mergeCell ref="K493:K498"/>
    <mergeCell ref="L493:L498"/>
    <mergeCell ref="M493:M498"/>
    <mergeCell ref="N493:N498"/>
    <mergeCell ref="O493:O498"/>
    <mergeCell ref="P493:P498"/>
    <mergeCell ref="Q493:Q498"/>
    <mergeCell ref="S477:S482"/>
    <mergeCell ref="T477:T482"/>
    <mergeCell ref="U477:U482"/>
    <mergeCell ref="V477:V482"/>
    <mergeCell ref="A483:V483"/>
    <mergeCell ref="A484:A490"/>
    <mergeCell ref="B484:V484"/>
    <mergeCell ref="B485:B490"/>
    <mergeCell ref="C485:H485"/>
    <mergeCell ref="J485:J490"/>
    <mergeCell ref="M477:M482"/>
    <mergeCell ref="N477:N482"/>
    <mergeCell ref="O477:O482"/>
    <mergeCell ref="P477:P482"/>
    <mergeCell ref="Q477:Q482"/>
    <mergeCell ref="R477:R482"/>
    <mergeCell ref="U469:U474"/>
    <mergeCell ref="V469:V474"/>
    <mergeCell ref="A475:V475"/>
    <mergeCell ref="A476:A482"/>
    <mergeCell ref="B476:V476"/>
    <mergeCell ref="B477:B482"/>
    <mergeCell ref="C477:H477"/>
    <mergeCell ref="J477:J482"/>
    <mergeCell ref="K477:K482"/>
    <mergeCell ref="L477:L482"/>
    <mergeCell ref="O469:O474"/>
    <mergeCell ref="P469:P474"/>
    <mergeCell ref="Q469:Q474"/>
    <mergeCell ref="R469:R474"/>
    <mergeCell ref="S469:S474"/>
    <mergeCell ref="T469:T474"/>
    <mergeCell ref="B468:V468"/>
    <mergeCell ref="B469:B474"/>
    <mergeCell ref="C469:H469"/>
    <mergeCell ref="J469:J474"/>
    <mergeCell ref="K469:K474"/>
    <mergeCell ref="L469:L474"/>
    <mergeCell ref="M469:M474"/>
    <mergeCell ref="N469:N474"/>
    <mergeCell ref="T407:T412"/>
    <mergeCell ref="U407:U412"/>
    <mergeCell ref="V407:V412"/>
    <mergeCell ref="A421:A426"/>
    <mergeCell ref="B421:V421"/>
    <mergeCell ref="B422:C422"/>
    <mergeCell ref="B423:C423"/>
    <mergeCell ref="B424:C424"/>
    <mergeCell ref="B425:C425"/>
    <mergeCell ref="B426:C426"/>
    <mergeCell ref="N407:N412"/>
    <mergeCell ref="O407:O412"/>
    <mergeCell ref="P407:P412"/>
    <mergeCell ref="Q407:Q412"/>
    <mergeCell ref="R407:R412"/>
    <mergeCell ref="S407:S412"/>
    <mergeCell ref="A427:V427"/>
    <mergeCell ref="A428:A434"/>
    <mergeCell ref="B428:V428"/>
    <mergeCell ref="B429:B434"/>
    <mergeCell ref="C429:H429"/>
    <mergeCell ref="J429:J434"/>
    <mergeCell ref="K429:K434"/>
    <mergeCell ref="L429:L434"/>
    <mergeCell ref="V367:V372"/>
    <mergeCell ref="A405:V405"/>
    <mergeCell ref="A406:A412"/>
    <mergeCell ref="B406:V406"/>
    <mergeCell ref="B407:B412"/>
    <mergeCell ref="C407:H407"/>
    <mergeCell ref="J407:J412"/>
    <mergeCell ref="K407:K412"/>
    <mergeCell ref="L407:L412"/>
    <mergeCell ref="M407:M412"/>
    <mergeCell ref="P367:P372"/>
    <mergeCell ref="Q367:Q372"/>
    <mergeCell ref="R367:R372"/>
    <mergeCell ref="S367:S372"/>
    <mergeCell ref="T367:T372"/>
    <mergeCell ref="U367:U372"/>
    <mergeCell ref="A366:A372"/>
    <mergeCell ref="B366:V366"/>
    <mergeCell ref="B367:B372"/>
    <mergeCell ref="C367:H367"/>
    <mergeCell ref="J367:J372"/>
    <mergeCell ref="K367:K372"/>
    <mergeCell ref="L367:L372"/>
    <mergeCell ref="M367:M372"/>
    <mergeCell ref="N367:N372"/>
    <mergeCell ref="O367:O372"/>
    <mergeCell ref="A373:V373"/>
    <mergeCell ref="A374:A380"/>
    <mergeCell ref="B374:V374"/>
    <mergeCell ref="B375:B380"/>
    <mergeCell ref="C375:H375"/>
    <mergeCell ref="J375:J380"/>
    <mergeCell ref="R359:R364"/>
    <mergeCell ref="S359:S364"/>
    <mergeCell ref="T359:T364"/>
    <mergeCell ref="U359:U364"/>
    <mergeCell ref="V359:V364"/>
    <mergeCell ref="A365:V365"/>
    <mergeCell ref="L359:L364"/>
    <mergeCell ref="M359:M364"/>
    <mergeCell ref="N359:N364"/>
    <mergeCell ref="O359:O364"/>
    <mergeCell ref="P359:P364"/>
    <mergeCell ref="Q359:Q364"/>
    <mergeCell ref="T351:T356"/>
    <mergeCell ref="U351:U356"/>
    <mergeCell ref="V351:V356"/>
    <mergeCell ref="A357:V357"/>
    <mergeCell ref="A358:A364"/>
    <mergeCell ref="B358:V358"/>
    <mergeCell ref="B359:B364"/>
    <mergeCell ref="C359:H359"/>
    <mergeCell ref="J359:J364"/>
    <mergeCell ref="K359:K364"/>
    <mergeCell ref="N351:N356"/>
    <mergeCell ref="O351:O356"/>
    <mergeCell ref="P351:P356"/>
    <mergeCell ref="Q351:Q356"/>
    <mergeCell ref="R351:R356"/>
    <mergeCell ref="S351:S356"/>
    <mergeCell ref="A350:A356"/>
    <mergeCell ref="B350:V350"/>
    <mergeCell ref="B351:B356"/>
    <mergeCell ref="C351:H351"/>
    <mergeCell ref="P335:P340"/>
    <mergeCell ref="Q335:Q340"/>
    <mergeCell ref="A341:V341"/>
    <mergeCell ref="A342:A348"/>
    <mergeCell ref="B342:V342"/>
    <mergeCell ref="B343:B348"/>
    <mergeCell ref="C343:H343"/>
    <mergeCell ref="J343:J348"/>
    <mergeCell ref="K343:K348"/>
    <mergeCell ref="L343:L348"/>
    <mergeCell ref="M343:M348"/>
    <mergeCell ref="N343:N348"/>
    <mergeCell ref="O343:O348"/>
    <mergeCell ref="P343:P348"/>
    <mergeCell ref="Q343:Q348"/>
    <mergeCell ref="R343:R348"/>
    <mergeCell ref="S343:S348"/>
    <mergeCell ref="T343:T348"/>
    <mergeCell ref="U343:U348"/>
    <mergeCell ref="V343:V348"/>
    <mergeCell ref="K335:K340"/>
    <mergeCell ref="R335:R340"/>
    <mergeCell ref="S335:S340"/>
    <mergeCell ref="T335:T340"/>
    <mergeCell ref="U335:U340"/>
    <mergeCell ref="V335:V340"/>
    <mergeCell ref="L335:L340"/>
    <mergeCell ref="M335:M340"/>
    <mergeCell ref="N335:N340"/>
    <mergeCell ref="O335:O340"/>
    <mergeCell ref="V311:V316"/>
    <mergeCell ref="A325:V325"/>
    <mergeCell ref="A326:A332"/>
    <mergeCell ref="B326:V326"/>
    <mergeCell ref="B327:B332"/>
    <mergeCell ref="C327:H327"/>
    <mergeCell ref="J327:J332"/>
    <mergeCell ref="K327:K332"/>
    <mergeCell ref="L327:L332"/>
    <mergeCell ref="M327:M332"/>
    <mergeCell ref="P311:P316"/>
    <mergeCell ref="Q311:Q316"/>
    <mergeCell ref="R311:R316"/>
    <mergeCell ref="S311:S316"/>
    <mergeCell ref="T311:T316"/>
    <mergeCell ref="U311:U316"/>
    <mergeCell ref="A310:A316"/>
    <mergeCell ref="B310:V310"/>
    <mergeCell ref="B311:B316"/>
    <mergeCell ref="C311:H311"/>
    <mergeCell ref="J311:J316"/>
    <mergeCell ref="K311:K316"/>
    <mergeCell ref="L311:L316"/>
    <mergeCell ref="M311:M316"/>
    <mergeCell ref="N311:N316"/>
    <mergeCell ref="O311:O316"/>
    <mergeCell ref="B319:B324"/>
    <mergeCell ref="C319:H319"/>
    <mergeCell ref="J319:J324"/>
    <mergeCell ref="K319:K324"/>
    <mergeCell ref="L319:L324"/>
    <mergeCell ref="M319:M324"/>
    <mergeCell ref="R303:R308"/>
    <mergeCell ref="S303:S308"/>
    <mergeCell ref="T303:T308"/>
    <mergeCell ref="U303:U308"/>
    <mergeCell ref="V303:V308"/>
    <mergeCell ref="A309:V309"/>
    <mergeCell ref="L303:L308"/>
    <mergeCell ref="M303:M308"/>
    <mergeCell ref="N303:N308"/>
    <mergeCell ref="O303:O308"/>
    <mergeCell ref="P303:P308"/>
    <mergeCell ref="Q303:Q308"/>
    <mergeCell ref="T295:T300"/>
    <mergeCell ref="U295:U300"/>
    <mergeCell ref="V295:V300"/>
    <mergeCell ref="A301:V301"/>
    <mergeCell ref="A302:A308"/>
    <mergeCell ref="B302:V302"/>
    <mergeCell ref="B303:B308"/>
    <mergeCell ref="C303:H303"/>
    <mergeCell ref="J303:J308"/>
    <mergeCell ref="K303:K308"/>
    <mergeCell ref="N295:N300"/>
    <mergeCell ref="O295:O300"/>
    <mergeCell ref="P295:P300"/>
    <mergeCell ref="Q295:Q300"/>
    <mergeCell ref="R295:R300"/>
    <mergeCell ref="S295:S300"/>
    <mergeCell ref="V287:V292"/>
    <mergeCell ref="A293:V293"/>
    <mergeCell ref="A294:A300"/>
    <mergeCell ref="B294:V294"/>
    <mergeCell ref="B295:B300"/>
    <mergeCell ref="C295:H295"/>
    <mergeCell ref="J295:J300"/>
    <mergeCell ref="K295:K300"/>
    <mergeCell ref="L295:L300"/>
    <mergeCell ref="M295:M300"/>
    <mergeCell ref="P287:P292"/>
    <mergeCell ref="Q287:Q292"/>
    <mergeCell ref="R287:R292"/>
    <mergeCell ref="S287:S292"/>
    <mergeCell ref="T287:T292"/>
    <mergeCell ref="U287:U292"/>
    <mergeCell ref="A286:A292"/>
    <mergeCell ref="B286:V286"/>
    <mergeCell ref="B287:B292"/>
    <mergeCell ref="C287:H287"/>
    <mergeCell ref="J287:J292"/>
    <mergeCell ref="K287:K292"/>
    <mergeCell ref="L287:L292"/>
    <mergeCell ref="M287:M292"/>
    <mergeCell ref="N287:N292"/>
    <mergeCell ref="O287:O292"/>
    <mergeCell ref="C271:H271"/>
    <mergeCell ref="J271:J276"/>
    <mergeCell ref="K271:K276"/>
    <mergeCell ref="L271:L276"/>
    <mergeCell ref="M271:M276"/>
    <mergeCell ref="A263:A268"/>
    <mergeCell ref="B263:V263"/>
    <mergeCell ref="B264:C264"/>
    <mergeCell ref="B265:C265"/>
    <mergeCell ref="B266:C266"/>
    <mergeCell ref="B267:C267"/>
    <mergeCell ref="R279:R284"/>
    <mergeCell ref="S279:S284"/>
    <mergeCell ref="T279:T284"/>
    <mergeCell ref="U279:U284"/>
    <mergeCell ref="V279:V284"/>
    <mergeCell ref="A285:V285"/>
    <mergeCell ref="L279:L284"/>
    <mergeCell ref="M279:M284"/>
    <mergeCell ref="N279:N284"/>
    <mergeCell ref="O279:O284"/>
    <mergeCell ref="P279:P284"/>
    <mergeCell ref="Q279:Q284"/>
    <mergeCell ref="A277:V277"/>
    <mergeCell ref="A278:A284"/>
    <mergeCell ref="B278:V278"/>
    <mergeCell ref="B279:B284"/>
    <mergeCell ref="C279:H279"/>
    <mergeCell ref="J279:J284"/>
    <mergeCell ref="K279:K284"/>
    <mergeCell ref="U249:U254"/>
    <mergeCell ref="V249:V254"/>
    <mergeCell ref="O249:O254"/>
    <mergeCell ref="P249:P254"/>
    <mergeCell ref="Q249:Q254"/>
    <mergeCell ref="R249:R254"/>
    <mergeCell ref="S249:S254"/>
    <mergeCell ref="T249:T254"/>
    <mergeCell ref="T271:T276"/>
    <mergeCell ref="U271:U276"/>
    <mergeCell ref="V271:V276"/>
    <mergeCell ref="A247:V247"/>
    <mergeCell ref="A248:A254"/>
    <mergeCell ref="B248:V248"/>
    <mergeCell ref="B249:B254"/>
    <mergeCell ref="C249:H249"/>
    <mergeCell ref="J249:J254"/>
    <mergeCell ref="K249:K254"/>
    <mergeCell ref="L249:L254"/>
    <mergeCell ref="M249:M254"/>
    <mergeCell ref="N249:N254"/>
    <mergeCell ref="N271:N276"/>
    <mergeCell ref="O271:O276"/>
    <mergeCell ref="P271:P276"/>
    <mergeCell ref="Q271:Q276"/>
    <mergeCell ref="R271:R276"/>
    <mergeCell ref="S271:S276"/>
    <mergeCell ref="B268:C268"/>
    <mergeCell ref="A269:V269"/>
    <mergeCell ref="A270:A276"/>
    <mergeCell ref="B270:V270"/>
    <mergeCell ref="B271:B276"/>
    <mergeCell ref="V163:V168"/>
    <mergeCell ref="A241:A246"/>
    <mergeCell ref="B241:V241"/>
    <mergeCell ref="B242:C242"/>
    <mergeCell ref="B243:C243"/>
    <mergeCell ref="B244:C244"/>
    <mergeCell ref="B245:C245"/>
    <mergeCell ref="B246:C246"/>
    <mergeCell ref="M171:M176"/>
    <mergeCell ref="N171:N176"/>
    <mergeCell ref="P163:P168"/>
    <mergeCell ref="Q163:Q168"/>
    <mergeCell ref="R163:R168"/>
    <mergeCell ref="S163:S168"/>
    <mergeCell ref="T163:T168"/>
    <mergeCell ref="U163:U168"/>
    <mergeCell ref="A162:A168"/>
    <mergeCell ref="B162:V162"/>
    <mergeCell ref="B163:B168"/>
    <mergeCell ref="C163:H163"/>
    <mergeCell ref="J163:J168"/>
    <mergeCell ref="K163:K168"/>
    <mergeCell ref="L163:L168"/>
    <mergeCell ref="M163:M168"/>
    <mergeCell ref="N163:N168"/>
    <mergeCell ref="O163:O168"/>
    <mergeCell ref="A193:V193"/>
    <mergeCell ref="A194:A200"/>
    <mergeCell ref="B194:V194"/>
    <mergeCell ref="B195:B200"/>
    <mergeCell ref="C195:H195"/>
    <mergeCell ref="J195:J200"/>
    <mergeCell ref="R155:R160"/>
    <mergeCell ref="S155:S160"/>
    <mergeCell ref="T155:T160"/>
    <mergeCell ref="U155:U160"/>
    <mergeCell ref="V155:V160"/>
    <mergeCell ref="A161:V161"/>
    <mergeCell ref="L155:L160"/>
    <mergeCell ref="M155:M160"/>
    <mergeCell ref="N155:N160"/>
    <mergeCell ref="O155:O160"/>
    <mergeCell ref="P155:P160"/>
    <mergeCell ref="Q155:Q160"/>
    <mergeCell ref="T147:T152"/>
    <mergeCell ref="U147:U152"/>
    <mergeCell ref="V147:V152"/>
    <mergeCell ref="A153:V153"/>
    <mergeCell ref="A154:A160"/>
    <mergeCell ref="B154:V154"/>
    <mergeCell ref="B155:B160"/>
    <mergeCell ref="C155:H155"/>
    <mergeCell ref="J155:J160"/>
    <mergeCell ref="K155:K160"/>
    <mergeCell ref="N147:N152"/>
    <mergeCell ref="O147:O152"/>
    <mergeCell ref="P147:P152"/>
    <mergeCell ref="Q147:Q152"/>
    <mergeCell ref="R147:R152"/>
    <mergeCell ref="S147:S152"/>
    <mergeCell ref="V139:V144"/>
    <mergeCell ref="A145:V145"/>
    <mergeCell ref="A146:A152"/>
    <mergeCell ref="B146:V146"/>
    <mergeCell ref="B147:B152"/>
    <mergeCell ref="C147:H147"/>
    <mergeCell ref="J147:J152"/>
    <mergeCell ref="K147:K152"/>
    <mergeCell ref="L147:L152"/>
    <mergeCell ref="M147:M152"/>
    <mergeCell ref="P139:P144"/>
    <mergeCell ref="Q139:Q144"/>
    <mergeCell ref="R139:R144"/>
    <mergeCell ref="S139:S144"/>
    <mergeCell ref="T139:T144"/>
    <mergeCell ref="U139:U144"/>
    <mergeCell ref="A138:A144"/>
    <mergeCell ref="B138:V138"/>
    <mergeCell ref="B139:B144"/>
    <mergeCell ref="C139:H139"/>
    <mergeCell ref="J139:J144"/>
    <mergeCell ref="K139:K144"/>
    <mergeCell ref="L139:L144"/>
    <mergeCell ref="M139:M144"/>
    <mergeCell ref="N139:N144"/>
    <mergeCell ref="O139:O144"/>
    <mergeCell ref="R131:R136"/>
    <mergeCell ref="S131:S136"/>
    <mergeCell ref="T131:T136"/>
    <mergeCell ref="U131:U136"/>
    <mergeCell ref="V131:V136"/>
    <mergeCell ref="A137:V137"/>
    <mergeCell ref="L131:L136"/>
    <mergeCell ref="M131:M136"/>
    <mergeCell ref="N131:N136"/>
    <mergeCell ref="O131:O136"/>
    <mergeCell ref="P131:P136"/>
    <mergeCell ref="Q131:Q136"/>
    <mergeCell ref="T123:T128"/>
    <mergeCell ref="U123:U128"/>
    <mergeCell ref="V123:V128"/>
    <mergeCell ref="A129:V129"/>
    <mergeCell ref="A130:A136"/>
    <mergeCell ref="B130:V130"/>
    <mergeCell ref="B131:B136"/>
    <mergeCell ref="C131:H131"/>
    <mergeCell ref="J131:J136"/>
    <mergeCell ref="K131:K136"/>
    <mergeCell ref="N123:N128"/>
    <mergeCell ref="O123:O128"/>
    <mergeCell ref="P123:P128"/>
    <mergeCell ref="Q123:Q128"/>
    <mergeCell ref="R123:R128"/>
    <mergeCell ref="S123:S128"/>
    <mergeCell ref="B120:C120"/>
    <mergeCell ref="A121:V121"/>
    <mergeCell ref="A122:A128"/>
    <mergeCell ref="B122:V122"/>
    <mergeCell ref="B123:B128"/>
    <mergeCell ref="C123:H123"/>
    <mergeCell ref="J123:J128"/>
    <mergeCell ref="K123:K128"/>
    <mergeCell ref="L123:L128"/>
    <mergeCell ref="M123:M128"/>
    <mergeCell ref="S77:S82"/>
    <mergeCell ref="T77:T82"/>
    <mergeCell ref="U77:U82"/>
    <mergeCell ref="V77:V82"/>
    <mergeCell ref="A115:A120"/>
    <mergeCell ref="B115:V115"/>
    <mergeCell ref="B116:C116"/>
    <mergeCell ref="B117:C117"/>
    <mergeCell ref="B118:C118"/>
    <mergeCell ref="B119:C119"/>
    <mergeCell ref="M77:M82"/>
    <mergeCell ref="N77:N82"/>
    <mergeCell ref="O77:O82"/>
    <mergeCell ref="P77:P82"/>
    <mergeCell ref="Q77:Q82"/>
    <mergeCell ref="R77:R82"/>
    <mergeCell ref="V85:V90"/>
    <mergeCell ref="A91:V91"/>
    <mergeCell ref="A92:A98"/>
    <mergeCell ref="B92:V92"/>
    <mergeCell ref="B93:B98"/>
    <mergeCell ref="C93:H93"/>
    <mergeCell ref="U69:U74"/>
    <mergeCell ref="V69:V74"/>
    <mergeCell ref="A75:V75"/>
    <mergeCell ref="A76:A82"/>
    <mergeCell ref="B76:V76"/>
    <mergeCell ref="B77:B82"/>
    <mergeCell ref="C77:H77"/>
    <mergeCell ref="J77:J82"/>
    <mergeCell ref="K77:K82"/>
    <mergeCell ref="L77:L82"/>
    <mergeCell ref="O69:O74"/>
    <mergeCell ref="P69:P74"/>
    <mergeCell ref="Q69:Q74"/>
    <mergeCell ref="R69:R74"/>
    <mergeCell ref="S69:S74"/>
    <mergeCell ref="T69:T74"/>
    <mergeCell ref="A67:V67"/>
    <mergeCell ref="A68:A74"/>
    <mergeCell ref="B68:V68"/>
    <mergeCell ref="B69:B74"/>
    <mergeCell ref="C69:H69"/>
    <mergeCell ref="J69:J74"/>
    <mergeCell ref="K69:K74"/>
    <mergeCell ref="L69:L74"/>
    <mergeCell ref="M69:M74"/>
    <mergeCell ref="N69:N74"/>
    <mergeCell ref="Q61:Q66"/>
    <mergeCell ref="R61:R66"/>
    <mergeCell ref="S61:S66"/>
    <mergeCell ref="T61:T66"/>
    <mergeCell ref="U61:U66"/>
    <mergeCell ref="V61:V66"/>
    <mergeCell ref="K61:K66"/>
    <mergeCell ref="L61:L66"/>
    <mergeCell ref="M61:M66"/>
    <mergeCell ref="N61:N66"/>
    <mergeCell ref="O61:O66"/>
    <mergeCell ref="P61:P66"/>
    <mergeCell ref="S45:S50"/>
    <mergeCell ref="T45:T50"/>
    <mergeCell ref="U45:U50"/>
    <mergeCell ref="V45:V50"/>
    <mergeCell ref="A59:V59"/>
    <mergeCell ref="A60:A66"/>
    <mergeCell ref="B60:V60"/>
    <mergeCell ref="B61:B66"/>
    <mergeCell ref="C61:H61"/>
    <mergeCell ref="J61:J66"/>
    <mergeCell ref="M45:M50"/>
    <mergeCell ref="N45:N50"/>
    <mergeCell ref="O45:O50"/>
    <mergeCell ref="P45:P50"/>
    <mergeCell ref="Q45:Q50"/>
    <mergeCell ref="R45:R50"/>
    <mergeCell ref="A51:V51"/>
    <mergeCell ref="A52:A58"/>
    <mergeCell ref="B52:V52"/>
    <mergeCell ref="B53:B58"/>
    <mergeCell ref="U37:U42"/>
    <mergeCell ref="V37:V42"/>
    <mergeCell ref="A43:V43"/>
    <mergeCell ref="A44:A50"/>
    <mergeCell ref="B44:V44"/>
    <mergeCell ref="B45:B50"/>
    <mergeCell ref="C45:H45"/>
    <mergeCell ref="J45:J50"/>
    <mergeCell ref="K45:K50"/>
    <mergeCell ref="L45:L50"/>
    <mergeCell ref="O37:O42"/>
    <mergeCell ref="P37:P42"/>
    <mergeCell ref="Q37:Q42"/>
    <mergeCell ref="R37:R42"/>
    <mergeCell ref="S37:S42"/>
    <mergeCell ref="T37:T42"/>
    <mergeCell ref="A35:V35"/>
    <mergeCell ref="A36:A42"/>
    <mergeCell ref="B36:V36"/>
    <mergeCell ref="B37:B42"/>
    <mergeCell ref="C37:H37"/>
    <mergeCell ref="J37:J42"/>
    <mergeCell ref="K37:K42"/>
    <mergeCell ref="L37:L42"/>
    <mergeCell ref="M37:M42"/>
    <mergeCell ref="N37:N42"/>
    <mergeCell ref="Q29:Q34"/>
    <mergeCell ref="R29:R34"/>
    <mergeCell ref="S29:S34"/>
    <mergeCell ref="T29:T34"/>
    <mergeCell ref="U29:U34"/>
    <mergeCell ref="V29:V34"/>
    <mergeCell ref="K29:K34"/>
    <mergeCell ref="L29:L34"/>
    <mergeCell ref="M29:M34"/>
    <mergeCell ref="N29:N34"/>
    <mergeCell ref="O29:O34"/>
    <mergeCell ref="P29:P34"/>
    <mergeCell ref="A27:V27"/>
    <mergeCell ref="A28:A34"/>
    <mergeCell ref="B28:V28"/>
    <mergeCell ref="B29:B34"/>
    <mergeCell ref="C29:H29"/>
    <mergeCell ref="J29:J34"/>
    <mergeCell ref="A11:C11"/>
    <mergeCell ref="A13:A18"/>
    <mergeCell ref="B13:V13"/>
    <mergeCell ref="B14:C14"/>
    <mergeCell ref="B15:C15"/>
    <mergeCell ref="B16:C16"/>
    <mergeCell ref="B17:C17"/>
    <mergeCell ref="B18:C18"/>
    <mergeCell ref="T1:V1"/>
    <mergeCell ref="S2:V2"/>
    <mergeCell ref="Q6:V6"/>
    <mergeCell ref="Q8:V8"/>
    <mergeCell ref="A9:V9"/>
    <mergeCell ref="U21:U26"/>
    <mergeCell ref="V21:V26"/>
    <mergeCell ref="O21:O26"/>
    <mergeCell ref="P21:P26"/>
    <mergeCell ref="Q21:Q26"/>
    <mergeCell ref="R21:R26"/>
    <mergeCell ref="S21:S26"/>
    <mergeCell ref="T21:T26"/>
    <mergeCell ref="A19:V19"/>
    <mergeCell ref="A20:A26"/>
    <mergeCell ref="B20:V20"/>
    <mergeCell ref="B21:B26"/>
    <mergeCell ref="C21:H21"/>
    <mergeCell ref="J21:J26"/>
    <mergeCell ref="K21:K26"/>
    <mergeCell ref="L21:L26"/>
    <mergeCell ref="M21:M26"/>
    <mergeCell ref="N21:N26"/>
    <mergeCell ref="L869:L874"/>
    <mergeCell ref="M869:M874"/>
    <mergeCell ref="N869:N874"/>
    <mergeCell ref="O869:O874"/>
    <mergeCell ref="P869:P874"/>
    <mergeCell ref="Q869:Q874"/>
    <mergeCell ref="R869:R874"/>
    <mergeCell ref="S869:S874"/>
    <mergeCell ref="T869:T874"/>
    <mergeCell ref="U869:U874"/>
    <mergeCell ref="V869:V874"/>
    <mergeCell ref="A875:V875"/>
    <mergeCell ref="A876:A882"/>
    <mergeCell ref="B876:V876"/>
    <mergeCell ref="B877:B882"/>
    <mergeCell ref="C877:H877"/>
    <mergeCell ref="J877:J882"/>
    <mergeCell ref="K877:K882"/>
    <mergeCell ref="L877:L882"/>
    <mergeCell ref="M877:M882"/>
    <mergeCell ref="N877:N882"/>
    <mergeCell ref="O877:O882"/>
    <mergeCell ref="P877:P882"/>
    <mergeCell ref="Q877:Q882"/>
    <mergeCell ref="R877:R882"/>
    <mergeCell ref="S877:S882"/>
    <mergeCell ref="T877:T882"/>
    <mergeCell ref="U877:U882"/>
    <mergeCell ref="V877:V882"/>
    <mergeCell ref="A883:V883"/>
    <mergeCell ref="A884:A890"/>
    <mergeCell ref="B884:V884"/>
    <mergeCell ref="B885:B890"/>
    <mergeCell ref="C885:H885"/>
    <mergeCell ref="J885:J890"/>
    <mergeCell ref="K885:K890"/>
    <mergeCell ref="L885:L890"/>
    <mergeCell ref="M885:M890"/>
    <mergeCell ref="N885:N890"/>
    <mergeCell ref="O885:O890"/>
    <mergeCell ref="P885:P890"/>
    <mergeCell ref="Q885:Q890"/>
    <mergeCell ref="R885:R890"/>
    <mergeCell ref="S885:S890"/>
    <mergeCell ref="T885:T890"/>
    <mergeCell ref="U885:U890"/>
    <mergeCell ref="V885:V890"/>
    <mergeCell ref="A891:V891"/>
    <mergeCell ref="A892:A898"/>
    <mergeCell ref="B892:V892"/>
    <mergeCell ref="B893:B898"/>
    <mergeCell ref="C893:H893"/>
    <mergeCell ref="J893:J898"/>
    <mergeCell ref="K893:K898"/>
    <mergeCell ref="L893:L898"/>
    <mergeCell ref="M893:M898"/>
    <mergeCell ref="N893:N898"/>
    <mergeCell ref="O893:O898"/>
    <mergeCell ref="P893:P898"/>
    <mergeCell ref="Q893:Q898"/>
    <mergeCell ref="R893:R898"/>
    <mergeCell ref="S893:S898"/>
    <mergeCell ref="T893:T898"/>
    <mergeCell ref="U893:U898"/>
    <mergeCell ref="V893:V898"/>
    <mergeCell ref="P909:P914"/>
    <mergeCell ref="Q909:Q914"/>
    <mergeCell ref="R909:R914"/>
    <mergeCell ref="S909:S914"/>
    <mergeCell ref="T909:T914"/>
    <mergeCell ref="U909:U914"/>
    <mergeCell ref="V909:V914"/>
    <mergeCell ref="A899:V899"/>
    <mergeCell ref="A900:A906"/>
    <mergeCell ref="B900:V900"/>
    <mergeCell ref="B901:B906"/>
    <mergeCell ref="C901:H901"/>
    <mergeCell ref="J901:J906"/>
    <mergeCell ref="K901:K906"/>
    <mergeCell ref="L901:L906"/>
    <mergeCell ref="M901:M906"/>
    <mergeCell ref="N901:N906"/>
    <mergeCell ref="O901:O906"/>
    <mergeCell ref="P901:P906"/>
    <mergeCell ref="Q901:Q906"/>
    <mergeCell ref="R901:R906"/>
    <mergeCell ref="S901:S906"/>
    <mergeCell ref="T901:T906"/>
    <mergeCell ref="U901:U906"/>
    <mergeCell ref="V901:V906"/>
    <mergeCell ref="A333:V333"/>
    <mergeCell ref="A334:A340"/>
    <mergeCell ref="B334:V334"/>
    <mergeCell ref="B335:B340"/>
    <mergeCell ref="C335:H335"/>
    <mergeCell ref="J335:J340"/>
    <mergeCell ref="A915:V915"/>
    <mergeCell ref="A916:A922"/>
    <mergeCell ref="B916:V916"/>
    <mergeCell ref="B917:B922"/>
    <mergeCell ref="C917:H917"/>
    <mergeCell ref="J917:J922"/>
    <mergeCell ref="K917:K922"/>
    <mergeCell ref="L917:L922"/>
    <mergeCell ref="M917:M922"/>
    <mergeCell ref="N917:N922"/>
    <mergeCell ref="O917:O922"/>
    <mergeCell ref="P917:P922"/>
    <mergeCell ref="Q917:Q922"/>
    <mergeCell ref="R917:R922"/>
    <mergeCell ref="S917:S922"/>
    <mergeCell ref="T917:T922"/>
    <mergeCell ref="U917:U922"/>
    <mergeCell ref="V917:V922"/>
    <mergeCell ref="A907:V907"/>
    <mergeCell ref="A908:A914"/>
    <mergeCell ref="B908:V908"/>
    <mergeCell ref="B909:B914"/>
    <mergeCell ref="C909:H909"/>
    <mergeCell ref="J909:J914"/>
    <mergeCell ref="K909:K914"/>
    <mergeCell ref="L909:L914"/>
    <mergeCell ref="N319:N324"/>
    <mergeCell ref="O319:O324"/>
    <mergeCell ref="P319:P324"/>
    <mergeCell ref="Q319:Q324"/>
    <mergeCell ref="R319:R324"/>
    <mergeCell ref="S319:S324"/>
    <mergeCell ref="T319:T324"/>
    <mergeCell ref="U319:U324"/>
    <mergeCell ref="V319:V324"/>
    <mergeCell ref="T327:T332"/>
    <mergeCell ref="U327:U332"/>
    <mergeCell ref="V327:V332"/>
    <mergeCell ref="N327:N332"/>
    <mergeCell ref="O327:O332"/>
    <mergeCell ref="P327:P332"/>
    <mergeCell ref="Q327:Q332"/>
    <mergeCell ref="R327:R332"/>
    <mergeCell ref="S327:S332"/>
    <mergeCell ref="K195:K200"/>
    <mergeCell ref="L195:L200"/>
    <mergeCell ref="M195:M200"/>
    <mergeCell ref="N195:N200"/>
    <mergeCell ref="O195:O200"/>
    <mergeCell ref="P195:P200"/>
    <mergeCell ref="Q195:Q200"/>
    <mergeCell ref="R195:R200"/>
    <mergeCell ref="S195:S200"/>
    <mergeCell ref="T195:T200"/>
    <mergeCell ref="U195:U200"/>
    <mergeCell ref="V195:V200"/>
    <mergeCell ref="A201:V201"/>
    <mergeCell ref="A202:A208"/>
    <mergeCell ref="B202:V202"/>
    <mergeCell ref="B203:B208"/>
    <mergeCell ref="C203:H203"/>
    <mergeCell ref="J203:J208"/>
    <mergeCell ref="K203:K208"/>
    <mergeCell ref="L203:L208"/>
    <mergeCell ref="M203:M208"/>
    <mergeCell ref="N203:N208"/>
    <mergeCell ref="O203:O208"/>
    <mergeCell ref="P203:P208"/>
    <mergeCell ref="Q203:Q208"/>
    <mergeCell ref="R203:R208"/>
    <mergeCell ref="S203:S208"/>
    <mergeCell ref="T203:T208"/>
    <mergeCell ref="U203:U208"/>
    <mergeCell ref="V203:V208"/>
    <mergeCell ref="N219:N224"/>
    <mergeCell ref="O219:O224"/>
    <mergeCell ref="P219:P224"/>
    <mergeCell ref="Q219:Q224"/>
    <mergeCell ref="R219:R224"/>
    <mergeCell ref="S219:S224"/>
    <mergeCell ref="T219:T224"/>
    <mergeCell ref="U219:U224"/>
    <mergeCell ref="V219:V224"/>
    <mergeCell ref="A209:V209"/>
    <mergeCell ref="A210:A216"/>
    <mergeCell ref="B210:V210"/>
    <mergeCell ref="B211:B216"/>
    <mergeCell ref="C211:H211"/>
    <mergeCell ref="J211:J216"/>
    <mergeCell ref="K211:K216"/>
    <mergeCell ref="L211:L216"/>
    <mergeCell ref="M211:M216"/>
    <mergeCell ref="N211:N216"/>
    <mergeCell ref="O211:O216"/>
    <mergeCell ref="P211:P216"/>
    <mergeCell ref="Q211:Q216"/>
    <mergeCell ref="R211:R216"/>
    <mergeCell ref="S211:S216"/>
    <mergeCell ref="T211:T216"/>
    <mergeCell ref="U211:U216"/>
    <mergeCell ref="V211:V216"/>
    <mergeCell ref="A217:V217"/>
    <mergeCell ref="A83:V83"/>
    <mergeCell ref="A84:A90"/>
    <mergeCell ref="B84:V84"/>
    <mergeCell ref="B85:B90"/>
    <mergeCell ref="C85:H85"/>
    <mergeCell ref="J85:J90"/>
    <mergeCell ref="K85:K90"/>
    <mergeCell ref="L85:L90"/>
    <mergeCell ref="M85:M90"/>
    <mergeCell ref="N85:N90"/>
    <mergeCell ref="O85:O90"/>
    <mergeCell ref="P85:P90"/>
    <mergeCell ref="Q85:Q90"/>
    <mergeCell ref="R85:R90"/>
    <mergeCell ref="S85:S90"/>
    <mergeCell ref="T85:T90"/>
    <mergeCell ref="U85:U90"/>
    <mergeCell ref="L501:L506"/>
    <mergeCell ref="M501:M506"/>
    <mergeCell ref="N501:N506"/>
    <mergeCell ref="A218:A224"/>
    <mergeCell ref="B218:V218"/>
    <mergeCell ref="B219:B224"/>
    <mergeCell ref="C219:H219"/>
    <mergeCell ref="J219:J224"/>
    <mergeCell ref="K219:K224"/>
    <mergeCell ref="L219:L224"/>
    <mergeCell ref="M219:M224"/>
    <mergeCell ref="J681:J686"/>
    <mergeCell ref="K681:K686"/>
    <mergeCell ref="L681:L686"/>
    <mergeCell ref="M681:M686"/>
    <mergeCell ref="A733:V733"/>
    <mergeCell ref="A734:A740"/>
    <mergeCell ref="B734:V734"/>
    <mergeCell ref="B735:B740"/>
    <mergeCell ref="C735:H735"/>
    <mergeCell ref="J735:J740"/>
    <mergeCell ref="K735:K740"/>
    <mergeCell ref="L735:L740"/>
    <mergeCell ref="M735:M740"/>
    <mergeCell ref="N735:N740"/>
    <mergeCell ref="O735:O740"/>
    <mergeCell ref="P735:P740"/>
    <mergeCell ref="Q735:Q740"/>
    <mergeCell ref="R735:R740"/>
    <mergeCell ref="S735:S740"/>
    <mergeCell ref="T735:T740"/>
    <mergeCell ref="U735:U740"/>
    <mergeCell ref="K713:K718"/>
    <mergeCell ref="L713:L718"/>
    <mergeCell ref="M713:M718"/>
    <mergeCell ref="N713:N718"/>
    <mergeCell ref="O713:O718"/>
    <mergeCell ref="P713:P718"/>
    <mergeCell ref="Q713:Q718"/>
    <mergeCell ref="R713:R718"/>
    <mergeCell ref="A1047:V1047"/>
    <mergeCell ref="A1048:A1054"/>
    <mergeCell ref="B1048:V1048"/>
    <mergeCell ref="B1049:B1054"/>
    <mergeCell ref="C1049:H1049"/>
    <mergeCell ref="J1049:J1054"/>
    <mergeCell ref="K1049:K1054"/>
    <mergeCell ref="L1049:L1054"/>
    <mergeCell ref="M1049:M1054"/>
    <mergeCell ref="N1049:N1054"/>
    <mergeCell ref="O1049:O1054"/>
    <mergeCell ref="P1049:P1054"/>
    <mergeCell ref="Q1049:Q1054"/>
    <mergeCell ref="R1049:R1054"/>
    <mergeCell ref="S1049:S1054"/>
    <mergeCell ref="T1049:T1054"/>
    <mergeCell ref="U1049:U1054"/>
    <mergeCell ref="V1049:V1054"/>
    <mergeCell ref="A931:V931"/>
    <mergeCell ref="A932:A938"/>
    <mergeCell ref="B932:V932"/>
    <mergeCell ref="M909:M914"/>
    <mergeCell ref="N909:N914"/>
    <mergeCell ref="O909:O914"/>
    <mergeCell ref="A467:V467"/>
    <mergeCell ref="A468:A474"/>
    <mergeCell ref="A255:V255"/>
    <mergeCell ref="A256:A262"/>
    <mergeCell ref="B256:V256"/>
    <mergeCell ref="B257:B262"/>
    <mergeCell ref="C257:H257"/>
    <mergeCell ref="J257:J262"/>
    <mergeCell ref="K257:K262"/>
    <mergeCell ref="L257:L262"/>
    <mergeCell ref="M257:M262"/>
    <mergeCell ref="N257:N262"/>
    <mergeCell ref="O257:O262"/>
    <mergeCell ref="P257:P262"/>
    <mergeCell ref="Q257:Q262"/>
    <mergeCell ref="R257:R262"/>
    <mergeCell ref="S257:S262"/>
    <mergeCell ref="T257:T262"/>
    <mergeCell ref="U257:U262"/>
    <mergeCell ref="V257:V262"/>
    <mergeCell ref="A381:V381"/>
    <mergeCell ref="A382:A388"/>
    <mergeCell ref="B382:V382"/>
    <mergeCell ref="B383:B388"/>
    <mergeCell ref="J351:J356"/>
    <mergeCell ref="K351:K356"/>
    <mergeCell ref="L351:L356"/>
    <mergeCell ref="M351:M356"/>
    <mergeCell ref="A349:V349"/>
    <mergeCell ref="A317:V317"/>
    <mergeCell ref="A318:A324"/>
    <mergeCell ref="B318:V318"/>
    <mergeCell ref="R493:R498"/>
    <mergeCell ref="S493:S498"/>
    <mergeCell ref="T493:T498"/>
    <mergeCell ref="U493:U498"/>
    <mergeCell ref="V493:V498"/>
    <mergeCell ref="A679:V679"/>
    <mergeCell ref="A680:A686"/>
    <mergeCell ref="B680:V680"/>
    <mergeCell ref="B681:B686"/>
    <mergeCell ref="C681:H681"/>
    <mergeCell ref="A507:V507"/>
    <mergeCell ref="A508:A514"/>
    <mergeCell ref="B508:V508"/>
    <mergeCell ref="B509:B514"/>
    <mergeCell ref="C509:H509"/>
    <mergeCell ref="J509:J514"/>
    <mergeCell ref="K509:K514"/>
    <mergeCell ref="L509:L514"/>
    <mergeCell ref="M509:M514"/>
    <mergeCell ref="N509:N514"/>
    <mergeCell ref="O509:O514"/>
    <mergeCell ref="P509:P514"/>
    <mergeCell ref="Q509:Q514"/>
    <mergeCell ref="V509:V514"/>
    <mergeCell ref="O501:O506"/>
    <mergeCell ref="P501:P506"/>
    <mergeCell ref="Q501:Q506"/>
    <mergeCell ref="R501:R506"/>
    <mergeCell ref="S501:S506"/>
    <mergeCell ref="T501:T506"/>
    <mergeCell ref="U501:U506"/>
    <mergeCell ref="V501:V506"/>
    <mergeCell ref="J933:J938"/>
    <mergeCell ref="K933:K938"/>
    <mergeCell ref="L933:L938"/>
    <mergeCell ref="M933:M938"/>
    <mergeCell ref="N933:N938"/>
    <mergeCell ref="O933:O938"/>
    <mergeCell ref="P933:P938"/>
    <mergeCell ref="Q933:Q938"/>
    <mergeCell ref="R933:R938"/>
    <mergeCell ref="S933:S938"/>
    <mergeCell ref="M429:M434"/>
    <mergeCell ref="N429:N434"/>
    <mergeCell ref="O429:O434"/>
    <mergeCell ref="P429:P434"/>
    <mergeCell ref="Q429:Q434"/>
    <mergeCell ref="R429:R434"/>
    <mergeCell ref="S429:S434"/>
    <mergeCell ref="P689:P694"/>
    <mergeCell ref="Q689:Q694"/>
    <mergeCell ref="R689:R694"/>
    <mergeCell ref="S689:S694"/>
    <mergeCell ref="A703:V703"/>
    <mergeCell ref="A704:A710"/>
    <mergeCell ref="B704:V704"/>
    <mergeCell ref="B705:B710"/>
    <mergeCell ref="C705:H705"/>
    <mergeCell ref="J705:J710"/>
    <mergeCell ref="K705:K710"/>
    <mergeCell ref="L705:L710"/>
    <mergeCell ref="M705:M710"/>
    <mergeCell ref="U681:U686"/>
    <mergeCell ref="V681:V686"/>
    <mergeCell ref="A499:V499"/>
    <mergeCell ref="A500:A506"/>
    <mergeCell ref="B500:V500"/>
    <mergeCell ref="B501:B506"/>
    <mergeCell ref="C501:H501"/>
    <mergeCell ref="J501:J506"/>
    <mergeCell ref="K501:K506"/>
    <mergeCell ref="A923:V923"/>
    <mergeCell ref="A924:A930"/>
    <mergeCell ref="B924:V924"/>
    <mergeCell ref="B925:B930"/>
    <mergeCell ref="C925:H925"/>
    <mergeCell ref="J925:J930"/>
    <mergeCell ref="K925:K930"/>
    <mergeCell ref="L925:L930"/>
    <mergeCell ref="M925:M930"/>
    <mergeCell ref="N925:N930"/>
    <mergeCell ref="O925:O930"/>
    <mergeCell ref="P925:P930"/>
    <mergeCell ref="Q925:Q930"/>
    <mergeCell ref="R925:R930"/>
    <mergeCell ref="S925:S930"/>
    <mergeCell ref="T925:T930"/>
    <mergeCell ref="U925:U930"/>
    <mergeCell ref="V925:V930"/>
    <mergeCell ref="R509:R514"/>
    <mergeCell ref="S509:S514"/>
    <mergeCell ref="T509:T514"/>
    <mergeCell ref="U509:U514"/>
    <mergeCell ref="V735:V740"/>
    <mergeCell ref="L727:L732"/>
    <mergeCell ref="J713:J718"/>
    <mergeCell ref="C383:H383"/>
    <mergeCell ref="J383:J388"/>
    <mergeCell ref="K383:K388"/>
    <mergeCell ref="L383:L388"/>
    <mergeCell ref="M383:M388"/>
    <mergeCell ref="N383:N388"/>
    <mergeCell ref="O383:O388"/>
    <mergeCell ref="P383:P388"/>
    <mergeCell ref="Q383:Q388"/>
    <mergeCell ref="R383:R388"/>
    <mergeCell ref="S383:S388"/>
    <mergeCell ref="T383:T388"/>
    <mergeCell ref="U383:U388"/>
    <mergeCell ref="V383:V388"/>
    <mergeCell ref="K375:K380"/>
    <mergeCell ref="L375:L380"/>
    <mergeCell ref="M375:M380"/>
    <mergeCell ref="N375:N380"/>
    <mergeCell ref="O375:O380"/>
    <mergeCell ref="P375:P380"/>
    <mergeCell ref="Q375:Q380"/>
    <mergeCell ref="R375:R380"/>
    <mergeCell ref="S375:S380"/>
    <mergeCell ref="T375:T380"/>
    <mergeCell ref="U375:U380"/>
    <mergeCell ref="V375:V380"/>
    <mergeCell ref="A687:V687"/>
    <mergeCell ref="A688:A694"/>
    <mergeCell ref="B688:V688"/>
    <mergeCell ref="B689:B694"/>
    <mergeCell ref="C689:H689"/>
    <mergeCell ref="J689:J694"/>
    <mergeCell ref="K689:K694"/>
    <mergeCell ref="L689:L694"/>
    <mergeCell ref="M689:M694"/>
    <mergeCell ref="N689:N694"/>
    <mergeCell ref="O689:O694"/>
    <mergeCell ref="A389:V389"/>
    <mergeCell ref="A390:A396"/>
    <mergeCell ref="B390:V390"/>
    <mergeCell ref="B391:B396"/>
    <mergeCell ref="C391:H391"/>
    <mergeCell ref="J391:J396"/>
    <mergeCell ref="K391:K396"/>
    <mergeCell ref="L391:L396"/>
    <mergeCell ref="M391:M396"/>
    <mergeCell ref="N391:N396"/>
    <mergeCell ref="O391:O396"/>
    <mergeCell ref="P391:P396"/>
    <mergeCell ref="Q391:Q396"/>
    <mergeCell ref="R391:R396"/>
    <mergeCell ref="S391:S396"/>
    <mergeCell ref="T391:T396"/>
    <mergeCell ref="U391:U396"/>
    <mergeCell ref="V391:V396"/>
    <mergeCell ref="T429:T434"/>
    <mergeCell ref="U429:U434"/>
    <mergeCell ref="V429:V434"/>
    <mergeCell ref="A225:V225"/>
    <mergeCell ref="A226:A232"/>
    <mergeCell ref="B226:V226"/>
    <mergeCell ref="B227:B232"/>
    <mergeCell ref="C227:H227"/>
    <mergeCell ref="J227:J232"/>
    <mergeCell ref="K227:K232"/>
    <mergeCell ref="L227:L232"/>
    <mergeCell ref="M227:M232"/>
    <mergeCell ref="N227:N232"/>
    <mergeCell ref="O227:O232"/>
    <mergeCell ref="P227:P232"/>
    <mergeCell ref="Q227:Q232"/>
    <mergeCell ref="R227:R232"/>
    <mergeCell ref="S227:S232"/>
    <mergeCell ref="T227:T232"/>
    <mergeCell ref="U227:U232"/>
    <mergeCell ref="V227:V232"/>
    <mergeCell ref="T689:T694"/>
    <mergeCell ref="U689:U694"/>
    <mergeCell ref="V689:V694"/>
    <mergeCell ref="A695:V695"/>
    <mergeCell ref="A696:A702"/>
    <mergeCell ref="B696:V696"/>
    <mergeCell ref="B697:B702"/>
    <mergeCell ref="C697:H697"/>
    <mergeCell ref="J697:J702"/>
    <mergeCell ref="K697:K702"/>
    <mergeCell ref="L697:L702"/>
    <mergeCell ref="M697:M702"/>
    <mergeCell ref="N697:N702"/>
    <mergeCell ref="O697:O702"/>
    <mergeCell ref="P697:P702"/>
    <mergeCell ref="Q697:Q702"/>
    <mergeCell ref="R697:R702"/>
    <mergeCell ref="S697:S702"/>
    <mergeCell ref="T697:T702"/>
    <mergeCell ref="U697:U702"/>
    <mergeCell ref="V697:V702"/>
    <mergeCell ref="N705:N710"/>
    <mergeCell ref="O705:O710"/>
    <mergeCell ref="P705:P710"/>
    <mergeCell ref="Q705:Q710"/>
    <mergeCell ref="R705:R710"/>
    <mergeCell ref="S705:S710"/>
    <mergeCell ref="T705:T710"/>
    <mergeCell ref="U705:U710"/>
    <mergeCell ref="V705:V710"/>
    <mergeCell ref="A939:V939"/>
    <mergeCell ref="A940:A946"/>
    <mergeCell ref="B940:V940"/>
    <mergeCell ref="B941:B946"/>
    <mergeCell ref="C941:H941"/>
    <mergeCell ref="J941:J946"/>
    <mergeCell ref="K941:K946"/>
    <mergeCell ref="L941:L946"/>
    <mergeCell ref="M941:M946"/>
    <mergeCell ref="N941:N946"/>
    <mergeCell ref="O941:O946"/>
    <mergeCell ref="P941:P946"/>
    <mergeCell ref="Q941:Q946"/>
    <mergeCell ref="R941:R946"/>
    <mergeCell ref="S941:S946"/>
    <mergeCell ref="T941:T946"/>
    <mergeCell ref="U941:U946"/>
    <mergeCell ref="V941:V946"/>
    <mergeCell ref="T933:T938"/>
    <mergeCell ref="U933:U938"/>
    <mergeCell ref="V933:V938"/>
    <mergeCell ref="B933:B938"/>
    <mergeCell ref="C933:H933"/>
    <mergeCell ref="R957:R962"/>
    <mergeCell ref="S957:S962"/>
    <mergeCell ref="T957:T962"/>
    <mergeCell ref="U957:U962"/>
    <mergeCell ref="V957:V962"/>
    <mergeCell ref="A947:V947"/>
    <mergeCell ref="A948:A954"/>
    <mergeCell ref="B948:V948"/>
    <mergeCell ref="B949:B954"/>
    <mergeCell ref="C949:H949"/>
    <mergeCell ref="J949:J954"/>
    <mergeCell ref="K949:K954"/>
    <mergeCell ref="L949:L954"/>
    <mergeCell ref="M949:M954"/>
    <mergeCell ref="N949:N954"/>
    <mergeCell ref="O949:O954"/>
    <mergeCell ref="P949:P954"/>
    <mergeCell ref="Q949:Q954"/>
    <mergeCell ref="R949:R954"/>
    <mergeCell ref="S949:S954"/>
    <mergeCell ref="T949:T954"/>
    <mergeCell ref="U949:U954"/>
    <mergeCell ref="V949:V954"/>
    <mergeCell ref="V987:V992"/>
    <mergeCell ref="A413:V413"/>
    <mergeCell ref="A414:A420"/>
    <mergeCell ref="B414:V414"/>
    <mergeCell ref="B415:B420"/>
    <mergeCell ref="C415:H415"/>
    <mergeCell ref="J415:J420"/>
    <mergeCell ref="K415:K420"/>
    <mergeCell ref="L415:L420"/>
    <mergeCell ref="M415:M420"/>
    <mergeCell ref="N415:N420"/>
    <mergeCell ref="O415:O420"/>
    <mergeCell ref="P415:P420"/>
    <mergeCell ref="Q415:Q420"/>
    <mergeCell ref="R415:R420"/>
    <mergeCell ref="S415:S420"/>
    <mergeCell ref="T415:T420"/>
    <mergeCell ref="U415:U420"/>
    <mergeCell ref="V415:V420"/>
    <mergeCell ref="A955:V955"/>
    <mergeCell ref="A956:A962"/>
    <mergeCell ref="B956:V956"/>
    <mergeCell ref="B957:B962"/>
    <mergeCell ref="C957:H957"/>
    <mergeCell ref="J957:J962"/>
    <mergeCell ref="K957:K962"/>
    <mergeCell ref="L957:L962"/>
    <mergeCell ref="M957:M962"/>
    <mergeCell ref="N957:N962"/>
    <mergeCell ref="O957:O962"/>
    <mergeCell ref="P957:P962"/>
    <mergeCell ref="Q957:Q962"/>
    <mergeCell ref="B399:B404"/>
    <mergeCell ref="C399:H399"/>
    <mergeCell ref="J399:J404"/>
    <mergeCell ref="K399:K404"/>
    <mergeCell ref="L399:L404"/>
    <mergeCell ref="M399:M404"/>
    <mergeCell ref="N399:N404"/>
    <mergeCell ref="O399:O404"/>
    <mergeCell ref="P399:P404"/>
    <mergeCell ref="Q399:Q404"/>
    <mergeCell ref="R399:R404"/>
    <mergeCell ref="S399:S404"/>
    <mergeCell ref="T399:T404"/>
    <mergeCell ref="U399:U404"/>
    <mergeCell ref="V399:V404"/>
    <mergeCell ref="A985:V985"/>
    <mergeCell ref="A986:A992"/>
    <mergeCell ref="B986:V986"/>
    <mergeCell ref="B987:B992"/>
    <mergeCell ref="C987:H987"/>
    <mergeCell ref="J987:J992"/>
    <mergeCell ref="K987:K992"/>
    <mergeCell ref="L987:L992"/>
    <mergeCell ref="M987:M992"/>
    <mergeCell ref="N987:N992"/>
    <mergeCell ref="O987:O992"/>
    <mergeCell ref="P987:P992"/>
    <mergeCell ref="Q987:Q992"/>
    <mergeCell ref="R987:R992"/>
    <mergeCell ref="S987:S992"/>
    <mergeCell ref="T987:T992"/>
    <mergeCell ref="U987:U992"/>
    <mergeCell ref="L539:L544"/>
    <mergeCell ref="M539:M544"/>
    <mergeCell ref="N539:N544"/>
    <mergeCell ref="O539:O544"/>
    <mergeCell ref="P539:P544"/>
    <mergeCell ref="Q539:Q544"/>
    <mergeCell ref="R539:R544"/>
    <mergeCell ref="S539:S544"/>
    <mergeCell ref="T539:T544"/>
    <mergeCell ref="U539:U544"/>
    <mergeCell ref="V539:V544"/>
    <mergeCell ref="A107:V107"/>
    <mergeCell ref="A108:A114"/>
    <mergeCell ref="B108:V108"/>
    <mergeCell ref="B109:B114"/>
    <mergeCell ref="C109:H109"/>
    <mergeCell ref="J109:J114"/>
    <mergeCell ref="K109:K114"/>
    <mergeCell ref="L109:L114"/>
    <mergeCell ref="M109:M114"/>
    <mergeCell ref="N109:N114"/>
    <mergeCell ref="O109:O114"/>
    <mergeCell ref="P109:P114"/>
    <mergeCell ref="Q109:Q114"/>
    <mergeCell ref="R109:R114"/>
    <mergeCell ref="S109:S114"/>
    <mergeCell ref="T109:T114"/>
    <mergeCell ref="U109:U114"/>
    <mergeCell ref="V109:V114"/>
    <mergeCell ref="A397:V397"/>
    <mergeCell ref="A398:A404"/>
    <mergeCell ref="B398:V398"/>
  </mergeCells>
  <printOptions horizontalCentered="1"/>
  <pageMargins left="0.15748031496062992" right="0.15748031496062992" top="0.31496062992125984" bottom="0.19685039370078741" header="0.31496062992125984" footer="0.15748031496062992"/>
  <pageSetup paperSize="9" scale="11" fitToHeight="23" orientation="landscape" r:id="rId1"/>
  <rowBreaks count="16" manualBreakCount="16">
    <brk id="66" max="21" man="1"/>
    <brk id="128" max="21" man="1"/>
    <brk id="184" max="21" man="1"/>
    <brk id="246" max="21" man="1"/>
    <brk id="308" max="21" man="1"/>
    <brk id="372" max="21" man="1"/>
    <brk id="498" max="21" man="1"/>
    <brk id="565" max="21" man="1"/>
    <brk id="622" max="21" man="1"/>
    <brk id="686" max="21" man="1"/>
    <brk id="746" max="21" man="1"/>
    <brk id="802" max="21" man="1"/>
    <brk id="866" max="21" man="1"/>
    <brk id="922" max="21" man="1"/>
    <brk id="984" max="21" man="1"/>
    <brk id="1038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</vt:lpstr>
      <vt:lpstr>Приложение!Заголовки_для_печати</vt:lpstr>
      <vt:lpstr>Приложение!Область_печати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ChernyshVP</dc:creator>
  <cp:lastModifiedBy>Адуллин Андрей Зильфатович</cp:lastModifiedBy>
  <cp:lastPrinted>2018-01-08T23:04:35Z</cp:lastPrinted>
  <dcterms:created xsi:type="dcterms:W3CDTF">2013-06-03T21:57:32Z</dcterms:created>
  <dcterms:modified xsi:type="dcterms:W3CDTF">2018-01-08T23:06:26Z</dcterms:modified>
</cp:coreProperties>
</file>