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3815" yWindow="150" windowWidth="14040" windowHeight="12660" tabRatio="686"/>
  </bookViews>
  <sheets>
    <sheet name="Проект" sheetId="76" r:id="rId1"/>
  </sheets>
  <definedNames>
    <definedName name="_xlnm._FilterDatabase" localSheetId="0" hidden="1">Проект!$A$12:$V$1104</definedName>
    <definedName name="_xlnm.Print_Titles" localSheetId="0">Проект!$11:$12</definedName>
    <definedName name="_xlnm.Print_Area" localSheetId="0">Проект!$A$1:$V$1104</definedName>
  </definedNames>
  <calcPr calcId="145621"/>
</workbook>
</file>

<file path=xl/calcChain.xml><?xml version="1.0" encoding="utf-8"?>
<calcChain xmlns="http://schemas.openxmlformats.org/spreadsheetml/2006/main">
  <c r="E708" i="76" l="1"/>
  <c r="E700" i="76"/>
  <c r="E588" i="76"/>
  <c r="E580" i="76"/>
  <c r="E572" i="76"/>
  <c r="E39" i="76" l="1"/>
  <c r="E110" i="76" l="1"/>
  <c r="E684" i="76" l="1"/>
  <c r="E628" i="76"/>
  <c r="F190" i="76" l="1"/>
  <c r="F174" i="76"/>
  <c r="E714" i="76" l="1"/>
  <c r="F714" i="76"/>
  <c r="G714" i="76"/>
  <c r="H714" i="76"/>
  <c r="I714" i="76"/>
  <c r="E715" i="76"/>
  <c r="F715" i="76"/>
  <c r="G715" i="76"/>
  <c r="H715" i="76"/>
  <c r="I715" i="76"/>
  <c r="E716" i="76"/>
  <c r="F716" i="76"/>
  <c r="G716" i="76"/>
  <c r="H716" i="76"/>
  <c r="I716" i="76"/>
  <c r="F713" i="76"/>
  <c r="G713" i="76"/>
  <c r="H713" i="76"/>
  <c r="I713" i="76"/>
  <c r="E713" i="76"/>
  <c r="E786" i="76" l="1"/>
  <c r="E866" i="76"/>
  <c r="E794" i="76"/>
  <c r="E738" i="76"/>
  <c r="E802" i="76"/>
  <c r="E874" i="76"/>
  <c r="E754" i="76"/>
  <c r="E746" i="76"/>
  <c r="E898" i="76"/>
  <c r="F548" i="76" l="1"/>
  <c r="G548" i="76"/>
  <c r="H548" i="76"/>
  <c r="I548" i="76"/>
  <c r="E549" i="76"/>
  <c r="F549" i="76"/>
  <c r="G549" i="76"/>
  <c r="H549" i="76"/>
  <c r="I549" i="76"/>
  <c r="E550" i="76"/>
  <c r="F550" i="76"/>
  <c r="G550" i="76"/>
  <c r="H550" i="76"/>
  <c r="I550" i="76"/>
  <c r="F547" i="76"/>
  <c r="G547" i="76"/>
  <c r="H547" i="76"/>
  <c r="I547" i="76"/>
  <c r="E547" i="76"/>
  <c r="E676" i="76"/>
  <c r="E1044" i="76" l="1"/>
  <c r="E204" i="76" l="1"/>
  <c r="E1028" i="76" l="1"/>
  <c r="E502" i="76"/>
  <c r="E438" i="76"/>
  <c r="E470" i="76"/>
  <c r="E462" i="76"/>
  <c r="E150" i="76"/>
  <c r="F1050" i="76" l="1"/>
  <c r="G1050" i="76"/>
  <c r="H1050" i="76"/>
  <c r="I1050" i="76"/>
  <c r="E1051" i="76"/>
  <c r="F1051" i="76"/>
  <c r="G1051" i="76"/>
  <c r="H1051" i="76"/>
  <c r="I1051" i="76"/>
  <c r="E1052" i="76"/>
  <c r="F1052" i="76"/>
  <c r="G1052" i="76"/>
  <c r="H1052" i="76"/>
  <c r="I1052" i="76"/>
  <c r="F1049" i="76"/>
  <c r="G1049" i="76"/>
  <c r="H1049" i="76"/>
  <c r="I1049" i="76"/>
  <c r="E1049" i="76"/>
  <c r="E954" i="76"/>
  <c r="E946" i="76"/>
  <c r="E368" i="76" l="1"/>
  <c r="F960" i="76" l="1"/>
  <c r="G960" i="76"/>
  <c r="H960" i="76"/>
  <c r="I960" i="76"/>
  <c r="E961" i="76"/>
  <c r="F961" i="76"/>
  <c r="G961" i="76"/>
  <c r="H961" i="76"/>
  <c r="I961" i="76"/>
  <c r="E962" i="76"/>
  <c r="F962" i="76"/>
  <c r="G962" i="76"/>
  <c r="H962" i="76"/>
  <c r="I962" i="76"/>
  <c r="E959" i="76"/>
  <c r="F959" i="76"/>
  <c r="G959" i="76"/>
  <c r="H959" i="76"/>
  <c r="I959" i="76"/>
  <c r="D954" i="76"/>
  <c r="D956" i="76"/>
  <c r="D955" i="76"/>
  <c r="E952" i="76"/>
  <c r="D953" i="76"/>
  <c r="D948" i="76"/>
  <c r="D947" i="76"/>
  <c r="D946" i="76"/>
  <c r="D945" i="76"/>
  <c r="E944" i="76"/>
  <c r="E906" i="76"/>
  <c r="E882" i="76"/>
  <c r="D944" i="76" l="1"/>
  <c r="D952" i="76"/>
  <c r="E668" i="76"/>
  <c r="E1094" i="76"/>
  <c r="E968" i="76" l="1"/>
  <c r="E1036" i="76" l="1"/>
  <c r="E534" i="76"/>
  <c r="E526" i="76"/>
  <c r="E446" i="76"/>
  <c r="E408" i="76"/>
  <c r="E282" i="76"/>
  <c r="E346" i="76" l="1"/>
  <c r="E322" i="76"/>
  <c r="E306" i="76"/>
  <c r="E212" i="76"/>
  <c r="E174" i="76"/>
  <c r="E94" i="76"/>
  <c r="E118" i="76"/>
  <c r="E64" i="76"/>
  <c r="E445" i="76"/>
  <c r="E93" i="76"/>
  <c r="F360" i="76" l="1"/>
  <c r="G360" i="76"/>
  <c r="H360" i="76"/>
  <c r="I360" i="76"/>
  <c r="E361" i="76"/>
  <c r="F361" i="76"/>
  <c r="G361" i="76"/>
  <c r="H361" i="76"/>
  <c r="I361" i="76"/>
  <c r="E362" i="76"/>
  <c r="F362" i="76"/>
  <c r="G362" i="76"/>
  <c r="H362" i="76"/>
  <c r="I362" i="76"/>
  <c r="H359" i="76"/>
  <c r="I359" i="76"/>
  <c r="E359" i="76"/>
  <c r="E265" i="76" l="1"/>
  <c r="E86" i="76" l="1"/>
  <c r="E517" i="76" l="1"/>
  <c r="E274" i="76" l="1"/>
  <c r="H76" i="76" l="1"/>
  <c r="I76" i="76"/>
  <c r="H78" i="76"/>
  <c r="I78" i="76"/>
  <c r="E79" i="76"/>
  <c r="F79" i="76"/>
  <c r="G79" i="76"/>
  <c r="H79" i="76"/>
  <c r="I79" i="76"/>
  <c r="E80" i="76"/>
  <c r="F80" i="76"/>
  <c r="G80" i="76"/>
  <c r="H80" i="76"/>
  <c r="I80" i="76"/>
  <c r="G77" i="76"/>
  <c r="H77" i="76"/>
  <c r="I77" i="76"/>
  <c r="E24" i="76"/>
  <c r="E486" i="76" l="1"/>
  <c r="E1058" i="76" l="1"/>
  <c r="E1050" i="76" s="1"/>
  <c r="E182" i="76"/>
  <c r="E181" i="76"/>
  <c r="E173" i="76"/>
  <c r="F182" i="76"/>
  <c r="F181" i="76"/>
  <c r="F173" i="76"/>
  <c r="F85" i="76"/>
  <c r="E85" i="76"/>
  <c r="F77" i="76" l="1"/>
  <c r="E77" i="76"/>
  <c r="E938" i="76" l="1"/>
  <c r="F936" i="76" l="1"/>
  <c r="G936" i="76"/>
  <c r="H936" i="76"/>
  <c r="D937" i="76"/>
  <c r="D938" i="76"/>
  <c r="D939" i="76"/>
  <c r="D940" i="76"/>
  <c r="D936" i="76" l="1"/>
  <c r="E936" i="76"/>
  <c r="D994" i="76" l="1"/>
  <c r="D993" i="76"/>
  <c r="E990" i="76"/>
  <c r="D992" i="76"/>
  <c r="D991" i="76"/>
  <c r="D990" i="76" l="1"/>
  <c r="I432" i="76"/>
  <c r="H432" i="76"/>
  <c r="G432" i="76"/>
  <c r="F432" i="76"/>
  <c r="E432" i="76"/>
  <c r="I431" i="76"/>
  <c r="H431" i="76"/>
  <c r="G431" i="76"/>
  <c r="F431" i="76"/>
  <c r="E431" i="76"/>
  <c r="I430" i="76"/>
  <c r="H430" i="76"/>
  <c r="I429" i="76"/>
  <c r="H429" i="76"/>
  <c r="G429" i="76"/>
  <c r="F429" i="76"/>
  <c r="I18" i="76"/>
  <c r="H18" i="76"/>
  <c r="G18" i="76"/>
  <c r="F18" i="76"/>
  <c r="E18" i="76"/>
  <c r="I17" i="76"/>
  <c r="H17" i="76"/>
  <c r="G17" i="76"/>
  <c r="F17" i="76"/>
  <c r="E17" i="76"/>
  <c r="I16" i="76"/>
  <c r="H16" i="76"/>
  <c r="G16" i="76"/>
  <c r="F16" i="76"/>
  <c r="I15" i="76"/>
  <c r="H15" i="76"/>
  <c r="G15" i="76"/>
  <c r="F15" i="76"/>
  <c r="E15" i="76"/>
  <c r="E40" i="76"/>
  <c r="F134" i="76" l="1"/>
  <c r="I259" i="76" l="1"/>
  <c r="H259" i="76"/>
  <c r="G259" i="76"/>
  <c r="F259" i="76"/>
  <c r="E259" i="76"/>
  <c r="I258" i="76"/>
  <c r="H258" i="76"/>
  <c r="G258" i="76"/>
  <c r="F258" i="76"/>
  <c r="E258" i="76"/>
  <c r="I257" i="76"/>
  <c r="H257" i="76"/>
  <c r="G257" i="76"/>
  <c r="F257" i="76"/>
  <c r="E257" i="76"/>
  <c r="I256" i="76"/>
  <c r="H256" i="76"/>
  <c r="G256" i="76"/>
  <c r="I255" i="76"/>
  <c r="H255" i="76"/>
  <c r="G255" i="76"/>
  <c r="F255" i="76"/>
  <c r="E255" i="76"/>
  <c r="E842" i="76"/>
  <c r="G254" i="76" l="1"/>
  <c r="H254" i="76"/>
  <c r="I254" i="76"/>
  <c r="E242" i="76"/>
  <c r="E134" i="76"/>
  <c r="E102" i="76"/>
  <c r="E644" i="76" l="1"/>
  <c r="E636" i="76"/>
  <c r="E454" i="76"/>
  <c r="G518" i="76"/>
  <c r="G516" i="76" s="1"/>
  <c r="F516" i="76"/>
  <c r="F486" i="76"/>
  <c r="F484" i="76" s="1"/>
  <c r="D520" i="76"/>
  <c r="D519" i="76"/>
  <c r="D517" i="76"/>
  <c r="G102" i="76"/>
  <c r="G78" i="76" s="1"/>
  <c r="F102" i="76"/>
  <c r="D518" i="76" l="1"/>
  <c r="D516" i="76" s="1"/>
  <c r="E516" i="76"/>
  <c r="E660" i="76"/>
  <c r="E548" i="76"/>
  <c r="E354" i="76" l="1"/>
  <c r="E416" i="76"/>
  <c r="E360" i="76" l="1"/>
  <c r="E890" i="76"/>
  <c r="E834" i="76"/>
  <c r="E826" i="76"/>
  <c r="E818" i="76"/>
  <c r="E810" i="76"/>
  <c r="F930" i="76" l="1"/>
  <c r="F928" i="76" s="1"/>
  <c r="F274" i="76"/>
  <c r="F542" i="76" l="1"/>
  <c r="F470" i="76" l="1"/>
  <c r="D930" i="76"/>
  <c r="D932" i="76"/>
  <c r="D931" i="76"/>
  <c r="D929" i="76"/>
  <c r="D928" i="76" l="1"/>
  <c r="E542" i="76" l="1"/>
  <c r="E478" i="76"/>
  <c r="D542" i="76" l="1"/>
  <c r="D544" i="76"/>
  <c r="D543" i="76"/>
  <c r="D541" i="76"/>
  <c r="F540" i="76"/>
  <c r="E540" i="76"/>
  <c r="F502" i="76"/>
  <c r="D534" i="76"/>
  <c r="D536" i="76"/>
  <c r="D535" i="76"/>
  <c r="D533" i="76"/>
  <c r="E532" i="76"/>
  <c r="D540" i="76" l="1"/>
  <c r="D532" i="76"/>
  <c r="G834" i="76" l="1"/>
  <c r="G826" i="76"/>
  <c r="G818" i="76"/>
  <c r="G810" i="76"/>
  <c r="F818" i="76"/>
  <c r="F810" i="76"/>
  <c r="F834" i="76"/>
  <c r="F826" i="76"/>
  <c r="F234" i="76"/>
  <c r="E984" i="76"/>
  <c r="E976" i="76"/>
  <c r="E960" i="76" s="1"/>
  <c r="F290" i="76" l="1"/>
  <c r="E290" i="76"/>
  <c r="E234" i="76"/>
  <c r="F110" i="76"/>
  <c r="E494" i="76"/>
  <c r="E982" i="76"/>
  <c r="D986" i="76"/>
  <c r="D985" i="76"/>
  <c r="D983" i="76"/>
  <c r="D978" i="76"/>
  <c r="D977" i="76"/>
  <c r="E974" i="76"/>
  <c r="D976" i="76"/>
  <c r="D975" i="76"/>
  <c r="F288" i="76" l="1"/>
  <c r="F256" i="76"/>
  <c r="F254" i="76" s="1"/>
  <c r="D984" i="76"/>
  <c r="D982" i="76" s="1"/>
  <c r="D960" i="76"/>
  <c r="D974" i="76"/>
  <c r="E958" i="76" l="1"/>
  <c r="D836" i="76" l="1"/>
  <c r="D835" i="76"/>
  <c r="D834" i="76"/>
  <c r="D833" i="76"/>
  <c r="H832" i="76"/>
  <c r="G832" i="76"/>
  <c r="F832" i="76"/>
  <c r="E832" i="76"/>
  <c r="D828" i="76"/>
  <c r="D827" i="76"/>
  <c r="D826" i="76"/>
  <c r="D825" i="76"/>
  <c r="H824" i="76"/>
  <c r="G824" i="76"/>
  <c r="F824" i="76"/>
  <c r="E824" i="76"/>
  <c r="D820" i="76"/>
  <c r="D819" i="76"/>
  <c r="D818" i="76"/>
  <c r="D817" i="76"/>
  <c r="H816" i="76"/>
  <c r="G816" i="76"/>
  <c r="F816" i="76"/>
  <c r="E816" i="76"/>
  <c r="D812" i="76"/>
  <c r="D811" i="76"/>
  <c r="D810" i="76"/>
  <c r="D809" i="76"/>
  <c r="H808" i="76"/>
  <c r="G808" i="76"/>
  <c r="F808" i="76"/>
  <c r="E808" i="76"/>
  <c r="I712" i="76" l="1"/>
  <c r="D808" i="76"/>
  <c r="H712" i="76"/>
  <c r="D824" i="76"/>
  <c r="D832" i="76"/>
  <c r="F712" i="76"/>
  <c r="D816" i="76"/>
  <c r="E298" i="76"/>
  <c r="E374" i="76" l="1"/>
  <c r="D375" i="76"/>
  <c r="D376" i="76"/>
  <c r="D377" i="76"/>
  <c r="D378" i="76"/>
  <c r="D374" i="76" l="1"/>
  <c r="D924" i="76" l="1"/>
  <c r="D923" i="76"/>
  <c r="D922" i="76"/>
  <c r="D921" i="76"/>
  <c r="E920" i="76"/>
  <c r="E1092" i="76"/>
  <c r="D920" i="76" l="1"/>
  <c r="E904" i="76" l="1"/>
  <c r="D916" i="76"/>
  <c r="D915" i="76"/>
  <c r="D914" i="76"/>
  <c r="D913" i="76"/>
  <c r="E912" i="76"/>
  <c r="D908" i="76"/>
  <c r="D907" i="76"/>
  <c r="D906" i="76"/>
  <c r="D905" i="76"/>
  <c r="D904" i="76" l="1"/>
  <c r="D912" i="76"/>
  <c r="I1088" i="76" l="1"/>
  <c r="H1088" i="76"/>
  <c r="G1088" i="76"/>
  <c r="F1088" i="76"/>
  <c r="E1088" i="76"/>
  <c r="I1087" i="76"/>
  <c r="H1087" i="76"/>
  <c r="G1087" i="76"/>
  <c r="F1087" i="76"/>
  <c r="E1087" i="76"/>
  <c r="I1086" i="76"/>
  <c r="H1086" i="76"/>
  <c r="G1086" i="76"/>
  <c r="F1086" i="76"/>
  <c r="E1086" i="76"/>
  <c r="I1085" i="76"/>
  <c r="H1085" i="76"/>
  <c r="G1085" i="76"/>
  <c r="F1085" i="76"/>
  <c r="I1066" i="76"/>
  <c r="H1066" i="76"/>
  <c r="G1066" i="76"/>
  <c r="F1066" i="76"/>
  <c r="E1066" i="76"/>
  <c r="I1065" i="76"/>
  <c r="H1065" i="76"/>
  <c r="G1065" i="76"/>
  <c r="F1065" i="76"/>
  <c r="E1065" i="76"/>
  <c r="I1064" i="76"/>
  <c r="H1064" i="76"/>
  <c r="G1064" i="76"/>
  <c r="F1064" i="76"/>
  <c r="E1064" i="76"/>
  <c r="I1063" i="76"/>
  <c r="H1063" i="76"/>
  <c r="G1063" i="76"/>
  <c r="F1063" i="76"/>
  <c r="I1022" i="76"/>
  <c r="H1022" i="76"/>
  <c r="G1022" i="76"/>
  <c r="F1022" i="76"/>
  <c r="E1022" i="76"/>
  <c r="I1021" i="76"/>
  <c r="H1021" i="76"/>
  <c r="G1021" i="76"/>
  <c r="F1021" i="76"/>
  <c r="E1021" i="76"/>
  <c r="I1020" i="76"/>
  <c r="H1020" i="76"/>
  <c r="G1020" i="76"/>
  <c r="F1020" i="76"/>
  <c r="I1019" i="76"/>
  <c r="H1019" i="76"/>
  <c r="G1019" i="76"/>
  <c r="F1019" i="76"/>
  <c r="I1000" i="76"/>
  <c r="H1000" i="76"/>
  <c r="G1000" i="76"/>
  <c r="F1000" i="76"/>
  <c r="E1000" i="76"/>
  <c r="I999" i="76"/>
  <c r="H999" i="76"/>
  <c r="G999" i="76"/>
  <c r="F999" i="76"/>
  <c r="E999" i="76"/>
  <c r="I998" i="76"/>
  <c r="H998" i="76"/>
  <c r="G998" i="76"/>
  <c r="F998" i="76"/>
  <c r="I997" i="76"/>
  <c r="H997" i="76"/>
  <c r="G997" i="76"/>
  <c r="F997" i="76"/>
  <c r="I228" i="76"/>
  <c r="H228" i="76"/>
  <c r="G228" i="76"/>
  <c r="F228" i="76"/>
  <c r="E228" i="76"/>
  <c r="I227" i="76"/>
  <c r="H227" i="76"/>
  <c r="G227" i="76"/>
  <c r="F227" i="76"/>
  <c r="E227" i="76"/>
  <c r="I226" i="76"/>
  <c r="H226" i="76"/>
  <c r="G226" i="76"/>
  <c r="I225" i="76"/>
  <c r="H225" i="76"/>
  <c r="G225" i="76"/>
  <c r="F225" i="76"/>
  <c r="E225" i="76"/>
  <c r="I198" i="76"/>
  <c r="H198" i="76"/>
  <c r="G198" i="76"/>
  <c r="F198" i="76"/>
  <c r="E198" i="76"/>
  <c r="I197" i="76"/>
  <c r="H197" i="76"/>
  <c r="G197" i="76"/>
  <c r="F197" i="76"/>
  <c r="E197" i="76"/>
  <c r="I196" i="76"/>
  <c r="H196" i="76"/>
  <c r="G196" i="76"/>
  <c r="F196" i="76"/>
  <c r="I195" i="76"/>
  <c r="H195" i="76"/>
  <c r="G195" i="76"/>
  <c r="F195" i="76"/>
  <c r="I1102" i="76" l="1"/>
  <c r="H1103" i="76"/>
  <c r="F1102" i="76"/>
  <c r="E1103" i="76"/>
  <c r="I1103" i="76"/>
  <c r="H1099" i="76"/>
  <c r="H1100" i="76"/>
  <c r="G1102" i="76"/>
  <c r="F1103" i="76"/>
  <c r="I1099" i="76"/>
  <c r="I1100" i="76"/>
  <c r="H1102" i="76"/>
  <c r="G1103" i="76"/>
  <c r="D1088" i="76"/>
  <c r="E1085" i="76"/>
  <c r="F1092" i="76"/>
  <c r="D1096" i="76"/>
  <c r="D1095" i="76"/>
  <c r="D1094" i="76"/>
  <c r="D1093" i="76"/>
  <c r="F172" i="76"/>
  <c r="F84" i="76"/>
  <c r="D1092" i="76" l="1"/>
  <c r="D1085" i="76"/>
  <c r="D1066" i="76" l="1"/>
  <c r="E1063" i="76"/>
  <c r="D1082" i="76"/>
  <c r="D1081" i="76"/>
  <c r="D1080" i="76"/>
  <c r="D1079" i="76"/>
  <c r="E1078" i="76"/>
  <c r="D1074" i="76"/>
  <c r="D1073" i="76"/>
  <c r="D1072" i="76"/>
  <c r="D1071" i="76"/>
  <c r="E1070" i="76"/>
  <c r="D1078" i="76" l="1"/>
  <c r="D1070" i="76"/>
  <c r="D710" i="76"/>
  <c r="D709" i="76"/>
  <c r="D708" i="76"/>
  <c r="D707" i="76"/>
  <c r="E706" i="76"/>
  <c r="D702" i="76"/>
  <c r="D701" i="76"/>
  <c r="D700" i="76"/>
  <c r="D699" i="76"/>
  <c r="E698" i="76"/>
  <c r="E250" i="76"/>
  <c r="D250" i="76" s="1"/>
  <c r="D252" i="76"/>
  <c r="D251" i="76"/>
  <c r="D249" i="76"/>
  <c r="E166" i="76"/>
  <c r="E158" i="76"/>
  <c r="E248" i="76" l="1"/>
  <c r="E78" i="76"/>
  <c r="D248" i="76"/>
  <c r="D706" i="76"/>
  <c r="D698" i="76"/>
  <c r="E72" i="76" l="1"/>
  <c r="E70" i="76" s="1"/>
  <c r="D74" i="76"/>
  <c r="D73" i="76"/>
  <c r="D71" i="76"/>
  <c r="F188" i="76"/>
  <c r="F180" i="76"/>
  <c r="D192" i="76"/>
  <c r="D191" i="76"/>
  <c r="D190" i="76"/>
  <c r="D189" i="76"/>
  <c r="D184" i="76"/>
  <c r="D183" i="76"/>
  <c r="D182" i="76"/>
  <c r="D181" i="76"/>
  <c r="E180" i="76"/>
  <c r="D176" i="76"/>
  <c r="D175" i="76"/>
  <c r="E172" i="76"/>
  <c r="D174" i="76"/>
  <c r="D173" i="76"/>
  <c r="E56" i="76"/>
  <c r="E16" i="76" s="1"/>
  <c r="D77" i="76" l="1"/>
  <c r="D72" i="76"/>
  <c r="D70" i="76" s="1"/>
  <c r="D80" i="76"/>
  <c r="D79" i="76"/>
  <c r="D188" i="76"/>
  <c r="D180" i="76"/>
  <c r="D172" i="76"/>
  <c r="E1020" i="76" l="1"/>
  <c r="D1046" i="76" l="1"/>
  <c r="D1045" i="76"/>
  <c r="D1044" i="76"/>
  <c r="D1043" i="76"/>
  <c r="G958" i="76"/>
  <c r="D740" i="76"/>
  <c r="D739" i="76"/>
  <c r="D738" i="76"/>
  <c r="D737" i="76"/>
  <c r="D732" i="76"/>
  <c r="D731" i="76"/>
  <c r="D730" i="76"/>
  <c r="D729" i="76"/>
  <c r="D724" i="76"/>
  <c r="D723" i="76"/>
  <c r="D722" i="76"/>
  <c r="D721" i="76"/>
  <c r="D356" i="76"/>
  <c r="D355" i="76"/>
  <c r="D354" i="76"/>
  <c r="D353" i="76"/>
  <c r="D348" i="76"/>
  <c r="D347" i="76"/>
  <c r="D346" i="76"/>
  <c r="D345" i="76"/>
  <c r="D340" i="76"/>
  <c r="D339" i="76"/>
  <c r="D337" i="76"/>
  <c r="D332" i="76"/>
  <c r="D331" i="76"/>
  <c r="D329" i="76"/>
  <c r="D316" i="76"/>
  <c r="D315" i="76"/>
  <c r="D314" i="76"/>
  <c r="D313" i="76"/>
  <c r="E864" i="76"/>
  <c r="E330" i="76"/>
  <c r="D40" i="76"/>
  <c r="E1019" i="76"/>
  <c r="I1101" i="76"/>
  <c r="H1101" i="76"/>
  <c r="G1101" i="76"/>
  <c r="F1101" i="76"/>
  <c r="E1101" i="76"/>
  <c r="D227" i="76"/>
  <c r="D547" i="76"/>
  <c r="F14" i="76"/>
  <c r="D15" i="76"/>
  <c r="D1038" i="76"/>
  <c r="D1037" i="76"/>
  <c r="D1036" i="76"/>
  <c r="D1035" i="76"/>
  <c r="F1034" i="76"/>
  <c r="E1034" i="76"/>
  <c r="D686" i="76"/>
  <c r="D685" i="76"/>
  <c r="D684" i="76"/>
  <c r="D683" i="76"/>
  <c r="E682" i="76"/>
  <c r="E666" i="76"/>
  <c r="E586" i="76"/>
  <c r="D590" i="76"/>
  <c r="D588" i="76"/>
  <c r="D587" i="76"/>
  <c r="D582" i="76"/>
  <c r="D581" i="76"/>
  <c r="D580" i="76"/>
  <c r="D579" i="76"/>
  <c r="E578" i="76"/>
  <c r="D573" i="76"/>
  <c r="D574" i="76"/>
  <c r="D572" i="76"/>
  <c r="D571" i="76"/>
  <c r="E570" i="76"/>
  <c r="D566" i="76"/>
  <c r="D565" i="76"/>
  <c r="D564" i="76"/>
  <c r="D563" i="76"/>
  <c r="E562" i="76"/>
  <c r="D557" i="76"/>
  <c r="D558" i="76"/>
  <c r="D556" i="76"/>
  <c r="D555" i="76"/>
  <c r="E554" i="76"/>
  <c r="D597" i="76"/>
  <c r="D598" i="76"/>
  <c r="D596" i="76"/>
  <c r="D595" i="76"/>
  <c r="E594" i="76"/>
  <c r="D589" i="76"/>
  <c r="E338" i="76"/>
  <c r="D338" i="76" s="1"/>
  <c r="G272" i="76"/>
  <c r="F100" i="76"/>
  <c r="G100" i="76"/>
  <c r="D101" i="76"/>
  <c r="E100" i="76"/>
  <c r="D103" i="76"/>
  <c r="D104" i="76"/>
  <c r="D58" i="76"/>
  <c r="D57" i="76"/>
  <c r="E54" i="76"/>
  <c r="D56" i="76"/>
  <c r="D55" i="76"/>
  <c r="D102" i="76"/>
  <c r="D166" i="76"/>
  <c r="D164" i="76" s="1"/>
  <c r="E164" i="76"/>
  <c r="D158" i="76"/>
  <c r="D156" i="76" s="1"/>
  <c r="E156" i="76"/>
  <c r="F468" i="76"/>
  <c r="F454" i="76"/>
  <c r="F452" i="76" s="1"/>
  <c r="D64" i="76"/>
  <c r="F242" i="76"/>
  <c r="F240" i="76" s="1"/>
  <c r="E226" i="76"/>
  <c r="E510" i="76"/>
  <c r="E430" i="76" s="1"/>
  <c r="E468" i="76"/>
  <c r="F232" i="76"/>
  <c r="D549" i="76"/>
  <c r="F462" i="76"/>
  <c r="F460" i="76" s="1"/>
  <c r="E460" i="76"/>
  <c r="E850" i="76"/>
  <c r="F736" i="76"/>
  <c r="E736" i="76"/>
  <c r="E1102" i="76"/>
  <c r="E997" i="76"/>
  <c r="D1016" i="76"/>
  <c r="D1015" i="76"/>
  <c r="D1014" i="76"/>
  <c r="D1013" i="76"/>
  <c r="E1012" i="76"/>
  <c r="D32" i="76"/>
  <c r="E220" i="76"/>
  <c r="D220" i="76" s="1"/>
  <c r="D218" i="76" s="1"/>
  <c r="D212" i="76"/>
  <c r="D478" i="76"/>
  <c r="D488" i="76"/>
  <c r="D487" i="76"/>
  <c r="D486" i="76"/>
  <c r="D485" i="76"/>
  <c r="E477" i="76"/>
  <c r="D477" i="76" s="1"/>
  <c r="E484" i="76"/>
  <c r="D874" i="76"/>
  <c r="G754" i="76"/>
  <c r="G752" i="76" s="1"/>
  <c r="G746" i="76"/>
  <c r="E352" i="76"/>
  <c r="F272" i="76"/>
  <c r="E720" i="76"/>
  <c r="F118" i="76"/>
  <c r="E132" i="76"/>
  <c r="E1042" i="76"/>
  <c r="E1006" i="76"/>
  <c r="E998" i="76" s="1"/>
  <c r="E728" i="76"/>
  <c r="E896" i="76"/>
  <c r="D528" i="76"/>
  <c r="D527" i="76"/>
  <c r="D526" i="76"/>
  <c r="D525" i="76"/>
  <c r="E524" i="76"/>
  <c r="E344" i="76"/>
  <c r="D324" i="76"/>
  <c r="D323" i="76"/>
  <c r="E320" i="76"/>
  <c r="D322" i="76"/>
  <c r="D321" i="76"/>
  <c r="E296" i="76"/>
  <c r="E312" i="76"/>
  <c r="E195" i="76"/>
  <c r="D150" i="76"/>
  <c r="E148" i="76"/>
  <c r="D148" i="76" s="1"/>
  <c r="D142" i="76"/>
  <c r="E140" i="76"/>
  <c r="D140" i="76" s="1"/>
  <c r="E124" i="76"/>
  <c r="D50" i="76"/>
  <c r="D49" i="76"/>
  <c r="E46" i="76"/>
  <c r="D48" i="76"/>
  <c r="D47" i="76"/>
  <c r="G470" i="76"/>
  <c r="G468" i="76" s="1"/>
  <c r="G462" i="76"/>
  <c r="G460" i="76" s="1"/>
  <c r="G446" i="76"/>
  <c r="F446" i="76"/>
  <c r="F126" i="76"/>
  <c r="D86" i="76"/>
  <c r="G423" i="76"/>
  <c r="G359" i="76" s="1"/>
  <c r="F423" i="76"/>
  <c r="F359" i="76" s="1"/>
  <c r="G857" i="76"/>
  <c r="F510" i="76"/>
  <c r="F508" i="76" s="1"/>
  <c r="D502" i="76"/>
  <c r="D512" i="76"/>
  <c r="D511" i="76"/>
  <c r="D509" i="76"/>
  <c r="D504" i="76"/>
  <c r="D503" i="76"/>
  <c r="E500" i="76"/>
  <c r="D501" i="76"/>
  <c r="F132" i="76"/>
  <c r="D636" i="76"/>
  <c r="D638" i="76"/>
  <c r="D637" i="76"/>
  <c r="D635" i="76"/>
  <c r="D426" i="76"/>
  <c r="D425" i="76"/>
  <c r="D424" i="76"/>
  <c r="E422" i="76"/>
  <c r="D418" i="76"/>
  <c r="D417" i="76"/>
  <c r="D416" i="76"/>
  <c r="D415" i="76"/>
  <c r="E414" i="76"/>
  <c r="D308" i="76"/>
  <c r="D307" i="76"/>
  <c r="D306" i="76"/>
  <c r="D305" i="76"/>
  <c r="E304" i="76"/>
  <c r="D1030" i="76"/>
  <c r="D1029" i="76"/>
  <c r="D1027" i="76"/>
  <c r="F1026" i="76"/>
  <c r="D970" i="76"/>
  <c r="D969" i="76"/>
  <c r="D968" i="76"/>
  <c r="D967" i="76"/>
  <c r="E966" i="76"/>
  <c r="D410" i="76"/>
  <c r="D409" i="76"/>
  <c r="D408" i="76"/>
  <c r="D407" i="76"/>
  <c r="E406" i="76"/>
  <c r="D402" i="76"/>
  <c r="D401" i="76"/>
  <c r="D400" i="76"/>
  <c r="D399" i="76"/>
  <c r="E398" i="76"/>
  <c r="D394" i="76"/>
  <c r="D393" i="76"/>
  <c r="D392" i="76"/>
  <c r="D391" i="76"/>
  <c r="E390" i="76"/>
  <c r="D386" i="76"/>
  <c r="D385" i="76"/>
  <c r="D384" i="76"/>
  <c r="D383" i="76"/>
  <c r="E382" i="76"/>
  <c r="D370" i="76"/>
  <c r="D369" i="76"/>
  <c r="D368" i="76"/>
  <c r="D367" i="76"/>
  <c r="E366" i="76"/>
  <c r="D900" i="76"/>
  <c r="D899" i="76"/>
  <c r="D897" i="76"/>
  <c r="F896" i="76"/>
  <c r="D892" i="76"/>
  <c r="D891" i="76"/>
  <c r="D890" i="76"/>
  <c r="D889" i="76"/>
  <c r="F888" i="76"/>
  <c r="E888" i="76"/>
  <c r="D884" i="76"/>
  <c r="D883" i="76"/>
  <c r="D882" i="76"/>
  <c r="D881" i="76"/>
  <c r="E880" i="76"/>
  <c r="D876" i="76"/>
  <c r="D875" i="76"/>
  <c r="D873" i="76"/>
  <c r="D868" i="76"/>
  <c r="D867" i="76"/>
  <c r="D865" i="76"/>
  <c r="D860" i="76"/>
  <c r="D859" i="76"/>
  <c r="D858" i="76"/>
  <c r="H856" i="76"/>
  <c r="F856" i="76"/>
  <c r="D852" i="76"/>
  <c r="D851" i="76"/>
  <c r="D849" i="76"/>
  <c r="F848" i="76"/>
  <c r="D844" i="76"/>
  <c r="D843" i="76"/>
  <c r="D841" i="76"/>
  <c r="D804" i="76"/>
  <c r="D803" i="76"/>
  <c r="D802" i="76"/>
  <c r="D801" i="76"/>
  <c r="F800" i="76"/>
  <c r="E800" i="76"/>
  <c r="D796" i="76"/>
  <c r="D795" i="76"/>
  <c r="D794" i="76"/>
  <c r="D793" i="76"/>
  <c r="E792" i="76"/>
  <c r="D788" i="76"/>
  <c r="D787" i="76"/>
  <c r="D786" i="76"/>
  <c r="D785" i="76"/>
  <c r="D780" i="76"/>
  <c r="D779" i="76"/>
  <c r="D778" i="76"/>
  <c r="D777" i="76"/>
  <c r="E776" i="76"/>
  <c r="D772" i="76"/>
  <c r="D771" i="76"/>
  <c r="D770" i="76"/>
  <c r="D769" i="76"/>
  <c r="E768" i="76"/>
  <c r="D764" i="76"/>
  <c r="D763" i="76"/>
  <c r="D762" i="76"/>
  <c r="D761" i="76"/>
  <c r="E760" i="76"/>
  <c r="D756" i="76"/>
  <c r="D755" i="76"/>
  <c r="D753" i="76"/>
  <c r="F752" i="76"/>
  <c r="E752" i="76"/>
  <c r="D748" i="76"/>
  <c r="D747" i="76"/>
  <c r="D745" i="76"/>
  <c r="F744" i="76"/>
  <c r="E744" i="76"/>
  <c r="D1060" i="76"/>
  <c r="D1059" i="76"/>
  <c r="D1058" i="76"/>
  <c r="D1057" i="76"/>
  <c r="E1056" i="76"/>
  <c r="D1052" i="76"/>
  <c r="I1048" i="76"/>
  <c r="D300" i="76"/>
  <c r="D299" i="76"/>
  <c r="D298" i="76"/>
  <c r="D297" i="76"/>
  <c r="D292" i="76"/>
  <c r="D291" i="76"/>
  <c r="D290" i="76"/>
  <c r="D289" i="76"/>
  <c r="E288" i="76"/>
  <c r="D284" i="76"/>
  <c r="D283" i="76"/>
  <c r="D282" i="76"/>
  <c r="D281" i="76"/>
  <c r="E280" i="76"/>
  <c r="D276" i="76"/>
  <c r="D275" i="76"/>
  <c r="D273" i="76"/>
  <c r="D268" i="76"/>
  <c r="D267" i="76"/>
  <c r="D266" i="76"/>
  <c r="D265" i="76"/>
  <c r="D264" i="76"/>
  <c r="E263" i="76"/>
  <c r="D214" i="76"/>
  <c r="D213" i="76"/>
  <c r="D211" i="76"/>
  <c r="D206" i="76"/>
  <c r="D205" i="76"/>
  <c r="D203" i="76"/>
  <c r="H202" i="76"/>
  <c r="G202" i="76"/>
  <c r="F202" i="76"/>
  <c r="D1008" i="76"/>
  <c r="D1007" i="76"/>
  <c r="D1005" i="76"/>
  <c r="D694" i="76"/>
  <c r="D693" i="76"/>
  <c r="D692" i="76"/>
  <c r="D691" i="76"/>
  <c r="G690" i="76"/>
  <c r="F690" i="76"/>
  <c r="E690" i="76"/>
  <c r="D678" i="76"/>
  <c r="D677" i="76"/>
  <c r="D675" i="76"/>
  <c r="F674" i="76"/>
  <c r="D670" i="76"/>
  <c r="D669" i="76"/>
  <c r="D667" i="76"/>
  <c r="D662" i="76"/>
  <c r="D661" i="76"/>
  <c r="D660" i="76"/>
  <c r="D659" i="76"/>
  <c r="E658" i="76"/>
  <c r="D654" i="76"/>
  <c r="D653" i="76"/>
  <c r="D652" i="76"/>
  <c r="D651" i="76"/>
  <c r="E650" i="76"/>
  <c r="D646" i="76"/>
  <c r="D644" i="76"/>
  <c r="D643" i="76"/>
  <c r="E642" i="76"/>
  <c r="D630" i="76"/>
  <c r="D629" i="76"/>
  <c r="D628" i="76"/>
  <c r="D627" i="76"/>
  <c r="E626" i="76"/>
  <c r="D622" i="76"/>
  <c r="D621" i="76"/>
  <c r="D620" i="76"/>
  <c r="D619" i="76"/>
  <c r="F618" i="76"/>
  <c r="E618" i="76"/>
  <c r="D614" i="76"/>
  <c r="D613" i="76"/>
  <c r="D612" i="76"/>
  <c r="D611" i="76"/>
  <c r="F610" i="76"/>
  <c r="E610" i="76"/>
  <c r="D606" i="76"/>
  <c r="D605" i="76"/>
  <c r="D604" i="76"/>
  <c r="D603" i="76"/>
  <c r="G602" i="76"/>
  <c r="F602" i="76"/>
  <c r="E602" i="76"/>
  <c r="D496" i="76"/>
  <c r="D495" i="76"/>
  <c r="D494" i="76"/>
  <c r="D493" i="76"/>
  <c r="E492" i="76"/>
  <c r="D480" i="76"/>
  <c r="D479" i="76"/>
  <c r="D472" i="76"/>
  <c r="D471" i="76"/>
  <c r="D469" i="76"/>
  <c r="D464" i="76"/>
  <c r="D463" i="76"/>
  <c r="D461" i="76"/>
  <c r="D456" i="76"/>
  <c r="D455" i="76"/>
  <c r="D453" i="76"/>
  <c r="D448" i="76"/>
  <c r="D447" i="76"/>
  <c r="D440" i="76"/>
  <c r="D439" i="76"/>
  <c r="D437" i="76"/>
  <c r="D244" i="76"/>
  <c r="D243" i="76"/>
  <c r="D241" i="76"/>
  <c r="D236" i="76"/>
  <c r="D235" i="76"/>
  <c r="D233" i="76"/>
  <c r="E232" i="76"/>
  <c r="D136" i="76"/>
  <c r="D135" i="76"/>
  <c r="D133" i="76"/>
  <c r="D128" i="76"/>
  <c r="D127" i="76"/>
  <c r="D125" i="76"/>
  <c r="D120" i="76"/>
  <c r="D119" i="76"/>
  <c r="D117" i="76"/>
  <c r="G116" i="76"/>
  <c r="E116" i="76"/>
  <c r="D112" i="76"/>
  <c r="D111" i="76"/>
  <c r="D109" i="76"/>
  <c r="E108" i="76"/>
  <c r="D96" i="76"/>
  <c r="D95" i="76"/>
  <c r="D94" i="76"/>
  <c r="D93" i="76"/>
  <c r="E92" i="76"/>
  <c r="D88" i="76"/>
  <c r="D87" i="76"/>
  <c r="D85" i="76"/>
  <c r="D66" i="76"/>
  <c r="D65" i="76"/>
  <c r="D63" i="76"/>
  <c r="D42" i="76"/>
  <c r="D41" i="76"/>
  <c r="D39" i="76"/>
  <c r="I38" i="76"/>
  <c r="H38" i="76"/>
  <c r="G38" i="76"/>
  <c r="F38" i="76"/>
  <c r="D34" i="76"/>
  <c r="D33" i="76"/>
  <c r="D31" i="76"/>
  <c r="E30" i="76"/>
  <c r="D26" i="76"/>
  <c r="D25" i="76"/>
  <c r="D24" i="76"/>
  <c r="D23" i="76"/>
  <c r="F22" i="76"/>
  <c r="E22" i="76"/>
  <c r="D1028" i="76"/>
  <c r="F546" i="76"/>
  <c r="G546" i="76"/>
  <c r="G1048" i="76"/>
  <c r="E1026" i="76"/>
  <c r="D550" i="76"/>
  <c r="I546" i="76"/>
  <c r="H546" i="76"/>
  <c r="G712" i="76" l="1"/>
  <c r="G76" i="76"/>
  <c r="D118" i="76"/>
  <c r="D116" i="76" s="1"/>
  <c r="F78" i="76"/>
  <c r="E429" i="76"/>
  <c r="E1099" i="76" s="1"/>
  <c r="G430" i="76"/>
  <c r="F430" i="76"/>
  <c r="F428" i="76" s="1"/>
  <c r="D330" i="76"/>
  <c r="D328" i="76" s="1"/>
  <c r="E256" i="76"/>
  <c r="E254" i="76" s="1"/>
  <c r="D754" i="76"/>
  <c r="D752" i="76" s="1"/>
  <c r="E508" i="76"/>
  <c r="E674" i="76"/>
  <c r="E848" i="76"/>
  <c r="F226" i="76"/>
  <c r="F224" i="76" s="1"/>
  <c r="D713" i="76"/>
  <c r="E62" i="76"/>
  <c r="D842" i="76"/>
  <c r="D840" i="76" s="1"/>
  <c r="G1099" i="76"/>
  <c r="D857" i="76"/>
  <c r="D856" i="76" s="1"/>
  <c r="F116" i="76"/>
  <c r="E240" i="76"/>
  <c r="D668" i="76"/>
  <c r="D666" i="76" s="1"/>
  <c r="E840" i="76"/>
  <c r="D204" i="76"/>
  <c r="D202" i="76" s="1"/>
  <c r="E196" i="76"/>
  <c r="D196" i="76" s="1"/>
  <c r="D16" i="76"/>
  <c r="G744" i="76"/>
  <c r="E436" i="76"/>
  <c r="E210" i="76"/>
  <c r="E328" i="76"/>
  <c r="G444" i="76"/>
  <c r="E272" i="76"/>
  <c r="F500" i="76"/>
  <c r="F422" i="76"/>
  <c r="F1099" i="76"/>
  <c r="I1084" i="76"/>
  <c r="H1084" i="76"/>
  <c r="D1087" i="76"/>
  <c r="F1084" i="76"/>
  <c r="F996" i="76"/>
  <c r="F108" i="76"/>
  <c r="D438" i="76"/>
  <c r="D436" i="76" s="1"/>
  <c r="D602" i="76"/>
  <c r="D626" i="76"/>
  <c r="E202" i="76"/>
  <c r="D866" i="76"/>
  <c r="D864" i="76" s="1"/>
  <c r="E218" i="76"/>
  <c r="D62" i="76"/>
  <c r="E84" i="76"/>
  <c r="E76" i="76" s="1"/>
  <c r="D792" i="76"/>
  <c r="D898" i="76"/>
  <c r="D896" i="76" s="1"/>
  <c r="E634" i="76"/>
  <c r="H194" i="76"/>
  <c r="D1063" i="76"/>
  <c r="D274" i="76"/>
  <c r="D272" i="76" s="1"/>
  <c r="D1056" i="76"/>
  <c r="H996" i="76"/>
  <c r="D999" i="76"/>
  <c r="I996" i="76"/>
  <c r="D280" i="76"/>
  <c r="D288" i="76"/>
  <c r="D296" i="76"/>
  <c r="D1049" i="76"/>
  <c r="D1050" i="76"/>
  <c r="D746" i="76"/>
  <c r="D744" i="76" s="1"/>
  <c r="D46" i="76"/>
  <c r="D225" i="76"/>
  <c r="I224" i="76"/>
  <c r="D258" i="76"/>
  <c r="D431" i="76"/>
  <c r="D312" i="76"/>
  <c r="I958" i="76"/>
  <c r="D110" i="76"/>
  <c r="D108" i="76" s="1"/>
  <c r="D263" i="76"/>
  <c r="D195" i="76"/>
  <c r="D476" i="76"/>
  <c r="D1012" i="76"/>
  <c r="D1000" i="76"/>
  <c r="D594" i="76"/>
  <c r="D554" i="76"/>
  <c r="D562" i="76"/>
  <c r="D570" i="76"/>
  <c r="D578" i="76"/>
  <c r="D682" i="76"/>
  <c r="I14" i="76"/>
  <c r="H14" i="76"/>
  <c r="D18" i="76"/>
  <c r="H428" i="76"/>
  <c r="D134" i="76"/>
  <c r="D132" i="76" s="1"/>
  <c r="D445" i="76"/>
  <c r="D462" i="76"/>
  <c r="D460" i="76" s="1"/>
  <c r="D1006" i="76"/>
  <c r="D1004" i="76" s="1"/>
  <c r="D210" i="76"/>
  <c r="D362" i="76"/>
  <c r="E336" i="76"/>
  <c r="D997" i="76"/>
  <c r="E476" i="76"/>
  <c r="G996" i="76"/>
  <c r="D234" i="76"/>
  <c r="D232" i="76" s="1"/>
  <c r="E358" i="76"/>
  <c r="D454" i="76"/>
  <c r="D452" i="76" s="1"/>
  <c r="D676" i="76"/>
  <c r="D674" i="76" s="1"/>
  <c r="D690" i="76"/>
  <c r="D850" i="76"/>
  <c r="D848" i="76" s="1"/>
  <c r="G358" i="76"/>
  <c r="H358" i="76"/>
  <c r="D361" i="76"/>
  <c r="D872" i="76"/>
  <c r="D336" i="76"/>
  <c r="D344" i="76"/>
  <c r="D352" i="76"/>
  <c r="D720" i="76"/>
  <c r="D728" i="76"/>
  <c r="D736" i="76"/>
  <c r="D959" i="76"/>
  <c r="D962" i="76"/>
  <c r="D961" i="76"/>
  <c r="H958" i="76"/>
  <c r="E38" i="76"/>
  <c r="D92" i="76"/>
  <c r="E452" i="76"/>
  <c r="D492" i="76"/>
  <c r="D610" i="76"/>
  <c r="D618" i="76"/>
  <c r="D642" i="76"/>
  <c r="D650" i="76"/>
  <c r="D658" i="76"/>
  <c r="D304" i="76"/>
  <c r="D414" i="76"/>
  <c r="I358" i="76"/>
  <c r="F958" i="76"/>
  <c r="D22" i="76"/>
  <c r="D30" i="76"/>
  <c r="D38" i="76"/>
  <c r="E1004" i="76"/>
  <c r="F1048" i="76"/>
  <c r="D760" i="76"/>
  <c r="D768" i="76"/>
  <c r="D776" i="76"/>
  <c r="E784" i="76"/>
  <c r="D784" i="76"/>
  <c r="D800" i="76"/>
  <c r="D634" i="76"/>
  <c r="D500" i="76"/>
  <c r="G422" i="76"/>
  <c r="D423" i="76"/>
  <c r="D422" i="76" s="1"/>
  <c r="F444" i="76"/>
  <c r="D320" i="76"/>
  <c r="D586" i="76"/>
  <c r="D524" i="76"/>
  <c r="H1048" i="76"/>
  <c r="D1051" i="76"/>
  <c r="D880" i="76"/>
  <c r="D888" i="76"/>
  <c r="D366" i="76"/>
  <c r="D382" i="76"/>
  <c r="D390" i="76"/>
  <c r="D398" i="76"/>
  <c r="D406" i="76"/>
  <c r="D966" i="76"/>
  <c r="D484" i="76"/>
  <c r="D446" i="76"/>
  <c r="D100" i="76"/>
  <c r="G194" i="76"/>
  <c r="F194" i="76"/>
  <c r="D198" i="76"/>
  <c r="H224" i="76"/>
  <c r="G224" i="76"/>
  <c r="D257" i="76"/>
  <c r="I1062" i="76"/>
  <c r="H1062" i="76"/>
  <c r="I428" i="76"/>
  <c r="D432" i="76"/>
  <c r="D715" i="76"/>
  <c r="D1019" i="76"/>
  <c r="I1018" i="76"/>
  <c r="H1018" i="76"/>
  <c r="D84" i="76"/>
  <c r="D54" i="76"/>
  <c r="D998" i="76"/>
  <c r="E996" i="76"/>
  <c r="E224" i="76"/>
  <c r="D1101" i="76"/>
  <c r="E1048" i="76"/>
  <c r="G14" i="76"/>
  <c r="D360" i="76"/>
  <c r="D259" i="76"/>
  <c r="D17" i="76"/>
  <c r="F124" i="76"/>
  <c r="E872" i="76"/>
  <c r="D510" i="76"/>
  <c r="D508" i="76" s="1"/>
  <c r="I194" i="76"/>
  <c r="D1034" i="76"/>
  <c r="F1062" i="76"/>
  <c r="D197" i="76"/>
  <c r="D716" i="76"/>
  <c r="D242" i="76"/>
  <c r="D240" i="76" s="1"/>
  <c r="E444" i="76"/>
  <c r="G856" i="76"/>
  <c r="D228" i="76"/>
  <c r="D126" i="76"/>
  <c r="D124" i="76" s="1"/>
  <c r="D470" i="76"/>
  <c r="D468" i="76" s="1"/>
  <c r="D1026" i="76"/>
  <c r="D1042" i="76"/>
  <c r="F1018" i="76"/>
  <c r="D1021" i="76"/>
  <c r="G1018" i="76"/>
  <c r="D1022" i="76"/>
  <c r="D1020" i="76"/>
  <c r="E1018" i="76"/>
  <c r="D255" i="76"/>
  <c r="F76" i="76" l="1"/>
  <c r="D256" i="76"/>
  <c r="D254" i="76" s="1"/>
  <c r="D429" i="76"/>
  <c r="D226" i="76"/>
  <c r="D224" i="76" s="1"/>
  <c r="E1100" i="76"/>
  <c r="D714" i="76"/>
  <c r="D712" i="76" s="1"/>
  <c r="E712" i="76"/>
  <c r="G1100" i="76"/>
  <c r="G1098" i="76" s="1"/>
  <c r="D444" i="76"/>
  <c r="G428" i="76"/>
  <c r="F1100" i="76"/>
  <c r="F1098" i="76" s="1"/>
  <c r="D78" i="76"/>
  <c r="D76" i="76" s="1"/>
  <c r="D1086" i="76"/>
  <c r="D1084" i="76" s="1"/>
  <c r="E1084" i="76"/>
  <c r="G1084" i="76"/>
  <c r="D359" i="76"/>
  <c r="D358" i="76" s="1"/>
  <c r="F358" i="76"/>
  <c r="D430" i="76"/>
  <c r="D1065" i="76"/>
  <c r="G1062" i="76"/>
  <c r="D1064" i="76"/>
  <c r="E1062" i="76"/>
  <c r="D996" i="76"/>
  <c r="D1099" i="76"/>
  <c r="E194" i="76"/>
  <c r="H1098" i="76"/>
  <c r="D1048" i="76"/>
  <c r="D958" i="76"/>
  <c r="E428" i="76"/>
  <c r="D194" i="76"/>
  <c r="D14" i="76"/>
  <c r="I1098" i="76"/>
  <c r="E14" i="76"/>
  <c r="D1102" i="76"/>
  <c r="D1103" i="76"/>
  <c r="D548" i="76"/>
  <c r="D546" i="76" s="1"/>
  <c r="E546" i="76"/>
  <c r="D1018" i="76"/>
  <c r="D428" i="76" l="1"/>
  <c r="D1062" i="76"/>
  <c r="D1100" i="76"/>
  <c r="D1098" i="76" s="1"/>
  <c r="E1098" i="76"/>
</calcChain>
</file>

<file path=xl/sharedStrings.xml><?xml version="1.0" encoding="utf-8"?>
<sst xmlns="http://schemas.openxmlformats.org/spreadsheetml/2006/main" count="3183" uniqueCount="701">
  <si>
    <t>федеральный бюджет</t>
  </si>
  <si>
    <t>краевой бюджет</t>
  </si>
  <si>
    <t>местные бюджеты</t>
  </si>
  <si>
    <t>внебюджетные источники</t>
  </si>
  <si>
    <t xml:space="preserve">мощность </t>
  </si>
  <si>
    <t>Итого</t>
  </si>
  <si>
    <t>наличие ПД</t>
  </si>
  <si>
    <t>переходящий</t>
  </si>
  <si>
    <t>соглашение</t>
  </si>
  <si>
    <t>муниципальная</t>
  </si>
  <si>
    <t>Петропавловск-Камчатский городской округ</t>
  </si>
  <si>
    <t>региональная</t>
  </si>
  <si>
    <t>Елизовский муниципальный район</t>
  </si>
  <si>
    <t>Мильковский муниципальный район</t>
  </si>
  <si>
    <t>Усть-Камчатский муниципальный район</t>
  </si>
  <si>
    <t>Быстринский муниципальный район</t>
  </si>
  <si>
    <t>Министерство строительства Камчатского края</t>
  </si>
  <si>
    <t>Пенжинский муниципальный район</t>
  </si>
  <si>
    <t>вновь начинаемый</t>
  </si>
  <si>
    <t>Министерство транспорта и дорожного строительства Камчатского края</t>
  </si>
  <si>
    <t>КГКУ "Управление автомобильных дорог Камчатского края"</t>
  </si>
  <si>
    <t>Министерство ЖКХ и энергетики Камчатского края</t>
  </si>
  <si>
    <t>Министерство сельского хозяйства, пищевой и перерабатывающей промышленности Камчатского края</t>
  </si>
  <si>
    <t>Агентство по ветеринарии Камчатского края</t>
  </si>
  <si>
    <t>Министерство здравоохранения Камчатского края</t>
  </si>
  <si>
    <t>Предельные объемы денежных средств, направляемых на реализацию объекта Инвестиционной программы, в разрезе источников финансирования на очередной финансовый год, плановый и прогнозный периоды</t>
  </si>
  <si>
    <t>Приобретение жилых помещений в собственность Камчатского края для обеспечения служебными жилыми помещениями медицинских работников здравоохранения Камчатского края</t>
  </si>
  <si>
    <t>200 мест</t>
  </si>
  <si>
    <t>260 мест</t>
  </si>
  <si>
    <t>Министерство социального развития и труда Камчатского края</t>
  </si>
  <si>
    <t>1.</t>
  </si>
  <si>
    <t>1.1.</t>
  </si>
  <si>
    <t>1.2.</t>
  </si>
  <si>
    <t>1.3.</t>
  </si>
  <si>
    <t>1.4.</t>
  </si>
  <si>
    <t>1.5.</t>
  </si>
  <si>
    <t>2.</t>
  </si>
  <si>
    <t>3.</t>
  </si>
  <si>
    <t>2.1.</t>
  </si>
  <si>
    <t>2.2.</t>
  </si>
  <si>
    <t>2.3.</t>
  </si>
  <si>
    <t>2.4.</t>
  </si>
  <si>
    <t>3.1.</t>
  </si>
  <si>
    <t>4.</t>
  </si>
  <si>
    <t>4.1.</t>
  </si>
  <si>
    <t>4.2.</t>
  </si>
  <si>
    <t>5.</t>
  </si>
  <si>
    <t>5.1.</t>
  </si>
  <si>
    <t>5.2.</t>
  </si>
  <si>
    <t>8.</t>
  </si>
  <si>
    <t>8.1.</t>
  </si>
  <si>
    <t>8.2.</t>
  </si>
  <si>
    <t>9.</t>
  </si>
  <si>
    <t>9.1.</t>
  </si>
  <si>
    <t>10.</t>
  </si>
  <si>
    <t>10.1.</t>
  </si>
  <si>
    <t>13.</t>
  </si>
  <si>
    <t>13.1.</t>
  </si>
  <si>
    <t>КГКУ «Центр обеспечения действий по гражданской обороне, чрезвычайным ситуациям и пожарной безопасности в Камчатском крае»</t>
  </si>
  <si>
    <t>2017 год</t>
  </si>
  <si>
    <t>2018 год</t>
  </si>
  <si>
    <t>6.</t>
  </si>
  <si>
    <t>6.1.</t>
  </si>
  <si>
    <t>7.</t>
  </si>
  <si>
    <t>7.1.</t>
  </si>
  <si>
    <t>9.3.</t>
  </si>
  <si>
    <t>12.</t>
  </si>
  <si>
    <t>12.1.</t>
  </si>
  <si>
    <t>муниципальные образования в Камчатском крае</t>
  </si>
  <si>
    <t>бюджетные инвестиции на приобретение объектов недвижимого имущества в государственную (муниципальную) собственность</t>
  </si>
  <si>
    <t>бюджетные инвестиции в объекты капитального строительства государственной (муниципальной) собственности</t>
  </si>
  <si>
    <t>субсидии на софинансирование  капитальных вложений в объекты государственной (муниципальной) собственности</t>
  </si>
  <si>
    <t>субсидии на софинансирование капитальных вложений в объекты государственной (муниципальной) собственности</t>
  </si>
  <si>
    <t>Министерство имущественных и земельных отношений Камчатского края</t>
  </si>
  <si>
    <t>администрации муниципальных образований в Камчатском крае</t>
  </si>
  <si>
    <t>получатель средств краевого бюджета</t>
  </si>
  <si>
    <t>2019 год</t>
  </si>
  <si>
    <t>Переселение граждан из аварийных жилых домов и непригодных для проживания жилых помещений в соответствии с жилищным законодательством</t>
  </si>
  <si>
    <t>250 мест 4208,3 м2</t>
  </si>
  <si>
    <t>Капитальные вложения в основные средства ГУП "Камчатстройэнергосервис" на строительство, реконструкцию помещений в ДОЛ им.Ю.Гагарина</t>
  </si>
  <si>
    <t>Министерство культуры Камчатского края</t>
  </si>
  <si>
    <t>государственный (муниципальный) заказчик Камчатского  края</t>
  </si>
  <si>
    <t>11.</t>
  </si>
  <si>
    <t>11.1.</t>
  </si>
  <si>
    <t>способ финансового обеспечения осуществления капитальных вложений</t>
  </si>
  <si>
    <t>разработка проектной документации</t>
  </si>
  <si>
    <t>срок ввода в эксплуатацию и/или нормативный срок реализации объекта Инвестиционной программы</t>
  </si>
  <si>
    <t>застройщик (в отношении объектов Инвестиционной программы государственной собственности Камчатского края, собственности муниципальных образований)</t>
  </si>
  <si>
    <t>форма собственности</t>
  </si>
  <si>
    <t>наименование муниципального образования (муниципальных образований), на территории (ях) которого (ых) расположен (ы) объект (ы) Инвестиционной программы</t>
  </si>
  <si>
    <t>Детский сад на 200 мест в  п. Ключи Усть-Камчатского района</t>
  </si>
  <si>
    <t>Эссовское сельское поселение</t>
  </si>
  <si>
    <t>Камчатский театр кукол г. Петропавловск-Камчатский</t>
  </si>
  <si>
    <t>Аппарат Губернатора и Правительства Камчатского края</t>
  </si>
  <si>
    <t>5 ед.</t>
  </si>
  <si>
    <t xml:space="preserve">2018 год, 3 года </t>
  </si>
  <si>
    <t>2018 год, 5 лет</t>
  </si>
  <si>
    <t>6708,1 м2</t>
  </si>
  <si>
    <t>Реконструкция автомобильной дороги Петропавловск-Камчатский - Мильково на участке км 208 - км 219</t>
  </si>
  <si>
    <t>Реконструкция автомобильной дороги Петропавловск-Камчатский - Мильково на участке км 220 - км 230</t>
  </si>
  <si>
    <t>Строительство автозимника продленного действия  Анавгай - Палана на участке км 0 - км 16</t>
  </si>
  <si>
    <t>приобретение</t>
  </si>
  <si>
    <t>Группа жилой застройки в границах ул. Свердлова, ул. Хуторская в г. Елизово Камчатского края</t>
  </si>
  <si>
    <t>КГКУ "Служба заказчика Министерства строительства Камчатского края"</t>
  </si>
  <si>
    <t>Министерство специальных программ и по делам казачества Камчатского края</t>
  </si>
  <si>
    <t>400 мест</t>
  </si>
  <si>
    <t xml:space="preserve">10,974 км </t>
  </si>
  <si>
    <t xml:space="preserve">11,995 км </t>
  </si>
  <si>
    <t>Микрорайон жилой застройки в районе Северо-Восточного шоссе, г. Петропавловска-Камчатского (2 очередь). Детский сад на 260 мест по ул. Дальневосточной</t>
  </si>
  <si>
    <t>сметная стоимость в ценах соответствующих лет или предполагаемая (предельная) стоимость, либо стоимость приобретения</t>
  </si>
  <si>
    <t>Государственная программа Камчатского края "Развитие здравоохранения Камчатского края"</t>
  </si>
  <si>
    <t>2021 год</t>
  </si>
  <si>
    <t>Соболевский муниципальный район в Камчатском крае</t>
  </si>
  <si>
    <t>2022 год</t>
  </si>
  <si>
    <t>Государственная программа Камчатского края  "Развитие образования в Камчатском крае"</t>
  </si>
  <si>
    <t>Дом-интернат для психически больных на 400 мест (проектные работы)</t>
  </si>
  <si>
    <t>Государственная программа Камчатского края "Социальная поддержка граждан в Камчатском крае"</t>
  </si>
  <si>
    <t>Государственная программа Камчатского края "Обеспечение доступным и комфортным жильем жителей Камчатского края"</t>
  </si>
  <si>
    <t xml:space="preserve">2020 год, 5 лет
(2018 год, 3 года)                                      </t>
  </si>
  <si>
    <t>Государственная программа Камчатского края "Развитие культуры в Камчатском крае"</t>
  </si>
  <si>
    <t>Государственная программа Камчатского края "Физическая культура, спорт, молодежная политика, отдых и оздоровление детей в Камчатском крае"</t>
  </si>
  <si>
    <t>1516 зрительских мест на трибунах           74 161 м2</t>
  </si>
  <si>
    <t>Государственная программа Камчатского края "Развитие транспортной системы в Камчатском крае"</t>
  </si>
  <si>
    <t>Государственная программа Камчатского края "Развитие сельского хозяйства и регулирование рынков сельскохозяйственной продукции, сырья и продовольствия Камчатского края"</t>
  </si>
  <si>
    <t>Государственная программа Камчатского края "Социальное и экономическое развитие территории с особым статусом "Корякский округ"". Подпрограмма "Обеспечение доступным и комфортным жильем и коммунальными услугами населения Корякского округа".</t>
  </si>
  <si>
    <t>Государственная программа Камчатского края "Социальное и экономическое развитие территории с особым статусом "Корякский округ""</t>
  </si>
  <si>
    <t>Государственная программа Камчатского края "Безопасная Камчатка"</t>
  </si>
  <si>
    <t>Государственная программа Камчатского края "Безопасная Камчатка". Подпрограмма "Защита населения и территорий Камчатского края от чрезвычайных ситуаций, обеспечение пожарной безопасности и развитие гражданской обороны в Камчатском крае"</t>
  </si>
  <si>
    <t>Государственная программа Камчатского края "Совершенствование управления имуществом, находящимся в государственной собственности Камчатского края"</t>
  </si>
  <si>
    <t xml:space="preserve">Елизовский муниципальный район  </t>
  </si>
  <si>
    <t>9.2.</t>
  </si>
  <si>
    <t>2.5.</t>
  </si>
  <si>
    <t>241 место</t>
  </si>
  <si>
    <t>Агентство по обращению с отходами Камчатского края</t>
  </si>
  <si>
    <t xml:space="preserve">Приложение к постановлению </t>
  </si>
  <si>
    <t xml:space="preserve"> Правительства Камчатского края</t>
  </si>
  <si>
    <t>2020 год, 4 года</t>
  </si>
  <si>
    <t>3.2.</t>
  </si>
  <si>
    <t>расходы за счет остатков средств краевого бюджета прошлых лет</t>
  </si>
  <si>
    <t>8.3.</t>
  </si>
  <si>
    <t>450 коек/150 посещений в смену</t>
  </si>
  <si>
    <t>894 260,95 тыс. рублей</t>
  </si>
  <si>
    <t>2.6.</t>
  </si>
  <si>
    <t>5.3.</t>
  </si>
  <si>
    <t>8.4.</t>
  </si>
  <si>
    <t xml:space="preserve">Петропавловск-Камчатский городской округ </t>
  </si>
  <si>
    <t>9.4.</t>
  </si>
  <si>
    <t>9.5.</t>
  </si>
  <si>
    <t>9.6.</t>
  </si>
  <si>
    <t>9.7.</t>
  </si>
  <si>
    <t>9.9.</t>
  </si>
  <si>
    <t>350 000,00 тыс. рублей</t>
  </si>
  <si>
    <t xml:space="preserve">Елизовский муниципальный район </t>
  </si>
  <si>
    <t>9.8.</t>
  </si>
  <si>
    <t>9.10.</t>
  </si>
  <si>
    <t>Усть-Большерецкий муниципальный район</t>
  </si>
  <si>
    <t>2.7.</t>
  </si>
  <si>
    <t>9.11.</t>
  </si>
  <si>
    <t>Реконструкция автомобильной дороги Петропавловск-Камчатский - Мильково на участке км 12 - км 17 (проектные работы)</t>
  </si>
  <si>
    <t xml:space="preserve">2022 год, 5 лет </t>
  </si>
  <si>
    <t>13,809 км (уточнится проектом)</t>
  </si>
  <si>
    <t>1 500 000,00
тыс. рублей</t>
  </si>
  <si>
    <t>Тигильский муниципальный район</t>
  </si>
  <si>
    <t>Елизовское городское поселение</t>
  </si>
  <si>
    <t>150 мест</t>
  </si>
  <si>
    <t>Карагинский муниципальный район</t>
  </si>
  <si>
    <t>Соболевский муниципальный район</t>
  </si>
  <si>
    <t>9.12.</t>
  </si>
  <si>
    <t>Сельский учебный комплекс школа-детский сад  в с. Каменское Пенжинского района на 161 ученических и 80 дошкольных мест</t>
  </si>
  <si>
    <t>Здание МАУК "Городской дом культуры СРВ". Реконструкция.</t>
  </si>
  <si>
    <t>176 тыс. м3/131,8 тыс. тонн в год</t>
  </si>
  <si>
    <t>5.4.</t>
  </si>
  <si>
    <t>КГУП "Камчатский водоканал"</t>
  </si>
  <si>
    <t>Администрация Усть-Камчатского муниципального района</t>
  </si>
  <si>
    <t>2020 год</t>
  </si>
  <si>
    <t>100 мест</t>
  </si>
  <si>
    <t>Администрация Новолесновского сельского поселения</t>
  </si>
  <si>
    <t>Строительство распределительных сетей холодного водоснабжения (от зданий, сооружений, жилых и многоквартирных домов) с присоединением к объекту капитального строительства "Водопроводные сети системы холодного водоснабжения с присоединением к центральному водопроводу в сельском поселении "село Усть-Хайрюзово"</t>
  </si>
  <si>
    <t>1706 м., 492,71 м. куб./сут.</t>
  </si>
  <si>
    <t>Администрация сельского поселения "село Усть-Хайрюзово"</t>
  </si>
  <si>
    <t>24 754,92 тыс. руб. в ценах 1 кв. 2016г.</t>
  </si>
  <si>
    <t xml:space="preserve">2021 год, 4 года                              </t>
  </si>
  <si>
    <t>2019 год,
 2 года</t>
  </si>
  <si>
    <t>№ 41-1-1-3-0013-17 от 03.03.2017</t>
  </si>
  <si>
    <t>2021 год,
 3 года</t>
  </si>
  <si>
    <t xml:space="preserve">2020 год, 
3 года </t>
  </si>
  <si>
    <t>2019 год, 
2 года</t>
  </si>
  <si>
    <t xml:space="preserve">Строительство мостового перехода через р. Тигиль на 224 км автомобильной дороги Анавгай - Палана </t>
  </si>
  <si>
    <t>2 Причала (уточнится проектом)</t>
  </si>
  <si>
    <t>250 пассажиров, 1,2 тыс. тонн груза в год</t>
  </si>
  <si>
    <t>Администрация Петропавловск-Камчатского городского округа</t>
  </si>
  <si>
    <t>3,927 км</t>
  </si>
  <si>
    <t>1,096 км</t>
  </si>
  <si>
    <t>Администрация Елизовского муниципального района</t>
  </si>
  <si>
    <t>Строительство педиатрического корпуса на 40 коек и 40 посещений в смену ГБУЗ "Камчатский краевой психоневрологический диспансер" в г.Петропавловск-Камчатский</t>
  </si>
  <si>
    <t xml:space="preserve"> 2020 год</t>
  </si>
  <si>
    <t>900 000,0 тыс. рублей</t>
  </si>
  <si>
    <t>Олюторский муниципальный район</t>
  </si>
  <si>
    <t>4 350 м2</t>
  </si>
  <si>
    <t xml:space="preserve">2020 год
                                     </t>
  </si>
  <si>
    <t>7 717,3 м2</t>
  </si>
  <si>
    <t xml:space="preserve">Детский сад на 150 мест в с. Соболево Соболевского района </t>
  </si>
  <si>
    <t xml:space="preserve">Новолесновское сельское  поселение </t>
  </si>
  <si>
    <t>Новолесновское сельское поселение</t>
  </si>
  <si>
    <t>Вилючинский городской округ</t>
  </si>
  <si>
    <t xml:space="preserve">Городской округ "поселок Палана" </t>
  </si>
  <si>
    <t xml:space="preserve">Администрация городского округа "поселок Палана" </t>
  </si>
  <si>
    <t xml:space="preserve">300 м. куб в сутки </t>
  </si>
  <si>
    <t xml:space="preserve">250 м. куб в сутки </t>
  </si>
  <si>
    <t>100 м. куб/сутки</t>
  </si>
  <si>
    <t>Строительство системы хозяйственно-питьевого водоснабжения с. Лесная Тигильского района (в том числе разработка проектной документации)</t>
  </si>
  <si>
    <t>сельское поселение  "село Лесная"</t>
  </si>
  <si>
    <t>администрация сельского поселения  "село Лесная"</t>
  </si>
  <si>
    <t>ПД проходит государственную экспертизу</t>
  </si>
  <si>
    <t xml:space="preserve">Новоавачинское сельское поселение </t>
  </si>
  <si>
    <t>Реконструкция напорного канализационного коллектора диаметром 700 мм (в том числе проектные работы и государственная экспертиза проектной документации)</t>
  </si>
  <si>
    <t>4,5 км</t>
  </si>
  <si>
    <t>Прокладка канализационных сетей и подключение к централизованной системе канализации многоквартирных домов №3, №5, №5а, №7, №9, №11, №13, №14, №17 по ул. Подстанционная в г. Елизово (в том числе проектные работы и государственная экспертиза проектной документации)</t>
  </si>
  <si>
    <t>1,3 км.</t>
  </si>
  <si>
    <t>4 200 м3/сут</t>
  </si>
  <si>
    <t xml:space="preserve">332,90 куб. м /  сутки </t>
  </si>
  <si>
    <t>Министерство спорта Камчатского края</t>
  </si>
  <si>
    <t>60 чел/час</t>
  </si>
  <si>
    <t>110 чел/час</t>
  </si>
  <si>
    <t>КГБУ "Елизовская рай СББЖ"</t>
  </si>
  <si>
    <t>2018 год, 1 год</t>
  </si>
  <si>
    <t>4595,26 тыс. рублей/2846,04 тыс. рублей</t>
  </si>
  <si>
    <t>КГБУ "Быстринская рай СББЖ"</t>
  </si>
  <si>
    <t>КГБУ "Петропавловская гор СББЖ"</t>
  </si>
  <si>
    <t xml:space="preserve">Строительство помещения ветеринарной лечебницы в с. Центральные Коряки Елизовского района Камчатского края
</t>
  </si>
  <si>
    <t xml:space="preserve">Приобретение специализированного жилищного фонда в с. Эссо Быстринского района Камчатского края для ветеринарных врачей, переезжающих на постоянное место жительства в Камчатский край
</t>
  </si>
  <si>
    <t>2025 год</t>
  </si>
  <si>
    <t>11 994 770,0 тыс. рублей</t>
  </si>
  <si>
    <t xml:space="preserve"> 2022 год</t>
  </si>
  <si>
    <t>Государственная программа Камчатского края "Обращение с отходами производства и потребления в Камчатском крае"</t>
  </si>
  <si>
    <t>Строительство офиса врача общей практики в п. Крутогоровский Соболевского района Камчатского края (проектные работы)</t>
  </si>
  <si>
    <t>90 000,0 тыс. рублей</t>
  </si>
  <si>
    <t>Министерство образования и молодежной политики Камчатского края</t>
  </si>
  <si>
    <t>5.5.</t>
  </si>
  <si>
    <t>5.6.</t>
  </si>
  <si>
    <t>Строительство пожарного депо на 2 выезда в г. Елизово</t>
  </si>
  <si>
    <t>0,28 км</t>
  </si>
  <si>
    <t>40 148,68
тыс. рублей</t>
  </si>
  <si>
    <t>Обеспечение  жильем эконом-класса специалистов социальной сферы, а также граждан стоящих в очереди на улучшение жилищных условий</t>
  </si>
  <si>
    <t>Строительство причальных сооружений через протоку Озерная в Усть-Камчатском районе Камчатского края (проектные работы)</t>
  </si>
  <si>
    <t>6.2.</t>
  </si>
  <si>
    <t>6.3.</t>
  </si>
  <si>
    <t>6.4.</t>
  </si>
  <si>
    <t>6.5.</t>
  </si>
  <si>
    <t>6.6.</t>
  </si>
  <si>
    <t>6.7.</t>
  </si>
  <si>
    <t>7.2.</t>
  </si>
  <si>
    <t>7.3.</t>
  </si>
  <si>
    <t>7.4.</t>
  </si>
  <si>
    <t>7.5.</t>
  </si>
  <si>
    <t>7.6.</t>
  </si>
  <si>
    <t>7.7.</t>
  </si>
  <si>
    <t>7.8.</t>
  </si>
  <si>
    <t>8.5.</t>
  </si>
  <si>
    <t>8.6.</t>
  </si>
  <si>
    <t>8.7.</t>
  </si>
  <si>
    <t>8.8.</t>
  </si>
  <si>
    <t>8.9.</t>
  </si>
  <si>
    <t>8.10.</t>
  </si>
  <si>
    <t>8.11.</t>
  </si>
  <si>
    <t>8.12.</t>
  </si>
  <si>
    <t>8.13.</t>
  </si>
  <si>
    <t>8.14.</t>
  </si>
  <si>
    <t>8.15.</t>
  </si>
  <si>
    <t>8.16.</t>
  </si>
  <si>
    <t>8.17.</t>
  </si>
  <si>
    <t>8.19.</t>
  </si>
  <si>
    <t>9.13.</t>
  </si>
  <si>
    <t>9.14.</t>
  </si>
  <si>
    <t>9.15.</t>
  </si>
  <si>
    <t>9.16.</t>
  </si>
  <si>
    <t>9.17.</t>
  </si>
  <si>
    <t>9.18.</t>
  </si>
  <si>
    <t>9.19.</t>
  </si>
  <si>
    <t>9.20.</t>
  </si>
  <si>
    <t>Государственная программа Камчатского края "Обращение с отходами производства и потребления в Камчатском крае". Подпрограмма "Развитие комплексной системы обращения с твердыми коммунальными отходами на территории Камчатского края"</t>
  </si>
  <si>
    <t>2022 год, 7 лет</t>
  </si>
  <si>
    <t>ГУП КК "Камчатстрой-энергосервис"</t>
  </si>
  <si>
    <t>ГУП КК "Камчатстройэнерго-сервис"</t>
  </si>
  <si>
    <t>2020 год, 3 года</t>
  </si>
  <si>
    <t xml:space="preserve">2019 год
                                   </t>
  </si>
  <si>
    <t>160 510,20 тыс. рублей</t>
  </si>
  <si>
    <t>110 408,16 тыс. рублей</t>
  </si>
  <si>
    <t>23 612,45 тыс. рублей</t>
  </si>
  <si>
    <t>361 449,62 тыс. рублей</t>
  </si>
  <si>
    <t>205 989,48 тыс. рублей</t>
  </si>
  <si>
    <t>58 736,38 тыс. рублей</t>
  </si>
  <si>
    <t>239 696,08 тыс. рублей</t>
  </si>
  <si>
    <t>Администрация сельского поселения "село Апука"</t>
  </si>
  <si>
    <t>Сельское поселение "село Апука"</t>
  </si>
  <si>
    <t>Сельское поселение "село Ивашка"</t>
  </si>
  <si>
    <t>Администрация сельского поселения "село Ивашка"</t>
  </si>
  <si>
    <t xml:space="preserve">Администрация Петропавловск-Камчатского городского округа </t>
  </si>
  <si>
    <t>Сельское поселение "село Усть-Хайрюзово"</t>
  </si>
  <si>
    <t>Стадион "Спартак" в г. Петропавловск-Камчатский</t>
  </si>
  <si>
    <t>Строительство физкультурно-оздоровительного комплекса с плавательным бассейном, г. Петропавловск-Камчатский, ул. Ленинградская, 120 А (проектные работы)</t>
  </si>
  <si>
    <t>Здание дома культуры на 100 мест в поселке Лесной Новолесновского сельского поселения Елизовского муниципального района (проектные работы)</t>
  </si>
  <si>
    <t>Обустройство водозаборных сооружений с бурением дополнительной скважины и строительством централизованной системы водоснабжения в с. Апука Олюторского района ( в том числе разработка проектной документации)</t>
  </si>
  <si>
    <t>Обустройство водозаборных сооружений с бурением дополнительной скважины и строительством централизованной системы водоснабжения в с. Ивашка, Карагинского района ( в том числе разработка проектной документации)</t>
  </si>
  <si>
    <t>Подключение (присоединение) к сетям инженерно-технического обеспечения. Реконструкция сетей централизованного теплоснабжения и холодного водоснабжения  улиц Березовая, Зеленая, Южная, Кедровая, пер. Медвежий угол, ул. им. Девяткина, ул. Линейная с. Эссо Быстринского района Камчатского края ( том числе проектные работы)</t>
  </si>
  <si>
    <t>Реконструкция автомобильной дороги Начикинский совхоз - Усть-Большерецк - п. Октябрьский с подъездом к пристани Косоево - колхоз им. Октябрьской революции на участке км 0 - км 5 (в том числе проектные работы)</t>
  </si>
  <si>
    <t>Реконструкция автомобильной дороги Петропавловск-Камчатский - Мильково 40 км - Пиначево с подъездом к п. Раздольный и к базе с/х Заречный на участке км 1 - км 16,4 (проектные работы)</t>
  </si>
  <si>
    <t>Строительство автомобильной дороги Анавгай - Палана на участке км 225 - км 231</t>
  </si>
  <si>
    <t>Магистраль общегородского значения от поста ГАИ до ул. Академика Королёва с развязкой в микрорайоне Северо-Восток в г. Петропавловске-Камчатском</t>
  </si>
  <si>
    <t>Строительство проезда от ул. Ленинградская д. 25 до ул. Ключевская д. 30 в г. Петропавловске-Камчатском</t>
  </si>
  <si>
    <t>Приобретение грузопассажирских барж грузоподъёмностью 20 тонн</t>
  </si>
  <si>
    <t>Приобретение судов на воздушной подушке</t>
  </si>
  <si>
    <t>Строительство, реконструкция, проектирование автомобильных дорог, расположенных в сельской местности</t>
  </si>
  <si>
    <t>6.8.</t>
  </si>
  <si>
    <t>субсидии на осуществление капитальных вложений в объекты государственной (муниципальной) собственности бюджетных учреждений</t>
  </si>
  <si>
    <t>Новолесновское сельского поселения</t>
  </si>
  <si>
    <t>5 км (уточнится проектом)</t>
  </si>
  <si>
    <t>673 916,18
  тыс. рублей (уточнится проектом)</t>
  </si>
  <si>
    <t>2021 год,
2 года</t>
  </si>
  <si>
    <t>45918,36 тыс. руб.</t>
  </si>
  <si>
    <t>16 762,64 тыс. рублей</t>
  </si>
  <si>
    <t>817 712,0 тыс. рублей</t>
  </si>
  <si>
    <t xml:space="preserve">ГБУЗ "Петропавловск-Камчатская городская детская поликлиника № 1" </t>
  </si>
  <si>
    <t>990 мест</t>
  </si>
  <si>
    <t>Строительство нового корпуса КГАСУ СО "Паратунский дом-интернат для престарелых и инвалидов"</t>
  </si>
  <si>
    <t>550 мест/ 176 чел/смену</t>
  </si>
  <si>
    <t>100  койко/мест</t>
  </si>
  <si>
    <t>Многоквартирный жилой дом поз. 15 в микрорайоне "Северо-Западный" в г. Елизово</t>
  </si>
  <si>
    <t>Сейсмоусиление здания ГБУЗ "Петропавловск-Камчатская городская детская поликлиника № 1"</t>
  </si>
  <si>
    <t>227 601,37 тыс. рублей</t>
  </si>
  <si>
    <t>Средняя общеобразовательная школа в г. Елизово по ул. Сопочная</t>
  </si>
  <si>
    <t>Детский сад на 150 мест в п. Оссора Карагинского района</t>
  </si>
  <si>
    <t xml:space="preserve">Приобретение специализированного жилищного фонда в г. Петропавловске-Камчатском Камчатского края для ветеринарных врачей, переезжающих на постоянное место жительства в Камчатский край
</t>
  </si>
  <si>
    <t>Администрация Эссовского сельского поселения</t>
  </si>
  <si>
    <t>683 665,055 тыс. рублей</t>
  </si>
  <si>
    <t>300 000,00 тыс. рублей</t>
  </si>
  <si>
    <t>300 000,0 тыс. рублей</t>
  </si>
  <si>
    <t>570 000,00 тыс. рублей</t>
  </si>
  <si>
    <t>1 625 869,68000 тыс. рублей</t>
  </si>
  <si>
    <t>500 000,00 тыс. рублей</t>
  </si>
  <si>
    <t>610 000,00 тыс. рублей</t>
  </si>
  <si>
    <t>753 196,44 тыс. рублей</t>
  </si>
  <si>
    <t>97 090,13 тыс. рублей</t>
  </si>
  <si>
    <t>749 172,46 тыс. рублей</t>
  </si>
  <si>
    <t>746 135,24 тыс. рублей</t>
  </si>
  <si>
    <t>402 748,93 тыс. рублей</t>
  </si>
  <si>
    <t>Реконструкция внутрипоселковых сетей водопровода пгт. Палана Тигильского района Камчатского края</t>
  </si>
  <si>
    <t>7340,0 п. м.</t>
  </si>
  <si>
    <t>1 494 597,13  тыс. рублей</t>
  </si>
  <si>
    <t>784 117,62  тыс. рублей</t>
  </si>
  <si>
    <t>10,983 км / 76,25 п. м.</t>
  </si>
  <si>
    <t>15,859 км / 79,67 п. м.</t>
  </si>
  <si>
    <t>869 303,650 тыс. рублей</t>
  </si>
  <si>
    <t>4 435 717,00 тыс. рублей</t>
  </si>
  <si>
    <t>364 390,383 тыс. рублей</t>
  </si>
  <si>
    <t>Петропавловск-Камчатского городской округ</t>
  </si>
  <si>
    <t>131 180,212 тыс. рублей (уточнится проектом)</t>
  </si>
  <si>
    <t>52 037,53 тыс. рублей.</t>
  </si>
  <si>
    <t>Реконструкция санкционированной свалки  под полигон твердых бытовых отходов в п. Усть-Камчатск (строительство первой очереди)</t>
  </si>
  <si>
    <t xml:space="preserve">334 611,650-1 кв. 2015 / 
354 250,00 тыс. рублей </t>
  </si>
  <si>
    <t>430 000, 00 тыс. рублей</t>
  </si>
  <si>
    <t>200 м3/сутки</t>
  </si>
  <si>
    <t>Сельское поселение "село Вывенка"</t>
  </si>
  <si>
    <t>71 428,57 тыс. рублей</t>
  </si>
  <si>
    <t>Строительство водозаборных сооружений и системы водоснабжения села Вывенка Олюторского муниципального района (в том числе разработка проектной документации)</t>
  </si>
  <si>
    <t>23 131,43 тыс. рублей</t>
  </si>
  <si>
    <t xml:space="preserve">5,806 км </t>
  </si>
  <si>
    <t>Детский сад в с. Тиличики Олюторского района</t>
  </si>
  <si>
    <t>Сейсмоусиление здания жилого дома 18 по ул. Обороны 1854 года в г. Петропавловске-Камчатском</t>
  </si>
  <si>
    <t>Строительство 2-х многоквартирных 9-этажных жилых домов в районе ул.Карбышева в г. Петропавловске-Камчатском. Жилой дом № 1 (блок-секции № 1,2,3)</t>
  </si>
  <si>
    <t>Строительство 2-х многоквартирных 9-этажных жилых домов в районе ул.Карбышева в г. Петропавловске-Камчатском. Жилой дом № 2 (блок-секции № 4,5,6)</t>
  </si>
  <si>
    <t>Администрация сельского поселения "село Вывенка"</t>
  </si>
  <si>
    <t>сельское поселение "село Вывенка"</t>
  </si>
  <si>
    <t>Реконструкция автомобильной дороги Петропавловск-Камчатский – Мильково  на участке км 12 - км 17 с подъездом к федеральной дороге. 1 этап</t>
  </si>
  <si>
    <t>Трубопровод водоснабжения протяженностью 12 км в городе Вилючинске Камчатского края</t>
  </si>
  <si>
    <t>12,0 км</t>
  </si>
  <si>
    <t>829 344,00 тыс. руб. 
в ценах 2 кв. 2016 г.</t>
  </si>
  <si>
    <t>Физкультурно-оздоровительный комплекс с плавательным бассейном в г. Петропавловске - Камчатском (в том числе проектные работы)</t>
  </si>
  <si>
    <t xml:space="preserve">"Приложение к постановлению </t>
  </si>
  <si>
    <t>".</t>
  </si>
  <si>
    <t>7.9.</t>
  </si>
  <si>
    <t>7.10.</t>
  </si>
  <si>
    <t>Многоквартирный жилой дом по ул. Строительная в г. Елизово Камчатского края (проектные работы по привязке проектов повторного применения)</t>
  </si>
  <si>
    <t>1.6.</t>
  </si>
  <si>
    <t>7.11.</t>
  </si>
  <si>
    <t>1.7.</t>
  </si>
  <si>
    <t>Общеобразовательная школа на 300 мест в с. Оссора Карагинского района (в том числе проектные работы)</t>
  </si>
  <si>
    <t>300 мест</t>
  </si>
  <si>
    <t>проектирование</t>
  </si>
  <si>
    <t>2.8.</t>
  </si>
  <si>
    <t>Общеобразовательная школа на 250 мест с. Соболево Соболевского района (в том числе проектные работы)</t>
  </si>
  <si>
    <t>250 мест</t>
  </si>
  <si>
    <t>608 000,0 тыс.рублей</t>
  </si>
  <si>
    <t>2.9.</t>
  </si>
  <si>
    <t>2021 год, 3 года</t>
  </si>
  <si>
    <t>90 мест</t>
  </si>
  <si>
    <t>2.10.</t>
  </si>
  <si>
    <t>Реконструкция здания КГБУ ДО "Корякская школа искусств им. Д.Б. Кабалевского"</t>
  </si>
  <si>
    <t>Городской округ «посёлок Палана»</t>
  </si>
  <si>
    <t>Строительство физкультурно-оздоровительного комплекса в  с. Мильково.  Камчатский край, с. Мильково</t>
  </si>
  <si>
    <t>2017 год, 3 года</t>
  </si>
  <si>
    <t>62 чел/час 4850,7 м2</t>
  </si>
  <si>
    <t>314 586,22 тыс.рублей</t>
  </si>
  <si>
    <t>5.7.</t>
  </si>
  <si>
    <t>5.8.</t>
  </si>
  <si>
    <t>Строительство многофункционального спортивного комплекса, п. Николаевка, Елизовский район, Камчатский край (в том числе проектные работы)</t>
  </si>
  <si>
    <t>20 чел/час</t>
  </si>
  <si>
    <t xml:space="preserve">КГБУДО «Детско-юношеская спортивная школа по футболу» </t>
  </si>
  <si>
    <t>125 000,00 тыс.руб.</t>
  </si>
  <si>
    <t>5.9.</t>
  </si>
  <si>
    <t>Строительство физкультурно-оздоровительного комплекса с плавательным бассейном, г. Петропавловск-Камчатский, ул. Океанская, 80/2 (в том числе проектные работы)</t>
  </si>
  <si>
    <t>248 чел/ч</t>
  </si>
  <si>
    <t>950 000,00 тыс.рублей</t>
  </si>
  <si>
    <t>5.10.</t>
  </si>
  <si>
    <t>Строительство межшкольного стадиона в г. Петропавловск-Камчатский, Камчатский край (в том числе проектные работы)</t>
  </si>
  <si>
    <t>82 чел/час</t>
  </si>
  <si>
    <t>76 000,00 тыс.рублей</t>
  </si>
  <si>
    <t>5.11.</t>
  </si>
  <si>
    <t>7.12.</t>
  </si>
  <si>
    <t>Приобретение (строительство) жилых помещений в целях обеспечения жилыми помещениями по договорам социального найма отдельных категорий граждан в соответствии с Законом Камчатского края от 31.03.2009 N 253 «О порядке предоставления жилых помещений жилищного фонда Камчатского края по договорам социального найма</t>
  </si>
  <si>
    <t>Государственная программа Камчатского края "Развитие транспортной системы в Камчатском крае". Подпрограмма "Развитие пассажирского автомобильного транспорта"</t>
  </si>
  <si>
    <t>Реконструкция автомобильной дороги Елизово - Паратунка на участке мостового перехода через реку Половинка</t>
  </si>
  <si>
    <t>0,430 км/ 48,253 п.м.</t>
  </si>
  <si>
    <t>9.21.</t>
  </si>
  <si>
    <t>Формирование инженерной инфраструктуры в  целях жилищного строительства на территории Корякского округа</t>
  </si>
  <si>
    <t>Администрация сельского поселения "село Тигиль"</t>
  </si>
  <si>
    <t>Сельское поселение "село Тигиль"</t>
  </si>
  <si>
    <t>Строительство основной дороги туристическо-рекреационного комплекса "Паратунка" (3 км), съездов к участкам (в том числе разработка проектной документации, прохождение государственной экспертизы)</t>
  </si>
  <si>
    <t>6,0 км</t>
  </si>
  <si>
    <t>Администрация Паратунского сельского поселения</t>
  </si>
  <si>
    <t>491 358,40 тыс.рублей</t>
  </si>
  <si>
    <t>Паратунское сельское поселение</t>
  </si>
  <si>
    <t>КГБУ "Спортивная школа по хоккею"</t>
  </si>
  <si>
    <t xml:space="preserve">Реконструкция инфраструктуры горнолыжного комплекса Камчатского края. 2-я очередь. Горнолыжная база "Эдельвейс", г. Петропавловск-Камчатский.  Строительство  системы искусственного снегообразования и системы искусственного освещения трасс, строительство скоростной канатной дороги гондольного типа и буксировочных канатных дорог. 3 этап строительства </t>
  </si>
  <si>
    <t>680 чел/ч</t>
  </si>
  <si>
    <t>5.12.</t>
  </si>
  <si>
    <t>№ 41-1-1-3-0090-17 от 04.12.2017;  № 1-1-6-0102-17 от 05.12.2017</t>
  </si>
  <si>
    <t>677 894,82 тыс. рублей</t>
  </si>
  <si>
    <t>530 012,31 тыс. рублей</t>
  </si>
  <si>
    <t>11.2.</t>
  </si>
  <si>
    <t>Реконструкция здания "Котельная"в "Административное здание" (в том числе проектные работы)</t>
  </si>
  <si>
    <t>№ 2-1-6-0084-17 от 23.10.2017</t>
  </si>
  <si>
    <t>13 809,16 тыс. рублей.</t>
  </si>
  <si>
    <t>Реконструкция автомобильной дороги Елизово - Паратунка на участке мостового перехода через реку Половинка. 2 этап - Берегоукрепление, устройство освещения на набережной</t>
  </si>
  <si>
    <t>берегоукрепление 326,2 п.м.</t>
  </si>
  <si>
    <t xml:space="preserve">62 304,744 
тыс. рублей 
</t>
  </si>
  <si>
    <t>Государственная программа Камчатского края "Развитие здравоохранения Камчатского края". Подпрограмма "Кадровое обеспечение системы здравоохранения"</t>
  </si>
  <si>
    <t>Государственная программа Камчатского края "Развитие здравоохранения Камчатского края". Подпрограмма "Инвестиционные мероприятия в здравоохранении Камчатского края"</t>
  </si>
  <si>
    <t>Государственная программа Камчатского края  "Развитие образования в Камчатском крае". Подпрограмма "Развитие дошкольного, общего образования и дополнительного образования детей в Камчатском крае"</t>
  </si>
  <si>
    <t>Государственная программа Камчатского края "Развитие культуры в Камчатском крае". Подпрограмма "Развитие инфраструктуры в сфере культуры"</t>
  </si>
  <si>
    <t>Государственная программа Камчатского края "Социальная поддержка граждан в Камчатском крае". Подпрограмма "Развитие системы социального обслуживания населения в Камчатском крае"</t>
  </si>
  <si>
    <t>Государственная программа Камчатского края "Физическая культура, спорт, молодежная политика, отдых и оздоровление детей в Камчатском крае". Подпрограмма "Организация отдыха, оздоровления и занятости детей и молодежи в Камчатском крае"</t>
  </si>
  <si>
    <t>Государственная программа Камчатского края "Физическая культура, спорт, молодежная политика, отдых и оздоровление детей в Камчатском крае". Подпрограмма "Развитие инфраструктуры для занятий физической культурой и спортом"</t>
  </si>
  <si>
    <t>Государственная программа Камчатского края "Развитие сельского хозяйства и регулирование рынков сельскохозяйственной продукции, сырья и продовольствия Камчатского края". Подпрограмма "Обеспечение эпизоотического и ветеринарно-санитарного благополучия"</t>
  </si>
  <si>
    <t>Государственная программа Камчатского края "Развитие сельского хозяйства и регулирование рынков сельскохозяйственной продукции, сырья и продовольствия Камчатского края". Подпрограмма "Устойчивое развитие сельских территорий"</t>
  </si>
  <si>
    <t>Государственная программа Камчатского края "Обеспечение доступным и комфортным жильем жителей Камчатского края". Подпрограмма "Переселение граждан из аварийных жилых домов и непригодных для проживания жилых помещений"</t>
  </si>
  <si>
    <t>Государственная программа Российской Федерации "Обеспечение доступным и комфортным жильем и коммунальными услугами граждан Российской Федерации". Государственная программа Камчатского края "Обеспечение доступным и комфортным жильем жителей Камчатского края". Подпрограмма "Повышение устойчивости жилых домов, основных объектов и систем жизнеобеспечения"</t>
  </si>
  <si>
    <t>Государственная программа Камчатского края "Обеспечение доступным и комфортным жильем жителей Камчатского края". Подпрограмма "Стимулирование развития жилищного строительства"</t>
  </si>
  <si>
    <t>Государственная программа Камчатского края "Обеспечение доступным и комфортным жильем жителей Камчатского края". Подпрограмма "Повышение устойчивости жилых домов, основных объектов и систем жизнеобеспечения"</t>
  </si>
  <si>
    <t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</t>
  </si>
  <si>
    <t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услугами". Подпрограмма "Энергосбережение и повышение энергетической эффективности в Камчатском крае"</t>
  </si>
  <si>
    <t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услугами". Подпрограмма "Чистая Вода в Камчатском крае"</t>
  </si>
  <si>
    <t>Государственная программа Российской Федерации "Обеспечение доступным и комфортным жильём и коммунальными услугами граждан Российской Федерации". 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услугами". Подпрограмма "Чистая вода в Камчатском крае"</t>
  </si>
  <si>
    <t>Государственная программа Камчатского края "Развитие транспортной системы в Камчатском крае". Подпрограмма "Развитие дорожного хозяйства"</t>
  </si>
  <si>
    <t>Государственная программа Камчатского края "Совершенствование управления имуществом, находящимся в государственной собственности Камчатского края". Подпрограмма "Повышение эффективности управления краевым имуществом"</t>
  </si>
  <si>
    <t>Реконструкция насосной станции второго подъема и закрытого распределительного устройства (ЗРУ-6кВ) «Авачинского водозабора» КГУП «Камчатский водоканал» (в том числе проектно-изыскательские работы и государственная экспертиза проектной документации)</t>
  </si>
  <si>
    <t>2.11.</t>
  </si>
  <si>
    <t>2.12.</t>
  </si>
  <si>
    <t>2510 машино-часов</t>
  </si>
  <si>
    <t>2500 машино-часов</t>
  </si>
  <si>
    <t>Строительство автодрома на территории Усть-Камчатского филиала КГПОБУ "Камчатский индустриальный техникум"</t>
  </si>
  <si>
    <t>Устройство закрытой площадки для проведения экзаменов по первоначальному управлению транспортным средством на базе КГПОБУ "Паланский колледж"</t>
  </si>
  <si>
    <t>КГПОБУ "Камчатский индустриальный техникум"</t>
  </si>
  <si>
    <t>КГПОБУ "Паланский колледж"</t>
  </si>
  <si>
    <t>Городской округ "посёлок Палана"</t>
  </si>
  <si>
    <t>Государственная программа Камчатского края  "Развитие образования в Камчатском крае". Подпрограмма "Развитие профессионального образования в Камчатском крае"</t>
  </si>
  <si>
    <t>Государственная программа Камчатского края "Обеспечение доступным и комфортным жильем жителей Камчатского края". Подпрограмма "Обеспечение жилыми помещениями отдельных категорий граждан"</t>
  </si>
  <si>
    <t>Государственная программа Камчатского края "Развитие транспортной системы в Камчатском крае". Подпрограмма "Развитие водного транспорта"</t>
  </si>
  <si>
    <t>8.20.</t>
  </si>
  <si>
    <t>Строительство объекта незавершённого строительства "Реконструкция ВЛ 0,38 кВ с КПТ6/0,4 кВ в п. Палана" (в том числе проектные работы и государственная экспертиза проектной документации)</t>
  </si>
  <si>
    <t>Реконструкция основного и вспомогательного оборудования котельной №1 в пос. Лесной Новолесновского сельского поселения (в том числе разработка проектной документации и государственная экспертиза проектной документации)</t>
  </si>
  <si>
    <t>Реконструкция вспомогательного оборудования котла №1 на котельной №1 в п. Раздольный Раздольненского сельского поселения (в том числе разработка проектной документации и государственная экспертиза проектной документации)</t>
  </si>
  <si>
    <t>Реконструкция участка тепловой сети по ул. Советская в п. Раздольный Раздольненского сельского поселения (в том числе проектные работы и государственная экспертиза проектной документации)</t>
  </si>
  <si>
    <t>Строительство водозаборных сооружений и системы водоснабжения села Ковран Тигильского муниципального района  (в том числе проектные работы и государственная экспертиза проектной документации)</t>
  </si>
  <si>
    <t>Обеспечение доступным и комфортным жильем в рамках мероприятий по ликвидации аварийного жилищного фонда на территории Корякского округа</t>
  </si>
  <si>
    <t>Капитальные вложения в основные средства ГУП "Камчатстройэнергосервис" на проведение реконструкции помещений столовой и Большого зала заседаний, находящихся в здании, расположенном по адресу: г. Петропавловск-Камчатский, пл. Ленина, д.1</t>
  </si>
  <si>
    <t>Модернизация котлоагрегата в п. Раздольный Раздольненского сельского поселения (в том числе разработка проектной документации и государственная экспертиза проектной документации)</t>
  </si>
  <si>
    <t>3.3.</t>
  </si>
  <si>
    <t>7.13.</t>
  </si>
  <si>
    <t>9.23.</t>
  </si>
  <si>
    <t>12.2.</t>
  </si>
  <si>
    <t>12.3.</t>
  </si>
  <si>
    <t>Реконструкция  тепловых сетей котельной №1 в п. Нагорный Новоавачинского сельского поселения (в том числе разработка проектной документации и государственная экспертиза проектной документации)</t>
  </si>
  <si>
    <t xml:space="preserve">Раздольненское сельское  поселение </t>
  </si>
  <si>
    <t xml:space="preserve">Новоавачинское сельское  поселение </t>
  </si>
  <si>
    <t>Городской округ "поселок Палана"</t>
  </si>
  <si>
    <t>4,5 Гкал</t>
  </si>
  <si>
    <t xml:space="preserve">Администрация Новолесновского сельского поселения </t>
  </si>
  <si>
    <t>11 500 тыс. рублей</t>
  </si>
  <si>
    <t>12 Гкал</t>
  </si>
  <si>
    <t xml:space="preserve">Администрация Раздольненского сельского поселения </t>
  </si>
  <si>
    <t xml:space="preserve"> 16 427тыс. рублей</t>
  </si>
  <si>
    <t>4 900 тыс. рублей</t>
  </si>
  <si>
    <t>720 п.м</t>
  </si>
  <si>
    <t>28 910 тыс. рублей</t>
  </si>
  <si>
    <t xml:space="preserve">Администрация Новоавачинского сельского поселения </t>
  </si>
  <si>
    <t>10 493 тыс. рублей</t>
  </si>
  <si>
    <t>324 п.м.</t>
  </si>
  <si>
    <t xml:space="preserve">2019 год </t>
  </si>
  <si>
    <t xml:space="preserve">2018 год </t>
  </si>
  <si>
    <t>0,38 кВ</t>
  </si>
  <si>
    <t>36 658,5 тыс. рублей</t>
  </si>
  <si>
    <t>150,0 м3/сут 5,6 км</t>
  </si>
  <si>
    <t>сельское поселение "село Ковран"</t>
  </si>
  <si>
    <t>администрация сельского поселения "село Ковран"</t>
  </si>
  <si>
    <t>118 500 тыс. рублей</t>
  </si>
  <si>
    <t>Строительство физкультурно-оздоровительного комплекса с плавательным бассейном в г. Петропавловске-Камчатском по ул. Ленинградская, 120 А. 1 этап. Подготовка территории строительства. Демонтаж существующих зданий</t>
  </si>
  <si>
    <t>Строительство детского сада по ул. Арсеньева, г. Петропавловск-Камчатский</t>
  </si>
  <si>
    <t>180 мест</t>
  </si>
  <si>
    <t>МКУ "Управление капитального строительства и ремонта" администрации ПКГО</t>
  </si>
  <si>
    <t>2.13.</t>
  </si>
  <si>
    <t>2.14.</t>
  </si>
  <si>
    <t>58 мест</t>
  </si>
  <si>
    <t>Администрация Елизовского муницпального района</t>
  </si>
  <si>
    <t>Елизовский муницпальный район</t>
  </si>
  <si>
    <t xml:space="preserve">Приобретение помещений для реализации программ дошкольного образования в г. Петропавловск-Камчатский  </t>
  </si>
  <si>
    <t>Сооружение пропускного пункта Елизовской районной больницы</t>
  </si>
  <si>
    <t>Елизовский муниципальный район в Камчатском крае</t>
  </si>
  <si>
    <t>4.3.</t>
  </si>
  <si>
    <t>Реконструкция здания "Прачечная-гараж" КГАУ СЗ "Елизовский дом-интернат психоневрологического типа" (в том числе проектные работы)</t>
  </si>
  <si>
    <t>Холодное водоснабжение в п. Красный Новоавачинского сельского поселения</t>
  </si>
  <si>
    <t>ГО п. Палана</t>
  </si>
  <si>
    <t>Администрация ГО п. Палана</t>
  </si>
  <si>
    <t>Новоавачинское сельское поселение</t>
  </si>
  <si>
    <t>14.</t>
  </si>
  <si>
    <t>Государственная программа Камчатского края "Охрана окружающей среды, воспроизводство и использование природных ресурсов в Камчатском крае"</t>
  </si>
  <si>
    <t>14.1.</t>
  </si>
  <si>
    <t>Государственная программа Камчатского края "Охрана окружающей среды, воспроизводство и использование природных ресурсов в Камчатском крае". Подпрограмма "Использование и охрана водных объектов в Камчатском крае"</t>
  </si>
  <si>
    <t>Министерство природных ресурсов и экологии Камчатского края</t>
  </si>
  <si>
    <t xml:space="preserve">Реконструкция руслорегулирующего сооружения реки Половинка, г. Елизово, Елизовский муниципальный район, Камчатский край </t>
  </si>
  <si>
    <t>Разработка проектной документации "Реконструкция комплекса защитных гидротехнических сооружений (дамба) с. Мильково Камчатский край"</t>
  </si>
  <si>
    <t>Приобретение помещений для реализации программ дошкольного образования в г. Елизово</t>
  </si>
  <si>
    <t>14.2.</t>
  </si>
  <si>
    <t>15.</t>
  </si>
  <si>
    <t>Государственная программа Камчатского края "Развитие внутреннего и въездного туризма в Камчатском крае"</t>
  </si>
  <si>
    <t>Государственная программа Камчатского края "Развитие внутреннего и въездного туризма в Камчатском крае". Подпрограмма "Создание и развитие туристской инфраструктуры в Камчатском крае"</t>
  </si>
  <si>
    <t>15.1.</t>
  </si>
  <si>
    <t>Реконструкция здания, расположенного по адресу: Камчатский край, Тигильский район, пгт. Палана, ул. Поротова д. 24</t>
  </si>
  <si>
    <t xml:space="preserve">городской округ "поселок Палана" </t>
  </si>
  <si>
    <t xml:space="preserve">субсидии на осуществление капитальных вложений в объекты государственной (муниципальной) собственности </t>
  </si>
  <si>
    <t xml:space="preserve">субсидии на осуществление капитальных вложений в объекты государственной (муниципальной) собственности  </t>
  </si>
  <si>
    <t>Реконструкция автомобильной дороги подъезд к совхозу Петропавловский на участке км 0 - км 4 (проектные работы)</t>
  </si>
  <si>
    <t>Строительство автомобильной дороги Анавгай - Палана на участке км 225 - км 231 (проектные работы)</t>
  </si>
  <si>
    <t>9.24.</t>
  </si>
  <si>
    <t>9.25.</t>
  </si>
  <si>
    <t>9.26.</t>
  </si>
  <si>
    <t>Строительство мостового перехода через р. Тигиль на 224 км автомобильной дороги Анавгай - Палана (проектные работы)</t>
  </si>
  <si>
    <t>2022 год, 
3 года</t>
  </si>
  <si>
    <t xml:space="preserve">389 897,536 тыс. рублей </t>
  </si>
  <si>
    <t>2022 год,
 3 года</t>
  </si>
  <si>
    <t xml:space="preserve">1 391 844,221 тыс. рублей </t>
  </si>
  <si>
    <t>Приобретение специализированного жилищного фонда в с. Мильково Мильковского района Камчатского края для ветеринарных врачей, переезжающих на постоянное место жительства в Камчатский край</t>
  </si>
  <si>
    <t>Строительство помещения ветеринарной лечебницы в п. Апача Усть-Большерецкого района Камчатского края</t>
  </si>
  <si>
    <t>КГБУ "Мильковская рай СББЖ"</t>
  </si>
  <si>
    <t>1 500,00 тыс. рублей</t>
  </si>
  <si>
    <t>КГБУ "Усть-Большерецкая рай СББЖ"</t>
  </si>
  <si>
    <t>2 056,779 тыс. рублей</t>
  </si>
  <si>
    <t>472 815,522 тыс.рублей</t>
  </si>
  <si>
    <t>1 256 777,327 тыс. рублей</t>
  </si>
  <si>
    <t>Соглашение с ФДА от 07.05.2018 № 108-17-2018-065</t>
  </si>
  <si>
    <t>1 139 933,833 тыс. рублей</t>
  </si>
  <si>
    <t>1 334 100,777 тыс. рублей</t>
  </si>
  <si>
    <t xml:space="preserve">3,07424 км </t>
  </si>
  <si>
    <t>Реконструкция автомобильной дороги Петропавловск-Камчатский - Мильково на участке км 181 -  км 195. 1 этап (участок км 181 - км 188)</t>
  </si>
  <si>
    <t>7,000 км</t>
  </si>
  <si>
    <t xml:space="preserve">821 767,519 
тыс. рублей </t>
  </si>
  <si>
    <t>Реконструкция автомобильной дороги Петропавловск-Камчатский - Мильково на участке км 181 -  км 195. 2 этап (участок км 188 - км 195)</t>
  </si>
  <si>
    <t>7,003 км/ 34,12 п.м.</t>
  </si>
  <si>
    <t xml:space="preserve">767 753,161 
тыс. рублей </t>
  </si>
  <si>
    <t>Реконструкция автомобильной дороги Петропавловск-Камчатский - Мильково на участке км 195 -  км 208. 1 этап (участок км 195 - км 202)</t>
  </si>
  <si>
    <t xml:space="preserve">2021 год, 
4 года </t>
  </si>
  <si>
    <t>7,75 км / 40,950 п.м.</t>
  </si>
  <si>
    <t xml:space="preserve">757 638,666 
тыс. рублей </t>
  </si>
  <si>
    <t>Реконструкция автомобильной дороги Петропавловск-Камчатский - Мильково на участке км 195 -  км 208. 2 этап (участок км 202 - км 208)</t>
  </si>
  <si>
    <t xml:space="preserve">5,854 км </t>
  </si>
  <si>
    <t xml:space="preserve">722 894,853
тыс. рублей </t>
  </si>
  <si>
    <t xml:space="preserve">2023 год, 3 года </t>
  </si>
  <si>
    <t xml:space="preserve">15,127 км </t>
  </si>
  <si>
    <t xml:space="preserve">6,739 км / 24,5 п. м. </t>
  </si>
  <si>
    <t>389 897,536
тыс. рублей</t>
  </si>
  <si>
    <t xml:space="preserve">5 км / 330,1 п. м. </t>
  </si>
  <si>
    <t>9.27.</t>
  </si>
  <si>
    <t>9.28.</t>
  </si>
  <si>
    <t>Автомобильная дорога по ул. Ларина с устройством транспортной развязки и водопропускными сооружениями (от остановки "Кольцо по улице Ларина" до пересечения с магистральной улицей в районе перспективной застройки) в городе Петропавловске-Камчатском (в том числе проектные работы)</t>
  </si>
  <si>
    <t>Модернизация котлоагрегатов и оборудования котельной № 3 в п. Новый Новоавачинского  сельского поселения (в том числе  проектные работы и государственная экспертиза проектной документации)</t>
  </si>
  <si>
    <t>Модернизация котлоагрегатов и оборудования котельной № 1 в п. Нагорный Новоавачинского  сельского поселения (в том числе проектные работы и государственная экспертиза проектной документации)</t>
  </si>
  <si>
    <t>10.2.</t>
  </si>
  <si>
    <t>10.3.</t>
  </si>
  <si>
    <t>5 041,067 тыс. рублей</t>
  </si>
  <si>
    <t>6 996,118 тыс. рублей</t>
  </si>
  <si>
    <t xml:space="preserve">Приобретение (строительство) жилых помещений в целях формирования специализированного жилищного фонда Камчатского края </t>
  </si>
  <si>
    <t>Региональный спортивно-тренировочный центр по зимним видам спорта у подножия вулкана «Авачинский», Камчатский край (в том числе проектные работы)</t>
  </si>
  <si>
    <t>Группа смешанной жилой застройки по улице Кутузова в Петропавловск-Камчатском городском округе.  Комплексное освоение территорий (в том числе разработка проектной документации)</t>
  </si>
  <si>
    <t xml:space="preserve">Группа смешанной жилой застройки по улице Кутузова в Петропавловск-Камчатском городском округе.  Комплексное освоение территорий </t>
  </si>
  <si>
    <t>Строительство подъезда к стадиону "Спартак" (проектные работы)</t>
  </si>
  <si>
    <t>9.29.</t>
  </si>
  <si>
    <t>Реконструкция наружного освещения фасада здания,  расположенного по адресу: г. П-Камчатский, пр. Циолковского, д. 52</t>
  </si>
  <si>
    <t>от 23.11.2017 № 495-П</t>
  </si>
  <si>
    <t>2023 год</t>
  </si>
  <si>
    <t>1 343 162,72000  тыс.рублей</t>
  </si>
  <si>
    <t>Реконструкция автомобильной дороги Петропавловск-Камчатский - Мильково на участке км 171 – км 181</t>
  </si>
  <si>
    <t xml:space="preserve">Многоквартирный жилой дом по ул. Строительная в г. Елизово Камчатского края </t>
  </si>
  <si>
    <t>432 146 тыс. рублей</t>
  </si>
  <si>
    <t>Комплекс многоквартирных домов в жилом районе Приморский города Вилючинска Камчатского края</t>
  </si>
  <si>
    <t>10.4.</t>
  </si>
  <si>
    <t>Капитальные вложения в основные средства ГУП "Камчатстройэнергосервис" на проведение реконструкции объекта "Административное здание по адресу: г. Петропавловск-Камчатский, улица Советская, 35", разработка проектно-сметной документации</t>
  </si>
  <si>
    <t>11 900,00 тыс. рублей</t>
  </si>
  <si>
    <t>Ледовый каток "Вулкан" по ул. Солнечной (в том числе проектные работы)</t>
  </si>
  <si>
    <t>Приобретение автопассажирского парома</t>
  </si>
  <si>
    <t xml:space="preserve">300 840,00
тыс. рублей </t>
  </si>
  <si>
    <t>Модернизация (замена) лифтов в здании Правительства Камчатского края (Дом Советов), расположенного по адресу: г. Петропавловск-Камчатский, пл. Ленина, д. 1, в том числе разработка проектно-сметной документации</t>
  </si>
  <si>
    <t xml:space="preserve">статус </t>
  </si>
  <si>
    <t>срок подготовки проектной документации</t>
  </si>
  <si>
    <t>Правительства Камчатского края</t>
  </si>
  <si>
    <t>Строительство Камчатской краевой больницы</t>
  </si>
  <si>
    <t>Строительство Камчатской краевой больницы (корректировка проекта)</t>
  </si>
  <si>
    <t>Строительство Камчатской краевой больницы (технологическое присоединение к электрическим сетям)</t>
  </si>
  <si>
    <t>ГБУЗ "Елизовская районная больница"</t>
  </si>
  <si>
    <t>№41-1-5-0030-14 от 15.04.2014;  №1-1-6-0045-16 от 22.09.2016; №41-1-4-0060-15 от 06.08.2015; №1-1-6-0061-16 от 22.12.2016; №1-1-6-0027-16 от 20.06.2016; №41-1-1-3-0038-16 от 13.06.2016; №1-1-6-0065-16 от 28.12.2016; №41-1-1-3-0094-16 от 23.12.2016.</t>
  </si>
  <si>
    <t>№ п/п</t>
  </si>
  <si>
    <t>7.14.</t>
  </si>
  <si>
    <t>от 28.08.2013 № 41-1-4-0073-13, от 30.08.2013 № 41-1-6-0076-13</t>
  </si>
  <si>
    <t>от 21.06.2016 № 41-1-1-3-0044-16, от 21.06.2016 № 1-1-6-0029-16</t>
  </si>
  <si>
    <t>от 30.09.2015 № 41-1-5-0081-15, от 06.10.2015 № 1-1-6-0039-15</t>
  </si>
  <si>
    <t>от 29.05.2012 № 41-1-5-0061-12, от 13.04.2016 № 1-1-6-0004-16</t>
  </si>
  <si>
    <t>от 22.04.2016 № 41-1-1-3-0019-16.
от 11.07.2016 № 1-1-6-0035-16</t>
  </si>
  <si>
    <t>от 06.12.2016 № 41-1-1-3-0088-16, от 13.02.2017 № 1-1-6-0007-17</t>
  </si>
  <si>
    <t>от 23.08.2016   № 41-1-1-3-0060-16, от 24.08.16 № 1-1-6-0039-16</t>
  </si>
  <si>
    <t>от 21.12.2017 № 41-1-1-3-0095-17, от 30.03.2018 № 41-1-0041-18</t>
  </si>
  <si>
    <t>от 30.01.2018 № 41-1-1-3-0004-18, от 06.10.2015 № 1-1-6-0039-15</t>
  </si>
  <si>
    <t>от 14.02.2018 № 41-1-1-3-0006-18</t>
  </si>
  <si>
    <t>от 01.10.2011 №  41-1-5-0093-14, 01.10.2011 №  41-1-5-0045-14</t>
  </si>
  <si>
    <t>от 25.09.2013 № 41-1-4-0085-13, от 26.09.2013 № 41-1-6-0086-13</t>
  </si>
  <si>
    <t>№41-1-3-0013-15 от 27.02.2015</t>
  </si>
  <si>
    <t>зрительный за на 282 места, кинозал на 70 мест</t>
  </si>
  <si>
    <t>№ 41-1-1-3-0093-16 от 23.12.2016, № 1-1-6-0027-17 от 16.06.2017</t>
  </si>
  <si>
    <t>КГАУ СШОР "Морозная"</t>
  </si>
  <si>
    <t>№ 41-1-1-3-0009-18 от 27.02.2018;  № 41-1-0026-18 от 27.02.2018</t>
  </si>
  <si>
    <t>от 29.07.2013 № 41-1-5-0062-13</t>
  </si>
  <si>
    <t>КГБУ "Спортивная школа по футболу"</t>
  </si>
  <si>
    <t>КГАУ «Центр спортивной подготовки Камчатского края»</t>
  </si>
  <si>
    <t>КГАУ "Спортивная школа олимпийского резерва "Эдельвейс"</t>
  </si>
  <si>
    <t>типовой проект Арх. № 00014-2011</t>
  </si>
  <si>
    <t>№ 41-1-1-3-0012-16</t>
  </si>
  <si>
    <t xml:space="preserve">от 26.05.2015 № 41-1-5-0038-15, от 27.05.2015 № 1-1-6-0022-15 </t>
  </si>
  <si>
    <t>от 15.10.2012 № 41-1-2-0107-12, 16.10.2012 № 41-1-6-0039-12</t>
  </si>
  <si>
    <t>от 30.03.2015 №41-1-5-0023-15, от 31.03.2015 № 1-1-6-0007-15</t>
  </si>
  <si>
    <t>от 30.03.2015 №41-1-5-0025-15, от 31.03.2015 № 1-1-6-0008-15</t>
  </si>
  <si>
    <t>№ 41-1-1-3-0057-17 от 21.08.2017; № 1-1-6-0079-17 от 13 10.2017</t>
  </si>
  <si>
    <t>от 30.11.2016 № 41-1-1-3-0087-16, от 05.12.2016 № 41-1-1-3-0055-16</t>
  </si>
  <si>
    <t>от № 41-1-1-3-0066-16 от 20.09.2016, от № 1-1-6-0046-16 от 28.09.2016</t>
  </si>
  <si>
    <t>от 25.01.2016 № 41-1-5-0003-16</t>
  </si>
  <si>
    <t>№41-1-5-0049-13 от 24.06.2013 г.</t>
  </si>
  <si>
    <t>от 25.12.2012 № 41-1-3-0129-12</t>
  </si>
  <si>
    <t>от 05.07.2016 № 41-1-1-3-0049-16</t>
  </si>
  <si>
    <t>от 29.04.2013 № 41-1-5-0131-13</t>
  </si>
  <si>
    <t>№41-1-5-0091-13 от 30.09.2013г, №1-1-6-0016-14 от 30.04.2014 г.</t>
  </si>
  <si>
    <t>№ 41-1-5-0090-13 от 30.09.2013 года, №1-1-6-0021-14 от 14.05.2014 г.</t>
  </si>
  <si>
    <t>№ 41-1-1-3-0039-16 от 14.06.2016</t>
  </si>
  <si>
    <t>№ 41-1-1-3-0040-16 от 14.06.2016</t>
  </si>
  <si>
    <t>№ 41-1-1-3-0041-16 от 14.06.2016</t>
  </si>
  <si>
    <t>№ 41-1-1-3-0042-16 от 17.06.2016</t>
  </si>
  <si>
    <t>№ 41-1-1-3-0064-17 от 22.09.17, № 2-1-6-0104-17 от 11.12.2017</t>
  </si>
  <si>
    <t>№ 41-1-1-3-0077-17 от 16.10.2017, № 2-1-6-0107-17 от 19.12.2017</t>
  </si>
  <si>
    <t>№ 41-1-1-3-0074-17 от 19.09.2017, № 2-1-6-0105-17 от 14.12.2017</t>
  </si>
  <si>
    <t>№ 41-1-1-3-0072-17 от 16.10.2017, № 2-1-6-0103-17 от 06.12.2017</t>
  </si>
  <si>
    <t>№ 41-1-0118-17 от 27.12.2017, № 41-1-0117-17 от 27.12.2017, № 41-1-0008-18 от 24.01.2018</t>
  </si>
  <si>
    <t>№ 41-1-1-3-0033-17 от 23.05.2017, № 1-1-6-0073-17 от 29.09.2017</t>
  </si>
  <si>
    <t>№ 41-1-1-3-0083-17 от 16.11.2017, № 41-1-0120-17 от 28.12.2017</t>
  </si>
  <si>
    <t>№ 41-1-1-3-0065-17 от 26.09.2017, № 1-1-6-0086-17 от 27.10.2017</t>
  </si>
  <si>
    <t>проект повторного применения</t>
  </si>
  <si>
    <t>от 29.03.2011 № 41-1-5-0022-11</t>
  </si>
  <si>
    <t>от 07.07.2016 № 2-1-6-0034-16</t>
  </si>
  <si>
    <t>№ 41-1-1-3-0099-17 от 26.12.2017</t>
  </si>
  <si>
    <t>Инвестиционная программа Камчатского края на 2018 год 
и на плановый период 2019-2020 годов и прогнозный период 2021-2022 годов</t>
  </si>
  <si>
    <t>466 362,73 тыс. рублей</t>
  </si>
  <si>
    <t>субсидии на приобретение объектов недвижимого имущества в государственную (муниципальную) собственность</t>
  </si>
  <si>
    <t>9.30.</t>
  </si>
  <si>
    <t>9.31.</t>
  </si>
  <si>
    <t>Реконструкция автомобильной дороги Петропавловск-Камчатский - Мильково на участке км 181 - км 195 (проектные работы)</t>
  </si>
  <si>
    <t>Реконструкция автомобильной дороги Петропавловск-Камчатский - Мильково на участке км 195 - км 208 (проектные работы)</t>
  </si>
  <si>
    <t xml:space="preserve">14 км </t>
  </si>
  <si>
    <t>1 989 780,00
тыс. рублей</t>
  </si>
  <si>
    <t>1 851 200,00 
тыс. рублей</t>
  </si>
  <si>
    <t xml:space="preserve">13 км </t>
  </si>
  <si>
    <t>55,0 тыс. пасс.,105,0 тыс. тонн груза в год</t>
  </si>
  <si>
    <t>Реконструкция котлоагрегатов и оборудования котельной № 3 в п. Новый Новоавачинского сельского поселения (в том числе проектные работы и государственная экспертиза проектной документации)</t>
  </si>
  <si>
    <t>Реконструкция котлоагрегатов и оборудования котельной № 1 в п. Нагорный Новоавачинского сельского поселения (в том числе проектные работы и государственная экспертиза проектной документации)</t>
  </si>
  <si>
    <t>Реконструкция котлоагрегата в п. Раздольный Раздольненского сельского поселения (в том числе разработка проектной документации и государственная экспертиза проектной документации)</t>
  </si>
  <si>
    <t>8.18.</t>
  </si>
  <si>
    <t>от 20.12.2018 № 540-П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</si>
</sst>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0.00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b/>
      <i/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/>
    <xf numFmtId="0" fontId="2" fillId="0" borderId="0" xfId="0" applyFont="1" applyFill="1" applyAlignment="1"/>
    <xf numFmtId="0" fontId="3" fillId="0" borderId="0" xfId="0" applyFont="1" applyAlignment="1">
      <alignment horizontal="right"/>
    </xf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 vertical="center"/>
    </xf>
    <xf numFmtId="0" fontId="2" fillId="2" borderId="0" xfId="0" applyFont="1" applyFill="1"/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/>
    </xf>
    <xf numFmtId="1" fontId="7" fillId="3" borderId="2" xfId="0" applyNumberFormat="1" applyFont="1" applyFill="1" applyBorder="1" applyAlignment="1">
      <alignment horizontal="center" vertical="center" wrapText="1"/>
    </xf>
    <xf numFmtId="1" fontId="7" fillId="3" borderId="3" xfId="0" applyNumberFormat="1" applyFont="1" applyFill="1" applyBorder="1" applyAlignment="1">
      <alignment horizontal="center" vertical="center" wrapText="1"/>
    </xf>
    <xf numFmtId="1" fontId="7" fillId="3" borderId="4" xfId="0" applyNumberFormat="1" applyFont="1" applyFill="1" applyBorder="1" applyAlignment="1">
      <alignment horizontal="center" vertical="center" wrapText="1"/>
    </xf>
    <xf numFmtId="1" fontId="7" fillId="3" borderId="5" xfId="0" applyNumberFormat="1" applyFont="1" applyFill="1" applyBorder="1" applyAlignment="1">
      <alignment horizontal="center" vertical="center" wrapText="1"/>
    </xf>
    <xf numFmtId="1" fontId="7" fillId="3" borderId="0" xfId="0" applyNumberFormat="1" applyFont="1" applyFill="1" applyBorder="1" applyAlignment="1">
      <alignment horizontal="center" vertical="center" wrapText="1"/>
    </xf>
    <xf numFmtId="1" fontId="7" fillId="3" borderId="6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Border="1" applyAlignment="1">
      <alignment horizontal="center" vertical="center" wrapText="1"/>
    </xf>
    <xf numFmtId="1" fontId="7" fillId="3" borderId="7" xfId="0" applyNumberFormat="1" applyFont="1" applyFill="1" applyBorder="1" applyAlignment="1">
      <alignment horizontal="center" vertical="center" wrapText="1"/>
    </xf>
    <xf numFmtId="1" fontId="7" fillId="3" borderId="8" xfId="0" applyNumberFormat="1" applyFont="1" applyFill="1" applyBorder="1" applyAlignment="1">
      <alignment horizontal="center" vertical="center" wrapText="1"/>
    </xf>
    <xf numFmtId="1" fontId="7" fillId="3" borderId="9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right" wrapText="1"/>
    </xf>
    <xf numFmtId="164" fontId="7" fillId="2" borderId="1" xfId="0" applyNumberFormat="1" applyFont="1" applyFill="1" applyBorder="1" applyAlignment="1">
      <alignment horizontal="right" vertical="center" wrapText="1"/>
    </xf>
    <xf numFmtId="164" fontId="7" fillId="2" borderId="1" xfId="0" applyNumberFormat="1" applyFont="1" applyFill="1" applyBorder="1" applyAlignment="1">
      <alignment vertical="center" wrapText="1"/>
    </xf>
    <xf numFmtId="164" fontId="8" fillId="3" borderId="11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justify" vertical="top" wrapText="1"/>
    </xf>
    <xf numFmtId="4" fontId="8" fillId="0" borderId="0" xfId="0" applyNumberFormat="1" applyFont="1" applyFill="1" applyBorder="1" applyAlignment="1">
      <alignment horizontal="center" wrapText="1"/>
    </xf>
    <xf numFmtId="4" fontId="9" fillId="0" borderId="0" xfId="0" applyNumberFormat="1" applyFont="1" applyFill="1" applyBorder="1" applyAlignment="1">
      <alignment horizontal="justify" vertical="top" wrapText="1"/>
    </xf>
    <xf numFmtId="4" fontId="7" fillId="0" borderId="0" xfId="0" applyNumberFormat="1" applyFont="1" applyFill="1" applyBorder="1" applyAlignment="1">
      <alignment horizontal="justify" vertical="top" wrapText="1"/>
    </xf>
    <xf numFmtId="164" fontId="7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Border="1" applyAlignment="1">
      <alignment horizontal="right" vertical="center"/>
    </xf>
    <xf numFmtId="0" fontId="10" fillId="0" borderId="0" xfId="0" applyFont="1"/>
    <xf numFmtId="0" fontId="10" fillId="0" borderId="0" xfId="0" applyFont="1" applyFill="1"/>
    <xf numFmtId="0" fontId="10" fillId="0" borderId="0" xfId="0" applyFont="1" applyAlignment="1">
      <alignment horizontal="right"/>
    </xf>
    <xf numFmtId="164" fontId="8" fillId="0" borderId="1" xfId="0" applyNumberFormat="1" applyFont="1" applyBorder="1" applyAlignment="1">
      <alignment horizontal="right" wrapText="1"/>
    </xf>
    <xf numFmtId="164" fontId="8" fillId="2" borderId="1" xfId="0" applyNumberFormat="1" applyFont="1" applyFill="1" applyBorder="1" applyAlignment="1">
      <alignment horizontal="right" wrapText="1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top" wrapText="1"/>
    </xf>
    <xf numFmtId="1" fontId="8" fillId="3" borderId="1" xfId="0" applyNumberFormat="1" applyFont="1" applyFill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0" fontId="7" fillId="4" borderId="10" xfId="0" applyFont="1" applyFill="1" applyBorder="1" applyAlignment="1">
      <alignment horizontal="left" vertical="top" wrapText="1"/>
    </xf>
    <xf numFmtId="0" fontId="8" fillId="3" borderId="12" xfId="0" applyFont="1" applyFill="1" applyBorder="1" applyAlignment="1">
      <alignment horizontal="left" vertical="top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7" fillId="5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justify" vertical="top" wrapText="1"/>
    </xf>
    <xf numFmtId="0" fontId="8" fillId="3" borderId="12" xfId="0" applyFont="1" applyFill="1" applyBorder="1" applyAlignment="1">
      <alignment horizontal="justify" vertical="top" wrapText="1"/>
    </xf>
    <xf numFmtId="0" fontId="6" fillId="0" borderId="0" xfId="0" applyFont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 3" xfId="2"/>
  </cellStyles>
  <dxfs count="0"/>
  <tableStyles count="0" defaultTableStyle="TableStyleMedium2" defaultPivotStyle="PivotStyleLight16"/>
  <colors>
    <mruColors>
      <color rgb="FFAAFE22"/>
      <color rgb="FFFFCCCC"/>
      <color rgb="FFFA856E"/>
      <color rgb="FFFDC9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1104"/>
  <sheetViews>
    <sheetView tabSelected="1" view="pageBreakPreview" zoomScale="115" zoomScaleNormal="100" zoomScaleSheetLayoutView="115" zoomScalePageLayoutView="10" workbookViewId="0">
      <selection activeCell="A9" sqref="A9:V9"/>
    </sheetView>
  </sheetViews>
  <sheetFormatPr defaultColWidth="9.140625" defaultRowHeight="12.75" x14ac:dyDescent="0.2"/>
  <cols>
    <col min="1" max="1" width="3.7109375" style="1" customWidth="1"/>
    <col min="2" max="2" width="2.42578125" style="2" customWidth="1"/>
    <col min="3" max="3" width="11" style="1" customWidth="1"/>
    <col min="4" max="4" width="10.7109375" style="1" customWidth="1"/>
    <col min="5" max="9" width="10.140625" style="1" customWidth="1"/>
    <col min="10" max="10" width="5.28515625" style="1" customWidth="1"/>
    <col min="11" max="11" width="2.5703125" style="1" customWidth="1"/>
    <col min="12" max="12" width="7.140625" style="1" customWidth="1"/>
    <col min="13" max="13" width="2.42578125" style="1" customWidth="1"/>
    <col min="14" max="14" width="6" style="1" customWidth="1"/>
    <col min="15" max="15" width="3.5703125" style="1" customWidth="1"/>
    <col min="16" max="16" width="8.28515625" style="1" customWidth="1"/>
    <col min="17" max="17" width="6.7109375" style="1" customWidth="1"/>
    <col min="18" max="18" width="2.42578125" style="1" customWidth="1"/>
    <col min="19" max="19" width="7.85546875" style="1" customWidth="1"/>
    <col min="20" max="20" width="4.28515625" style="1" customWidth="1"/>
    <col min="21" max="21" width="3.85546875" style="1" customWidth="1"/>
    <col min="22" max="22" width="5.5703125" style="1" customWidth="1"/>
    <col min="23" max="16384" width="9.140625" style="1"/>
  </cols>
  <sheetData>
    <row r="1" spans="1:22" ht="45" customHeight="1" x14ac:dyDescent="0.3">
      <c r="M1" s="43"/>
      <c r="N1" s="43"/>
      <c r="O1" s="46" t="s">
        <v>134</v>
      </c>
      <c r="P1" s="46"/>
      <c r="Q1" s="46"/>
      <c r="R1" s="46"/>
      <c r="S1" s="46"/>
      <c r="T1" s="46"/>
      <c r="U1" s="46"/>
      <c r="V1" s="46"/>
    </row>
    <row r="2" spans="1:22" ht="18.75" x14ac:dyDescent="0.3">
      <c r="M2" s="43"/>
      <c r="N2" s="43"/>
      <c r="O2" s="46" t="s">
        <v>623</v>
      </c>
      <c r="P2" s="46"/>
      <c r="Q2" s="46"/>
      <c r="R2" s="46"/>
      <c r="S2" s="46"/>
      <c r="T2" s="46"/>
      <c r="U2" s="46"/>
      <c r="V2" s="46"/>
    </row>
    <row r="3" spans="1:22" ht="18.75" x14ac:dyDescent="0.3">
      <c r="M3" s="43"/>
      <c r="N3" s="43"/>
      <c r="O3" s="46" t="s">
        <v>700</v>
      </c>
      <c r="P3" s="46"/>
      <c r="Q3" s="46"/>
      <c r="R3" s="46"/>
      <c r="S3" s="46"/>
      <c r="T3" s="46"/>
      <c r="U3" s="46"/>
      <c r="V3" s="46"/>
    </row>
    <row r="4" spans="1:22" ht="18.75" x14ac:dyDescent="0.3">
      <c r="L4" s="27"/>
      <c r="M4" s="27"/>
      <c r="N4" s="27"/>
      <c r="O4" s="27"/>
      <c r="P4" s="27"/>
      <c r="Q4" s="28"/>
      <c r="R4" s="28"/>
      <c r="S4" s="28"/>
      <c r="T4" s="28"/>
      <c r="U4" s="28"/>
      <c r="V4" s="28"/>
    </row>
    <row r="5" spans="1:22" s="3" customFormat="1" ht="18.75" x14ac:dyDescent="0.3">
      <c r="B5" s="4"/>
      <c r="M5" s="43"/>
      <c r="N5" s="43"/>
      <c r="O5" s="46" t="s">
        <v>378</v>
      </c>
      <c r="P5" s="46"/>
      <c r="Q5" s="46"/>
      <c r="R5" s="46"/>
      <c r="S5" s="46"/>
      <c r="T5" s="46"/>
      <c r="U5" s="46"/>
      <c r="V5" s="46"/>
    </row>
    <row r="6" spans="1:22" s="3" customFormat="1" ht="18.75" x14ac:dyDescent="0.3">
      <c r="B6" s="4"/>
      <c r="M6" s="43"/>
      <c r="N6" s="43"/>
      <c r="O6" s="46" t="s">
        <v>135</v>
      </c>
      <c r="P6" s="46"/>
      <c r="Q6" s="46"/>
      <c r="R6" s="46"/>
      <c r="S6" s="46"/>
      <c r="T6" s="46"/>
      <c r="U6" s="46"/>
      <c r="V6" s="46"/>
    </row>
    <row r="7" spans="1:22" s="3" customFormat="1" ht="18.75" x14ac:dyDescent="0.3">
      <c r="B7" s="4"/>
      <c r="M7" s="44"/>
      <c r="N7" s="44"/>
      <c r="O7" s="46" t="s">
        <v>607</v>
      </c>
      <c r="P7" s="46"/>
      <c r="Q7" s="46"/>
      <c r="R7" s="46"/>
      <c r="S7" s="46"/>
      <c r="T7" s="46"/>
      <c r="U7" s="46"/>
      <c r="V7" s="46"/>
    </row>
    <row r="8" spans="1:22" s="3" customFormat="1" ht="29.25" customHeight="1" x14ac:dyDescent="0.2">
      <c r="B8" s="4"/>
      <c r="Q8" s="5"/>
      <c r="R8" s="5"/>
      <c r="S8" s="5"/>
      <c r="T8" s="5"/>
      <c r="U8" s="5"/>
      <c r="V8" s="5"/>
    </row>
    <row r="9" spans="1:22" ht="36.75" customHeight="1" x14ac:dyDescent="0.2">
      <c r="A9" s="67" t="s">
        <v>684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</row>
    <row r="10" spans="1:22" ht="27.75" customHeight="1" x14ac:dyDescent="0.2">
      <c r="A10" s="6"/>
      <c r="B10" s="7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8"/>
    </row>
    <row r="11" spans="1:22" ht="128.25" customHeight="1" x14ac:dyDescent="0.2">
      <c r="A11" s="45" t="s">
        <v>629</v>
      </c>
      <c r="B11" s="47" t="s">
        <v>25</v>
      </c>
      <c r="C11" s="47"/>
      <c r="D11" s="45" t="s">
        <v>5</v>
      </c>
      <c r="E11" s="45" t="s">
        <v>60</v>
      </c>
      <c r="F11" s="45" t="s">
        <v>76</v>
      </c>
      <c r="G11" s="45" t="s">
        <v>174</v>
      </c>
      <c r="H11" s="45" t="s">
        <v>111</v>
      </c>
      <c r="I11" s="45" t="s">
        <v>113</v>
      </c>
      <c r="J11" s="10" t="s">
        <v>86</v>
      </c>
      <c r="K11" s="10" t="s">
        <v>622</v>
      </c>
      <c r="L11" s="10" t="s">
        <v>84</v>
      </c>
      <c r="M11" s="10" t="s">
        <v>4</v>
      </c>
      <c r="N11" s="10" t="s">
        <v>75</v>
      </c>
      <c r="O11" s="10" t="s">
        <v>81</v>
      </c>
      <c r="P11" s="10" t="s">
        <v>87</v>
      </c>
      <c r="Q11" s="10" t="s">
        <v>109</v>
      </c>
      <c r="R11" s="10" t="s">
        <v>88</v>
      </c>
      <c r="S11" s="10" t="s">
        <v>89</v>
      </c>
      <c r="T11" s="10" t="s">
        <v>621</v>
      </c>
      <c r="U11" s="11" t="s">
        <v>8</v>
      </c>
      <c r="V11" s="11" t="s">
        <v>6</v>
      </c>
    </row>
    <row r="12" spans="1:22" s="6" customFormat="1" ht="9.75" customHeight="1" x14ac:dyDescent="0.2">
      <c r="A12" s="22">
        <v>1</v>
      </c>
      <c r="B12" s="68">
        <v>2</v>
      </c>
      <c r="C12" s="68"/>
      <c r="D12" s="22">
        <v>3</v>
      </c>
      <c r="E12" s="22">
        <v>4</v>
      </c>
      <c r="F12" s="22">
        <v>5</v>
      </c>
      <c r="G12" s="22">
        <v>6</v>
      </c>
      <c r="H12" s="22">
        <v>7</v>
      </c>
      <c r="I12" s="22">
        <v>8</v>
      </c>
      <c r="J12" s="22">
        <v>9</v>
      </c>
      <c r="K12" s="22">
        <v>10</v>
      </c>
      <c r="L12" s="22">
        <v>11</v>
      </c>
      <c r="M12" s="22">
        <v>12</v>
      </c>
      <c r="N12" s="22">
        <v>13</v>
      </c>
      <c r="O12" s="22">
        <v>14</v>
      </c>
      <c r="P12" s="22">
        <v>15</v>
      </c>
      <c r="Q12" s="22">
        <v>16</v>
      </c>
      <c r="R12" s="22">
        <v>17</v>
      </c>
      <c r="S12" s="22">
        <v>18</v>
      </c>
      <c r="T12" s="22">
        <v>19</v>
      </c>
      <c r="U12" s="22">
        <v>20</v>
      </c>
      <c r="V12" s="22">
        <v>21</v>
      </c>
    </row>
    <row r="13" spans="1:22" s="6" customFormat="1" x14ac:dyDescent="0.2">
      <c r="A13" s="54" t="s">
        <v>30</v>
      </c>
      <c r="B13" s="55" t="s">
        <v>110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1:22" s="6" customFormat="1" x14ac:dyDescent="0.2">
      <c r="A14" s="54"/>
      <c r="B14" s="56" t="s">
        <v>5</v>
      </c>
      <c r="C14" s="56"/>
      <c r="D14" s="23">
        <f t="shared" ref="D14:I14" si="0">SUM(D15:D18)</f>
        <v>7542214.6995400004</v>
      </c>
      <c r="E14" s="23">
        <f t="shared" si="0"/>
        <v>475907.93154000002</v>
      </c>
      <c r="F14" s="23">
        <f t="shared" si="0"/>
        <v>1866288.6</v>
      </c>
      <c r="G14" s="23">
        <f t="shared" si="0"/>
        <v>3050007.1680000001</v>
      </c>
      <c r="H14" s="23">
        <f t="shared" si="0"/>
        <v>1033824</v>
      </c>
      <c r="I14" s="23">
        <f t="shared" si="0"/>
        <v>1116187</v>
      </c>
      <c r="J14" s="12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4"/>
    </row>
    <row r="15" spans="1:22" x14ac:dyDescent="0.2">
      <c r="A15" s="54"/>
      <c r="B15" s="56" t="s">
        <v>0</v>
      </c>
      <c r="C15" s="56"/>
      <c r="D15" s="23">
        <f>E15+F15+G15+H15+I15</f>
        <v>4233262.37</v>
      </c>
      <c r="E15" s="23">
        <f>E23+E31+E39+E47+E55+E63+E71</f>
        <v>261862.37</v>
      </c>
      <c r="F15" s="23">
        <f t="shared" ref="F15:I15" si="1">F23+F31+F39+F47+F55+F63+F71</f>
        <v>1470000</v>
      </c>
      <c r="G15" s="23">
        <f t="shared" si="1"/>
        <v>2501400</v>
      </c>
      <c r="H15" s="23">
        <f t="shared" si="1"/>
        <v>0</v>
      </c>
      <c r="I15" s="23">
        <f t="shared" si="1"/>
        <v>0</v>
      </c>
      <c r="J15" s="15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7"/>
    </row>
    <row r="16" spans="1:22" x14ac:dyDescent="0.2">
      <c r="A16" s="54"/>
      <c r="B16" s="56" t="s">
        <v>1</v>
      </c>
      <c r="C16" s="56"/>
      <c r="D16" s="23">
        <f>E16+F16+G16+H16+I16</f>
        <v>3308952.3295400003</v>
      </c>
      <c r="E16" s="23">
        <f t="shared" ref="E16:I16" si="2">E24+E32+E40+E48+E56+E64+E72</f>
        <v>214045.56154000005</v>
      </c>
      <c r="F16" s="23">
        <f t="shared" si="2"/>
        <v>396288.60000000003</v>
      </c>
      <c r="G16" s="23">
        <f t="shared" si="2"/>
        <v>548607.16800000006</v>
      </c>
      <c r="H16" s="23">
        <f t="shared" si="2"/>
        <v>1033824</v>
      </c>
      <c r="I16" s="23">
        <f t="shared" si="2"/>
        <v>1116187</v>
      </c>
      <c r="J16" s="15"/>
      <c r="K16" s="18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7"/>
    </row>
    <row r="17" spans="1:22" x14ac:dyDescent="0.2">
      <c r="A17" s="54"/>
      <c r="B17" s="56" t="s">
        <v>2</v>
      </c>
      <c r="C17" s="56"/>
      <c r="D17" s="23">
        <f>E17+F17+G17+H17+I17</f>
        <v>0</v>
      </c>
      <c r="E17" s="23">
        <f t="shared" ref="E17:I17" si="3">E25+E33+E41+E49+E57+E65+E73</f>
        <v>0</v>
      </c>
      <c r="F17" s="23">
        <f t="shared" si="3"/>
        <v>0</v>
      </c>
      <c r="G17" s="23">
        <f t="shared" si="3"/>
        <v>0</v>
      </c>
      <c r="H17" s="23">
        <f t="shared" si="3"/>
        <v>0</v>
      </c>
      <c r="I17" s="23">
        <f t="shared" si="3"/>
        <v>0</v>
      </c>
      <c r="J17" s="15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7"/>
    </row>
    <row r="18" spans="1:22" ht="19.5" customHeight="1" x14ac:dyDescent="0.2">
      <c r="A18" s="54"/>
      <c r="B18" s="56" t="s">
        <v>3</v>
      </c>
      <c r="C18" s="56"/>
      <c r="D18" s="23">
        <f>E18+F18+G18+H18+I18</f>
        <v>0</v>
      </c>
      <c r="E18" s="23">
        <f t="shared" ref="E18:I18" si="4">E26+E34+E42+E50+E58+E66+E74</f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19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1"/>
    </row>
    <row r="19" spans="1:22" ht="12.75" customHeight="1" x14ac:dyDescent="0.2">
      <c r="A19" s="48" t="s">
        <v>31</v>
      </c>
      <c r="B19" s="49" t="s">
        <v>73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</row>
    <row r="20" spans="1:22" ht="15" customHeight="1" x14ac:dyDescent="0.2">
      <c r="A20" s="48"/>
      <c r="B20" s="52" t="s">
        <v>446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</row>
    <row r="21" spans="1:22" ht="56.25" customHeight="1" x14ac:dyDescent="0.2">
      <c r="A21" s="48"/>
      <c r="B21" s="50" t="s">
        <v>26</v>
      </c>
      <c r="C21" s="50"/>
      <c r="D21" s="50"/>
      <c r="E21" s="50"/>
      <c r="F21" s="50"/>
      <c r="G21" s="50"/>
      <c r="H21" s="50"/>
      <c r="I21" s="50"/>
      <c r="J21" s="53" t="s">
        <v>233</v>
      </c>
      <c r="K21" s="53"/>
      <c r="L21" s="53" t="s">
        <v>69</v>
      </c>
      <c r="M21" s="53"/>
      <c r="N21" s="53" t="s">
        <v>73</v>
      </c>
      <c r="O21" s="53" t="s">
        <v>73</v>
      </c>
      <c r="P21" s="53" t="s">
        <v>73</v>
      </c>
      <c r="Q21" s="57"/>
      <c r="R21" s="53" t="s">
        <v>11</v>
      </c>
      <c r="S21" s="53" t="s">
        <v>68</v>
      </c>
      <c r="T21" s="53" t="s">
        <v>101</v>
      </c>
      <c r="U21" s="53"/>
      <c r="V21" s="53"/>
    </row>
    <row r="22" spans="1:22" ht="15" customHeight="1" x14ac:dyDescent="0.2">
      <c r="A22" s="48"/>
      <c r="B22" s="51" t="s">
        <v>5</v>
      </c>
      <c r="C22" s="51"/>
      <c r="D22" s="24">
        <f>SUM(D23:D26)</f>
        <v>126173.46653999999</v>
      </c>
      <c r="E22" s="25">
        <f>SUM(E23:E26)</f>
        <v>67417.466539999994</v>
      </c>
      <c r="F22" s="25">
        <f>SUM(F23:F26)</f>
        <v>58756</v>
      </c>
      <c r="G22" s="25"/>
      <c r="H22" s="25"/>
      <c r="I22" s="25"/>
      <c r="J22" s="53"/>
      <c r="K22" s="53"/>
      <c r="L22" s="53"/>
      <c r="M22" s="53"/>
      <c r="N22" s="53"/>
      <c r="O22" s="53"/>
      <c r="P22" s="53"/>
      <c r="Q22" s="57"/>
      <c r="R22" s="53"/>
      <c r="S22" s="53"/>
      <c r="T22" s="53"/>
      <c r="U22" s="53"/>
      <c r="V22" s="53"/>
    </row>
    <row r="23" spans="1:22" ht="12.75" customHeight="1" x14ac:dyDescent="0.2">
      <c r="A23" s="48"/>
      <c r="B23" s="51" t="s">
        <v>0</v>
      </c>
      <c r="C23" s="51"/>
      <c r="D23" s="24">
        <f>E23+F23+G23+H23+I23</f>
        <v>0</v>
      </c>
      <c r="E23" s="25"/>
      <c r="F23" s="25"/>
      <c r="G23" s="25"/>
      <c r="H23" s="25"/>
      <c r="I23" s="25"/>
      <c r="J23" s="53"/>
      <c r="K23" s="53"/>
      <c r="L23" s="53"/>
      <c r="M23" s="53"/>
      <c r="N23" s="53"/>
      <c r="O23" s="53"/>
      <c r="P23" s="53"/>
      <c r="Q23" s="57"/>
      <c r="R23" s="53"/>
      <c r="S23" s="53"/>
      <c r="T23" s="53"/>
      <c r="U23" s="53"/>
      <c r="V23" s="53"/>
    </row>
    <row r="24" spans="1:22" ht="15" customHeight="1" x14ac:dyDescent="0.2">
      <c r="A24" s="48"/>
      <c r="B24" s="51" t="s">
        <v>1</v>
      </c>
      <c r="C24" s="51"/>
      <c r="D24" s="24">
        <f>E24+F24+G24+H24+I24</f>
        <v>126173.46653999999</v>
      </c>
      <c r="E24" s="25">
        <f>100000-32582.53346</f>
        <v>67417.466539999994</v>
      </c>
      <c r="F24" s="25">
        <v>58756</v>
      </c>
      <c r="G24" s="25"/>
      <c r="H24" s="25"/>
      <c r="I24" s="25"/>
      <c r="J24" s="53"/>
      <c r="K24" s="53"/>
      <c r="L24" s="53"/>
      <c r="M24" s="53"/>
      <c r="N24" s="53"/>
      <c r="O24" s="53"/>
      <c r="P24" s="53"/>
      <c r="Q24" s="57"/>
      <c r="R24" s="53"/>
      <c r="S24" s="53"/>
      <c r="T24" s="53"/>
      <c r="U24" s="53"/>
      <c r="V24" s="53"/>
    </row>
    <row r="25" spans="1:22" ht="15" customHeight="1" x14ac:dyDescent="0.2">
      <c r="A25" s="48"/>
      <c r="B25" s="51" t="s">
        <v>2</v>
      </c>
      <c r="C25" s="51"/>
      <c r="D25" s="24">
        <f>E25+F25+G25+H25+I25</f>
        <v>0</v>
      </c>
      <c r="E25" s="25"/>
      <c r="F25" s="25"/>
      <c r="G25" s="25"/>
      <c r="H25" s="25"/>
      <c r="I25" s="25"/>
      <c r="J25" s="53"/>
      <c r="K25" s="53"/>
      <c r="L25" s="53"/>
      <c r="M25" s="53"/>
      <c r="N25" s="53"/>
      <c r="O25" s="53"/>
      <c r="P25" s="53"/>
      <c r="Q25" s="57"/>
      <c r="R25" s="53"/>
      <c r="S25" s="53"/>
      <c r="T25" s="53"/>
      <c r="U25" s="53"/>
      <c r="V25" s="53"/>
    </row>
    <row r="26" spans="1:22" ht="23.25" customHeight="1" x14ac:dyDescent="0.2">
      <c r="A26" s="48"/>
      <c r="B26" s="51" t="s">
        <v>3</v>
      </c>
      <c r="C26" s="51"/>
      <c r="D26" s="24">
        <f>E26+F26+G26+H26+I26</f>
        <v>0</v>
      </c>
      <c r="E26" s="25"/>
      <c r="F26" s="25"/>
      <c r="G26" s="25"/>
      <c r="H26" s="25"/>
      <c r="I26" s="25"/>
      <c r="J26" s="53"/>
      <c r="K26" s="53"/>
      <c r="L26" s="53"/>
      <c r="M26" s="53"/>
      <c r="N26" s="53"/>
      <c r="O26" s="53"/>
      <c r="P26" s="53"/>
      <c r="Q26" s="57"/>
      <c r="R26" s="53"/>
      <c r="S26" s="53"/>
      <c r="T26" s="53"/>
      <c r="U26" s="53"/>
      <c r="V26" s="53"/>
    </row>
    <row r="27" spans="1:22" ht="12.75" customHeight="1" x14ac:dyDescent="0.2">
      <c r="A27" s="48" t="s">
        <v>32</v>
      </c>
      <c r="B27" s="49" t="s">
        <v>24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</row>
    <row r="28" spans="1:22" s="9" customFormat="1" ht="12.75" customHeight="1" x14ac:dyDescent="0.2">
      <c r="A28" s="48"/>
      <c r="B28" s="52" t="s">
        <v>447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</row>
    <row r="29" spans="1:22" s="9" customFormat="1" ht="52.5" customHeight="1" x14ac:dyDescent="0.2">
      <c r="A29" s="48"/>
      <c r="B29" s="50" t="s">
        <v>235</v>
      </c>
      <c r="C29" s="50"/>
      <c r="D29" s="50"/>
      <c r="E29" s="50"/>
      <c r="F29" s="50"/>
      <c r="G29" s="50"/>
      <c r="H29" s="50"/>
      <c r="I29" s="50"/>
      <c r="J29" s="53"/>
      <c r="K29" s="53" t="s">
        <v>60</v>
      </c>
      <c r="L29" s="53" t="s">
        <v>70</v>
      </c>
      <c r="M29" s="53"/>
      <c r="N29" s="53" t="s">
        <v>24</v>
      </c>
      <c r="O29" s="53" t="s">
        <v>24</v>
      </c>
      <c r="P29" s="53" t="s">
        <v>24</v>
      </c>
      <c r="Q29" s="57" t="s">
        <v>236</v>
      </c>
      <c r="R29" s="53" t="s">
        <v>11</v>
      </c>
      <c r="S29" s="53" t="s">
        <v>112</v>
      </c>
      <c r="T29" s="53" t="s">
        <v>85</v>
      </c>
      <c r="U29" s="53"/>
      <c r="V29" s="53"/>
    </row>
    <row r="30" spans="1:22" s="9" customFormat="1" ht="12.75" customHeight="1" x14ac:dyDescent="0.2">
      <c r="A30" s="48"/>
      <c r="B30" s="51" t="s">
        <v>5</v>
      </c>
      <c r="C30" s="51"/>
      <c r="D30" s="24">
        <f>SUM(D31:D34)</f>
        <v>3736</v>
      </c>
      <c r="E30" s="25">
        <f>SUM(E31:E34)</f>
        <v>3736</v>
      </c>
      <c r="F30" s="25"/>
      <c r="G30" s="25"/>
      <c r="H30" s="25"/>
      <c r="I30" s="25"/>
      <c r="J30" s="53"/>
      <c r="K30" s="53"/>
      <c r="L30" s="53"/>
      <c r="M30" s="53"/>
      <c r="N30" s="53"/>
      <c r="O30" s="53"/>
      <c r="P30" s="53"/>
      <c r="Q30" s="57"/>
      <c r="R30" s="53"/>
      <c r="S30" s="53"/>
      <c r="T30" s="53"/>
      <c r="U30" s="53"/>
      <c r="V30" s="53"/>
    </row>
    <row r="31" spans="1:22" s="9" customFormat="1" ht="12.75" customHeight="1" x14ac:dyDescent="0.2">
      <c r="A31" s="48"/>
      <c r="B31" s="51" t="s">
        <v>0</v>
      </c>
      <c r="C31" s="51"/>
      <c r="D31" s="24">
        <f>E31+F31+G31+H31+I31</f>
        <v>0</v>
      </c>
      <c r="E31" s="25"/>
      <c r="F31" s="25"/>
      <c r="G31" s="25"/>
      <c r="H31" s="25"/>
      <c r="I31" s="25"/>
      <c r="J31" s="53"/>
      <c r="K31" s="53"/>
      <c r="L31" s="53"/>
      <c r="M31" s="53"/>
      <c r="N31" s="53"/>
      <c r="O31" s="53"/>
      <c r="P31" s="53"/>
      <c r="Q31" s="57"/>
      <c r="R31" s="53"/>
      <c r="S31" s="53"/>
      <c r="T31" s="53"/>
      <c r="U31" s="53"/>
      <c r="V31" s="53"/>
    </row>
    <row r="32" spans="1:22" s="9" customFormat="1" ht="12.75" customHeight="1" x14ac:dyDescent="0.2">
      <c r="A32" s="48"/>
      <c r="B32" s="51" t="s">
        <v>1</v>
      </c>
      <c r="C32" s="51"/>
      <c r="D32" s="24">
        <f>E32+F32+G32+H32+I32</f>
        <v>3736</v>
      </c>
      <c r="E32" s="25">
        <v>3736</v>
      </c>
      <c r="F32" s="25"/>
      <c r="G32" s="25"/>
      <c r="H32" s="25"/>
      <c r="I32" s="25"/>
      <c r="J32" s="53"/>
      <c r="K32" s="53"/>
      <c r="L32" s="53"/>
      <c r="M32" s="53"/>
      <c r="N32" s="53"/>
      <c r="O32" s="53"/>
      <c r="P32" s="53"/>
      <c r="Q32" s="57"/>
      <c r="R32" s="53"/>
      <c r="S32" s="53"/>
      <c r="T32" s="53"/>
      <c r="U32" s="53"/>
      <c r="V32" s="53"/>
    </row>
    <row r="33" spans="1:22" s="9" customFormat="1" ht="12.75" customHeight="1" x14ac:dyDescent="0.2">
      <c r="A33" s="48"/>
      <c r="B33" s="51" t="s">
        <v>2</v>
      </c>
      <c r="C33" s="51"/>
      <c r="D33" s="24">
        <f>E33+F33+G33+H33+I33</f>
        <v>0</v>
      </c>
      <c r="E33" s="25"/>
      <c r="F33" s="25"/>
      <c r="G33" s="25"/>
      <c r="H33" s="25"/>
      <c r="I33" s="25"/>
      <c r="J33" s="53"/>
      <c r="K33" s="53"/>
      <c r="L33" s="53"/>
      <c r="M33" s="53"/>
      <c r="N33" s="53"/>
      <c r="O33" s="53"/>
      <c r="P33" s="53"/>
      <c r="Q33" s="57"/>
      <c r="R33" s="53"/>
      <c r="S33" s="53"/>
      <c r="T33" s="53"/>
      <c r="U33" s="53"/>
      <c r="V33" s="53"/>
    </row>
    <row r="34" spans="1:22" s="9" customFormat="1" ht="21.75" customHeight="1" x14ac:dyDescent="0.2">
      <c r="A34" s="48"/>
      <c r="B34" s="51" t="s">
        <v>3</v>
      </c>
      <c r="C34" s="51"/>
      <c r="D34" s="24">
        <f>E34+F34+G34+H34+I34</f>
        <v>0</v>
      </c>
      <c r="E34" s="25"/>
      <c r="F34" s="25"/>
      <c r="G34" s="25"/>
      <c r="H34" s="25"/>
      <c r="I34" s="25"/>
      <c r="J34" s="53"/>
      <c r="K34" s="53"/>
      <c r="L34" s="53"/>
      <c r="M34" s="53"/>
      <c r="N34" s="53"/>
      <c r="O34" s="53"/>
      <c r="P34" s="53"/>
      <c r="Q34" s="57"/>
      <c r="R34" s="53"/>
      <c r="S34" s="53"/>
      <c r="T34" s="53"/>
      <c r="U34" s="53"/>
      <c r="V34" s="53"/>
    </row>
    <row r="35" spans="1:22" ht="12.75" customHeight="1" x14ac:dyDescent="0.2">
      <c r="A35" s="48" t="s">
        <v>33</v>
      </c>
      <c r="B35" s="49" t="s">
        <v>24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</row>
    <row r="36" spans="1:22" s="9" customFormat="1" ht="12.75" customHeight="1" x14ac:dyDescent="0.2">
      <c r="A36" s="48"/>
      <c r="B36" s="52" t="s">
        <v>447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</row>
    <row r="37" spans="1:22" s="9" customFormat="1" ht="39.75" customHeight="1" x14ac:dyDescent="0.2">
      <c r="A37" s="48"/>
      <c r="B37" s="50" t="s">
        <v>624</v>
      </c>
      <c r="C37" s="50"/>
      <c r="D37" s="50"/>
      <c r="E37" s="50"/>
      <c r="F37" s="50"/>
      <c r="G37" s="50"/>
      <c r="H37" s="50"/>
      <c r="I37" s="50"/>
      <c r="J37" s="53" t="s">
        <v>231</v>
      </c>
      <c r="K37" s="53"/>
      <c r="L37" s="53" t="s">
        <v>70</v>
      </c>
      <c r="M37" s="53" t="s">
        <v>140</v>
      </c>
      <c r="N37" s="53" t="s">
        <v>24</v>
      </c>
      <c r="O37" s="53" t="s">
        <v>24</v>
      </c>
      <c r="P37" s="53" t="s">
        <v>24</v>
      </c>
      <c r="Q37" s="57" t="s">
        <v>232</v>
      </c>
      <c r="R37" s="53" t="s">
        <v>11</v>
      </c>
      <c r="S37" s="53" t="s">
        <v>129</v>
      </c>
      <c r="T37" s="53" t="s">
        <v>7</v>
      </c>
      <c r="U37" s="53"/>
      <c r="V37" s="53" t="s">
        <v>631</v>
      </c>
    </row>
    <row r="38" spans="1:22" s="9" customFormat="1" ht="15" customHeight="1" x14ac:dyDescent="0.2">
      <c r="A38" s="48"/>
      <c r="B38" s="51" t="s">
        <v>5</v>
      </c>
      <c r="C38" s="51"/>
      <c r="D38" s="24">
        <f t="shared" ref="D38:I38" si="5">SUM(D39:D42)</f>
        <v>7334413.1380000003</v>
      </c>
      <c r="E38" s="25">
        <f t="shared" si="5"/>
        <v>326862.37000000005</v>
      </c>
      <c r="F38" s="25">
        <f t="shared" si="5"/>
        <v>1807532.6</v>
      </c>
      <c r="G38" s="25">
        <f t="shared" si="5"/>
        <v>3050007.1680000001</v>
      </c>
      <c r="H38" s="25">
        <f t="shared" si="5"/>
        <v>1033824</v>
      </c>
      <c r="I38" s="25">
        <f t="shared" si="5"/>
        <v>1116187</v>
      </c>
      <c r="J38" s="53"/>
      <c r="K38" s="53"/>
      <c r="L38" s="53"/>
      <c r="M38" s="53"/>
      <c r="N38" s="53"/>
      <c r="O38" s="53"/>
      <c r="P38" s="53"/>
      <c r="Q38" s="57"/>
      <c r="R38" s="53"/>
      <c r="S38" s="53"/>
      <c r="T38" s="53"/>
      <c r="U38" s="53"/>
      <c r="V38" s="53"/>
    </row>
    <row r="39" spans="1:22" s="9" customFormat="1" ht="12.75" customHeight="1" x14ac:dyDescent="0.2">
      <c r="A39" s="48"/>
      <c r="B39" s="51" t="s">
        <v>0</v>
      </c>
      <c r="C39" s="51"/>
      <c r="D39" s="24">
        <f>E39+F39+G39+H39+I39</f>
        <v>4233262.37</v>
      </c>
      <c r="E39" s="25">
        <f>300000-38137.63</f>
        <v>261862.37</v>
      </c>
      <c r="F39" s="25">
        <v>1470000</v>
      </c>
      <c r="G39" s="25">
        <v>2501400</v>
      </c>
      <c r="H39" s="25"/>
      <c r="I39" s="25"/>
      <c r="J39" s="53"/>
      <c r="K39" s="53"/>
      <c r="L39" s="53"/>
      <c r="M39" s="53"/>
      <c r="N39" s="53"/>
      <c r="O39" s="53"/>
      <c r="P39" s="53"/>
      <c r="Q39" s="57"/>
      <c r="R39" s="53"/>
      <c r="S39" s="53"/>
      <c r="T39" s="53"/>
      <c r="U39" s="53"/>
      <c r="V39" s="53"/>
    </row>
    <row r="40" spans="1:22" s="9" customFormat="1" ht="15" customHeight="1" x14ac:dyDescent="0.2">
      <c r="A40" s="48"/>
      <c r="B40" s="51" t="s">
        <v>1</v>
      </c>
      <c r="C40" s="51"/>
      <c r="D40" s="24">
        <f>E40+F40+G40+H40+I40</f>
        <v>3101150.7680000002</v>
      </c>
      <c r="E40" s="25">
        <f>273983+191084.64032-71521.095-34000-294546.54532</f>
        <v>65000.000000000058</v>
      </c>
      <c r="F40" s="25">
        <v>337532.60000000003</v>
      </c>
      <c r="G40" s="25">
        <v>548607.16800000006</v>
      </c>
      <c r="H40" s="25">
        <v>1033824</v>
      </c>
      <c r="I40" s="25">
        <v>1116187</v>
      </c>
      <c r="J40" s="53"/>
      <c r="K40" s="53"/>
      <c r="L40" s="53"/>
      <c r="M40" s="53"/>
      <c r="N40" s="53"/>
      <c r="O40" s="53"/>
      <c r="P40" s="53"/>
      <c r="Q40" s="57"/>
      <c r="R40" s="53"/>
      <c r="S40" s="53"/>
      <c r="T40" s="53"/>
      <c r="U40" s="53"/>
      <c r="V40" s="53"/>
    </row>
    <row r="41" spans="1:22" s="9" customFormat="1" ht="12.75" customHeight="1" x14ac:dyDescent="0.2">
      <c r="A41" s="48"/>
      <c r="B41" s="51" t="s">
        <v>2</v>
      </c>
      <c r="C41" s="51"/>
      <c r="D41" s="24">
        <f>E41+F41+G41+H41+I41</f>
        <v>0</v>
      </c>
      <c r="E41" s="25"/>
      <c r="F41" s="25"/>
      <c r="G41" s="25"/>
      <c r="H41" s="25"/>
      <c r="I41" s="25"/>
      <c r="J41" s="53"/>
      <c r="K41" s="53"/>
      <c r="L41" s="53"/>
      <c r="M41" s="53"/>
      <c r="N41" s="53"/>
      <c r="O41" s="53"/>
      <c r="P41" s="53"/>
      <c r="Q41" s="57"/>
      <c r="R41" s="53"/>
      <c r="S41" s="53"/>
      <c r="T41" s="53"/>
      <c r="U41" s="53"/>
      <c r="V41" s="53"/>
    </row>
    <row r="42" spans="1:22" s="9" customFormat="1" ht="22.5" customHeight="1" x14ac:dyDescent="0.2">
      <c r="A42" s="48"/>
      <c r="B42" s="51" t="s">
        <v>3</v>
      </c>
      <c r="C42" s="51"/>
      <c r="D42" s="24">
        <f>E42+F42+G42+H42+I42</f>
        <v>0</v>
      </c>
      <c r="E42" s="25"/>
      <c r="F42" s="25"/>
      <c r="G42" s="25"/>
      <c r="H42" s="25"/>
      <c r="I42" s="25"/>
      <c r="J42" s="53"/>
      <c r="K42" s="53"/>
      <c r="L42" s="53"/>
      <c r="M42" s="53"/>
      <c r="N42" s="53"/>
      <c r="O42" s="53"/>
      <c r="P42" s="53"/>
      <c r="Q42" s="57"/>
      <c r="R42" s="53"/>
      <c r="S42" s="53"/>
      <c r="T42" s="53"/>
      <c r="U42" s="53"/>
      <c r="V42" s="53"/>
    </row>
    <row r="43" spans="1:22" s="9" customFormat="1" ht="12.75" customHeight="1" x14ac:dyDescent="0.2">
      <c r="A43" s="48" t="s">
        <v>34</v>
      </c>
      <c r="B43" s="49" t="s">
        <v>24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</row>
    <row r="44" spans="1:22" s="9" customFormat="1" ht="12.75" customHeight="1" x14ac:dyDescent="0.2">
      <c r="A44" s="48"/>
      <c r="B44" s="52" t="s">
        <v>447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</row>
    <row r="45" spans="1:22" s="9" customFormat="1" ht="44.25" customHeight="1" x14ac:dyDescent="0.2">
      <c r="A45" s="48"/>
      <c r="B45" s="50" t="s">
        <v>625</v>
      </c>
      <c r="C45" s="50"/>
      <c r="D45" s="50"/>
      <c r="E45" s="50"/>
      <c r="F45" s="50"/>
      <c r="G45" s="50"/>
      <c r="H45" s="50"/>
      <c r="I45" s="50"/>
      <c r="J45" s="53"/>
      <c r="K45" s="53" t="s">
        <v>60</v>
      </c>
      <c r="L45" s="53" t="s">
        <v>70</v>
      </c>
      <c r="M45" s="53" t="s">
        <v>140</v>
      </c>
      <c r="N45" s="53" t="s">
        <v>24</v>
      </c>
      <c r="O45" s="53" t="s">
        <v>24</v>
      </c>
      <c r="P45" s="53" t="s">
        <v>24</v>
      </c>
      <c r="Q45" s="57" t="s">
        <v>232</v>
      </c>
      <c r="R45" s="53" t="s">
        <v>11</v>
      </c>
      <c r="S45" s="53" t="s">
        <v>129</v>
      </c>
      <c r="T45" s="53" t="s">
        <v>85</v>
      </c>
      <c r="U45" s="53"/>
      <c r="V45" s="53"/>
    </row>
    <row r="46" spans="1:22" s="9" customFormat="1" ht="15" customHeight="1" x14ac:dyDescent="0.2">
      <c r="A46" s="48"/>
      <c r="B46" s="51" t="s">
        <v>5</v>
      </c>
      <c r="C46" s="51"/>
      <c r="D46" s="24">
        <f t="shared" ref="D46:E46" si="6">SUM(D47:D50)</f>
        <v>4356</v>
      </c>
      <c r="E46" s="25">
        <f t="shared" si="6"/>
        <v>4356</v>
      </c>
      <c r="F46" s="25"/>
      <c r="G46" s="25"/>
      <c r="H46" s="25"/>
      <c r="I46" s="25"/>
      <c r="J46" s="53"/>
      <c r="K46" s="53"/>
      <c r="L46" s="53"/>
      <c r="M46" s="53"/>
      <c r="N46" s="53"/>
      <c r="O46" s="53"/>
      <c r="P46" s="53"/>
      <c r="Q46" s="57"/>
      <c r="R46" s="53"/>
      <c r="S46" s="53"/>
      <c r="T46" s="53"/>
      <c r="U46" s="53"/>
      <c r="V46" s="53"/>
    </row>
    <row r="47" spans="1:22" s="9" customFormat="1" ht="15" customHeight="1" x14ac:dyDescent="0.2">
      <c r="A47" s="48"/>
      <c r="B47" s="51" t="s">
        <v>0</v>
      </c>
      <c r="C47" s="51"/>
      <c r="D47" s="24">
        <f>E47+F47+G47+H47+I47</f>
        <v>0</v>
      </c>
      <c r="E47" s="25"/>
      <c r="F47" s="25"/>
      <c r="G47" s="25"/>
      <c r="H47" s="25"/>
      <c r="I47" s="25"/>
      <c r="J47" s="53"/>
      <c r="K47" s="53"/>
      <c r="L47" s="53"/>
      <c r="M47" s="53"/>
      <c r="N47" s="53"/>
      <c r="O47" s="53"/>
      <c r="P47" s="53"/>
      <c r="Q47" s="57"/>
      <c r="R47" s="53"/>
      <c r="S47" s="53"/>
      <c r="T47" s="53"/>
      <c r="U47" s="53"/>
      <c r="V47" s="53"/>
    </row>
    <row r="48" spans="1:22" s="9" customFormat="1" ht="15" customHeight="1" x14ac:dyDescent="0.2">
      <c r="A48" s="48"/>
      <c r="B48" s="51" t="s">
        <v>1</v>
      </c>
      <c r="C48" s="51"/>
      <c r="D48" s="24">
        <f>E48+F48+G48+H48+I48</f>
        <v>4356</v>
      </c>
      <c r="E48" s="25">
        <v>4356</v>
      </c>
      <c r="F48" s="25"/>
      <c r="G48" s="25"/>
      <c r="H48" s="25"/>
      <c r="I48" s="25"/>
      <c r="J48" s="53"/>
      <c r="K48" s="53"/>
      <c r="L48" s="53"/>
      <c r="M48" s="53"/>
      <c r="N48" s="53"/>
      <c r="O48" s="53"/>
      <c r="P48" s="53"/>
      <c r="Q48" s="57"/>
      <c r="R48" s="53"/>
      <c r="S48" s="53"/>
      <c r="T48" s="53"/>
      <c r="U48" s="53"/>
      <c r="V48" s="53"/>
    </row>
    <row r="49" spans="1:22" s="9" customFormat="1" ht="15" customHeight="1" x14ac:dyDescent="0.2">
      <c r="A49" s="48"/>
      <c r="B49" s="51" t="s">
        <v>2</v>
      </c>
      <c r="C49" s="51"/>
      <c r="D49" s="24">
        <f>E49+F49+G49+H49+I49</f>
        <v>0</v>
      </c>
      <c r="E49" s="25"/>
      <c r="F49" s="25"/>
      <c r="G49" s="25"/>
      <c r="H49" s="25"/>
      <c r="I49" s="25"/>
      <c r="J49" s="53"/>
      <c r="K49" s="53"/>
      <c r="L49" s="53"/>
      <c r="M49" s="53"/>
      <c r="N49" s="53"/>
      <c r="O49" s="53"/>
      <c r="P49" s="53"/>
      <c r="Q49" s="57"/>
      <c r="R49" s="53"/>
      <c r="S49" s="53"/>
      <c r="T49" s="53"/>
      <c r="U49" s="53"/>
      <c r="V49" s="53"/>
    </row>
    <row r="50" spans="1:22" s="9" customFormat="1" ht="15" customHeight="1" x14ac:dyDescent="0.2">
      <c r="A50" s="48"/>
      <c r="B50" s="51" t="s">
        <v>3</v>
      </c>
      <c r="C50" s="51"/>
      <c r="D50" s="24">
        <f>E50+F50+G50+H50+I50</f>
        <v>0</v>
      </c>
      <c r="E50" s="25"/>
      <c r="F50" s="25"/>
      <c r="G50" s="25"/>
      <c r="H50" s="25"/>
      <c r="I50" s="25"/>
      <c r="J50" s="53"/>
      <c r="K50" s="53"/>
      <c r="L50" s="53"/>
      <c r="M50" s="53"/>
      <c r="N50" s="53"/>
      <c r="O50" s="53"/>
      <c r="P50" s="53"/>
      <c r="Q50" s="57"/>
      <c r="R50" s="53"/>
      <c r="S50" s="53"/>
      <c r="T50" s="53"/>
      <c r="U50" s="53"/>
      <c r="V50" s="53"/>
    </row>
    <row r="51" spans="1:22" ht="12.75" customHeight="1" x14ac:dyDescent="0.2">
      <c r="A51" s="48" t="s">
        <v>35</v>
      </c>
      <c r="B51" s="49" t="s">
        <v>24</v>
      </c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</row>
    <row r="52" spans="1:22" s="9" customFormat="1" ht="12.75" customHeight="1" x14ac:dyDescent="0.2">
      <c r="A52" s="48"/>
      <c r="B52" s="52" t="s">
        <v>447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</row>
    <row r="53" spans="1:22" s="9" customFormat="1" ht="32.25" customHeight="1" x14ac:dyDescent="0.2">
      <c r="A53" s="48"/>
      <c r="B53" s="50" t="s">
        <v>626</v>
      </c>
      <c r="C53" s="50"/>
      <c r="D53" s="50"/>
      <c r="E53" s="50"/>
      <c r="F53" s="50"/>
      <c r="G53" s="50"/>
      <c r="H53" s="50"/>
      <c r="I53" s="50"/>
      <c r="J53" s="53" t="s">
        <v>174</v>
      </c>
      <c r="K53" s="53"/>
      <c r="L53" s="53" t="s">
        <v>549</v>
      </c>
      <c r="M53" s="53" t="s">
        <v>140</v>
      </c>
      <c r="N53" s="53" t="s">
        <v>24</v>
      </c>
      <c r="O53" s="53" t="s">
        <v>24</v>
      </c>
      <c r="P53" s="53" t="s">
        <v>24</v>
      </c>
      <c r="Q53" s="57" t="s">
        <v>232</v>
      </c>
      <c r="R53" s="53" t="s">
        <v>11</v>
      </c>
      <c r="S53" s="53" t="s">
        <v>129</v>
      </c>
      <c r="T53" s="53" t="s">
        <v>7</v>
      </c>
      <c r="U53" s="53"/>
      <c r="V53" s="53" t="s">
        <v>631</v>
      </c>
    </row>
    <row r="54" spans="1:22" s="9" customFormat="1" ht="15" customHeight="1" x14ac:dyDescent="0.2">
      <c r="A54" s="48"/>
      <c r="B54" s="51" t="s">
        <v>5</v>
      </c>
      <c r="C54" s="51"/>
      <c r="D54" s="24">
        <f t="shared" ref="D54:E54" si="7">SUM(D55:D58)</f>
        <v>71521.095000000001</v>
      </c>
      <c r="E54" s="25">
        <f t="shared" si="7"/>
        <v>71521.095000000001</v>
      </c>
      <c r="F54" s="25"/>
      <c r="G54" s="25"/>
      <c r="H54" s="25"/>
      <c r="I54" s="25"/>
      <c r="J54" s="53"/>
      <c r="K54" s="53"/>
      <c r="L54" s="53"/>
      <c r="M54" s="53"/>
      <c r="N54" s="53"/>
      <c r="O54" s="53"/>
      <c r="P54" s="53"/>
      <c r="Q54" s="57"/>
      <c r="R54" s="53"/>
      <c r="S54" s="53"/>
      <c r="T54" s="53"/>
      <c r="U54" s="53"/>
      <c r="V54" s="53"/>
    </row>
    <row r="55" spans="1:22" s="9" customFormat="1" ht="15" customHeight="1" x14ac:dyDescent="0.2">
      <c r="A55" s="48"/>
      <c r="B55" s="51" t="s">
        <v>0</v>
      </c>
      <c r="C55" s="51"/>
      <c r="D55" s="24">
        <f>E55+F55+G55+H55+I55</f>
        <v>0</v>
      </c>
      <c r="E55" s="25"/>
      <c r="F55" s="25"/>
      <c r="G55" s="25"/>
      <c r="H55" s="25"/>
      <c r="I55" s="25"/>
      <c r="J55" s="53"/>
      <c r="K55" s="53"/>
      <c r="L55" s="53"/>
      <c r="M55" s="53"/>
      <c r="N55" s="53"/>
      <c r="O55" s="53"/>
      <c r="P55" s="53"/>
      <c r="Q55" s="57"/>
      <c r="R55" s="53"/>
      <c r="S55" s="53"/>
      <c r="T55" s="53"/>
      <c r="U55" s="53"/>
      <c r="V55" s="53"/>
    </row>
    <row r="56" spans="1:22" s="9" customFormat="1" ht="15" customHeight="1" x14ac:dyDescent="0.2">
      <c r="A56" s="48"/>
      <c r="B56" s="51" t="s">
        <v>1</v>
      </c>
      <c r="C56" s="51"/>
      <c r="D56" s="24">
        <f>E56+F56+G56+H56+I56</f>
        <v>71521.095000000001</v>
      </c>
      <c r="E56" s="25">
        <f>71521.09527-0.00027</f>
        <v>71521.095000000001</v>
      </c>
      <c r="F56" s="25"/>
      <c r="G56" s="25"/>
      <c r="H56" s="25"/>
      <c r="I56" s="25"/>
      <c r="J56" s="53"/>
      <c r="K56" s="53"/>
      <c r="L56" s="53"/>
      <c r="M56" s="53"/>
      <c r="N56" s="53"/>
      <c r="O56" s="53"/>
      <c r="P56" s="53"/>
      <c r="Q56" s="57"/>
      <c r="R56" s="53"/>
      <c r="S56" s="53"/>
      <c r="T56" s="53"/>
      <c r="U56" s="53"/>
      <c r="V56" s="53"/>
    </row>
    <row r="57" spans="1:22" s="9" customFormat="1" ht="15" customHeight="1" x14ac:dyDescent="0.2">
      <c r="A57" s="48"/>
      <c r="B57" s="51" t="s">
        <v>2</v>
      </c>
      <c r="C57" s="51"/>
      <c r="D57" s="24">
        <f>E57+F57+G57+H57+I57</f>
        <v>0</v>
      </c>
      <c r="E57" s="25"/>
      <c r="F57" s="25"/>
      <c r="G57" s="25"/>
      <c r="H57" s="25"/>
      <c r="I57" s="25"/>
      <c r="J57" s="53"/>
      <c r="K57" s="53"/>
      <c r="L57" s="53"/>
      <c r="M57" s="53"/>
      <c r="N57" s="53"/>
      <c r="O57" s="53"/>
      <c r="P57" s="53"/>
      <c r="Q57" s="57"/>
      <c r="R57" s="53"/>
      <c r="S57" s="53"/>
      <c r="T57" s="53"/>
      <c r="U57" s="53"/>
      <c r="V57" s="53"/>
    </row>
    <row r="58" spans="1:22" s="9" customFormat="1" ht="23.25" customHeight="1" x14ac:dyDescent="0.2">
      <c r="A58" s="48"/>
      <c r="B58" s="51" t="s">
        <v>3</v>
      </c>
      <c r="C58" s="51"/>
      <c r="D58" s="24">
        <f>E58+F58+G58+H58+I58</f>
        <v>0</v>
      </c>
      <c r="E58" s="25"/>
      <c r="F58" s="25"/>
      <c r="G58" s="25"/>
      <c r="H58" s="25"/>
      <c r="I58" s="25"/>
      <c r="J58" s="53"/>
      <c r="K58" s="53"/>
      <c r="L58" s="53"/>
      <c r="M58" s="53"/>
      <c r="N58" s="53"/>
      <c r="O58" s="53"/>
      <c r="P58" s="53"/>
      <c r="Q58" s="57"/>
      <c r="R58" s="53"/>
      <c r="S58" s="53"/>
      <c r="T58" s="53"/>
      <c r="U58" s="53"/>
      <c r="V58" s="53"/>
    </row>
    <row r="59" spans="1:22" ht="12.75" customHeight="1" x14ac:dyDescent="0.2">
      <c r="A59" s="48" t="s">
        <v>383</v>
      </c>
      <c r="B59" s="49" t="s">
        <v>16</v>
      </c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</row>
    <row r="60" spans="1:22" s="9" customFormat="1" x14ac:dyDescent="0.2">
      <c r="A60" s="48"/>
      <c r="B60" s="52" t="s">
        <v>447</v>
      </c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</row>
    <row r="61" spans="1:22" s="9" customFormat="1" ht="43.5" customHeight="1" x14ac:dyDescent="0.2">
      <c r="A61" s="48"/>
      <c r="B61" s="50" t="s">
        <v>194</v>
      </c>
      <c r="C61" s="50"/>
      <c r="D61" s="50"/>
      <c r="E61" s="50"/>
      <c r="F61" s="50"/>
      <c r="G61" s="50"/>
      <c r="H61" s="50"/>
      <c r="I61" s="50"/>
      <c r="J61" s="53" t="s">
        <v>195</v>
      </c>
      <c r="K61" s="53"/>
      <c r="L61" s="53" t="s">
        <v>70</v>
      </c>
      <c r="M61" s="53"/>
      <c r="N61" s="53" t="s">
        <v>103</v>
      </c>
      <c r="O61" s="53" t="s">
        <v>24</v>
      </c>
      <c r="P61" s="53" t="s">
        <v>103</v>
      </c>
      <c r="Q61" s="57" t="s">
        <v>196</v>
      </c>
      <c r="R61" s="53" t="s">
        <v>11</v>
      </c>
      <c r="S61" s="53" t="s">
        <v>10</v>
      </c>
      <c r="T61" s="53" t="s">
        <v>18</v>
      </c>
      <c r="U61" s="53"/>
      <c r="V61" s="53" t="s">
        <v>632</v>
      </c>
    </row>
    <row r="62" spans="1:22" s="9" customFormat="1" x14ac:dyDescent="0.2">
      <c r="A62" s="48"/>
      <c r="B62" s="51" t="s">
        <v>5</v>
      </c>
      <c r="C62" s="51" t="s">
        <v>5</v>
      </c>
      <c r="D62" s="24">
        <f>SUM(D63:D66)</f>
        <v>15.000000000002331</v>
      </c>
      <c r="E62" s="25">
        <f>SUM(E63:E66)</f>
        <v>15.000000000002331</v>
      </c>
      <c r="F62" s="25"/>
      <c r="G62" s="25"/>
      <c r="H62" s="25"/>
      <c r="I62" s="25"/>
      <c r="J62" s="53"/>
      <c r="K62" s="53"/>
      <c r="L62" s="53"/>
      <c r="M62" s="53"/>
      <c r="N62" s="53"/>
      <c r="O62" s="53"/>
      <c r="P62" s="53"/>
      <c r="Q62" s="57"/>
      <c r="R62" s="53"/>
      <c r="S62" s="53"/>
      <c r="T62" s="53"/>
      <c r="U62" s="53"/>
      <c r="V62" s="53"/>
    </row>
    <row r="63" spans="1:22" s="9" customFormat="1" x14ac:dyDescent="0.2">
      <c r="A63" s="48"/>
      <c r="B63" s="51" t="s">
        <v>0</v>
      </c>
      <c r="C63" s="51" t="s">
        <v>0</v>
      </c>
      <c r="D63" s="24">
        <f>E63+F63+G63+H63+I63</f>
        <v>0</v>
      </c>
      <c r="E63" s="25"/>
      <c r="F63" s="25"/>
      <c r="G63" s="25"/>
      <c r="H63" s="25"/>
      <c r="I63" s="25"/>
      <c r="J63" s="53"/>
      <c r="K63" s="53"/>
      <c r="L63" s="53"/>
      <c r="M63" s="53"/>
      <c r="N63" s="53"/>
      <c r="O63" s="53"/>
      <c r="P63" s="53"/>
      <c r="Q63" s="57"/>
      <c r="R63" s="53"/>
      <c r="S63" s="53"/>
      <c r="T63" s="53"/>
      <c r="U63" s="53"/>
      <c r="V63" s="53"/>
    </row>
    <row r="64" spans="1:22" s="9" customFormat="1" x14ac:dyDescent="0.2">
      <c r="A64" s="48"/>
      <c r="B64" s="51" t="s">
        <v>1</v>
      </c>
      <c r="C64" s="51" t="s">
        <v>1</v>
      </c>
      <c r="D64" s="24">
        <f>E64+F64+G64+H64+I64</f>
        <v>15.000000000002331</v>
      </c>
      <c r="E64" s="25">
        <f>82585.44-82000-510.44-60</f>
        <v>15.000000000002331</v>
      </c>
      <c r="F64" s="25"/>
      <c r="G64" s="25"/>
      <c r="H64" s="25"/>
      <c r="I64" s="25"/>
      <c r="J64" s="53"/>
      <c r="K64" s="53"/>
      <c r="L64" s="53"/>
      <c r="M64" s="53"/>
      <c r="N64" s="53"/>
      <c r="O64" s="53"/>
      <c r="P64" s="53"/>
      <c r="Q64" s="57"/>
      <c r="R64" s="53"/>
      <c r="S64" s="53"/>
      <c r="T64" s="53"/>
      <c r="U64" s="53"/>
      <c r="V64" s="53"/>
    </row>
    <row r="65" spans="1:22" s="9" customFormat="1" x14ac:dyDescent="0.2">
      <c r="A65" s="48"/>
      <c r="B65" s="51" t="s">
        <v>2</v>
      </c>
      <c r="C65" s="51" t="s">
        <v>2</v>
      </c>
      <c r="D65" s="24">
        <f>E65+F65+G65+H65+I65</f>
        <v>0</v>
      </c>
      <c r="E65" s="25"/>
      <c r="F65" s="25"/>
      <c r="G65" s="25"/>
      <c r="H65" s="25"/>
      <c r="I65" s="25"/>
      <c r="J65" s="53"/>
      <c r="K65" s="53"/>
      <c r="L65" s="53"/>
      <c r="M65" s="53"/>
      <c r="N65" s="53"/>
      <c r="O65" s="53"/>
      <c r="P65" s="53"/>
      <c r="Q65" s="57"/>
      <c r="R65" s="53"/>
      <c r="S65" s="53"/>
      <c r="T65" s="53"/>
      <c r="U65" s="53"/>
      <c r="V65" s="53"/>
    </row>
    <row r="66" spans="1:22" s="9" customFormat="1" ht="22.5" customHeight="1" x14ac:dyDescent="0.2">
      <c r="A66" s="48"/>
      <c r="B66" s="51" t="s">
        <v>3</v>
      </c>
      <c r="C66" s="51" t="s">
        <v>3</v>
      </c>
      <c r="D66" s="24">
        <f>E66+F66+G66+H66+I66</f>
        <v>0</v>
      </c>
      <c r="E66" s="25"/>
      <c r="F66" s="25"/>
      <c r="G66" s="25"/>
      <c r="H66" s="25"/>
      <c r="I66" s="25"/>
      <c r="J66" s="53"/>
      <c r="K66" s="53"/>
      <c r="L66" s="53"/>
      <c r="M66" s="53"/>
      <c r="N66" s="53"/>
      <c r="O66" s="53"/>
      <c r="P66" s="53"/>
      <c r="Q66" s="57"/>
      <c r="R66" s="53"/>
      <c r="S66" s="53"/>
      <c r="T66" s="53"/>
      <c r="U66" s="53"/>
      <c r="V66" s="53"/>
    </row>
    <row r="67" spans="1:22" ht="12.75" customHeight="1" x14ac:dyDescent="0.2">
      <c r="A67" s="48" t="s">
        <v>385</v>
      </c>
      <c r="B67" s="49" t="s">
        <v>24</v>
      </c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</row>
    <row r="68" spans="1:22" s="9" customFormat="1" ht="12.75" customHeight="1" x14ac:dyDescent="0.2">
      <c r="A68" s="48"/>
      <c r="B68" s="52" t="s">
        <v>447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</row>
    <row r="69" spans="1:22" s="9" customFormat="1" ht="51" customHeight="1" x14ac:dyDescent="0.2">
      <c r="A69" s="48"/>
      <c r="B69" s="50" t="s">
        <v>526</v>
      </c>
      <c r="C69" s="50" t="s">
        <v>526</v>
      </c>
      <c r="D69" s="50"/>
      <c r="E69" s="50"/>
      <c r="F69" s="50"/>
      <c r="G69" s="50"/>
      <c r="H69" s="50"/>
      <c r="I69" s="50"/>
      <c r="J69" s="53"/>
      <c r="K69" s="53" t="s">
        <v>60</v>
      </c>
      <c r="L69" s="53" t="s">
        <v>549</v>
      </c>
      <c r="M69" s="53"/>
      <c r="N69" s="53" t="s">
        <v>627</v>
      </c>
      <c r="O69" s="53" t="s">
        <v>24</v>
      </c>
      <c r="P69" s="53" t="s">
        <v>627</v>
      </c>
      <c r="Q69" s="57"/>
      <c r="R69" s="53" t="s">
        <v>11</v>
      </c>
      <c r="S69" s="53" t="s">
        <v>527</v>
      </c>
      <c r="T69" s="53"/>
      <c r="U69" s="53"/>
      <c r="V69" s="53"/>
    </row>
    <row r="70" spans="1:22" s="9" customFormat="1" ht="12.75" customHeight="1" x14ac:dyDescent="0.2">
      <c r="A70" s="48"/>
      <c r="B70" s="51" t="s">
        <v>5</v>
      </c>
      <c r="C70" s="51" t="s">
        <v>5</v>
      </c>
      <c r="D70" s="24">
        <f>SUM(D71:D74)</f>
        <v>2000</v>
      </c>
      <c r="E70" s="25">
        <f>SUM(E71:E74)</f>
        <v>2000</v>
      </c>
      <c r="F70" s="25"/>
      <c r="G70" s="25"/>
      <c r="H70" s="25"/>
      <c r="I70" s="25"/>
      <c r="J70" s="53"/>
      <c r="K70" s="53"/>
      <c r="L70" s="53"/>
      <c r="M70" s="53"/>
      <c r="N70" s="53"/>
      <c r="O70" s="53"/>
      <c r="P70" s="53"/>
      <c r="Q70" s="57"/>
      <c r="R70" s="53"/>
      <c r="S70" s="53"/>
      <c r="T70" s="53"/>
      <c r="U70" s="53"/>
      <c r="V70" s="53"/>
    </row>
    <row r="71" spans="1:22" s="9" customFormat="1" ht="12.75" customHeight="1" x14ac:dyDescent="0.2">
      <c r="A71" s="48"/>
      <c r="B71" s="51" t="s">
        <v>0</v>
      </c>
      <c r="C71" s="51" t="s">
        <v>0</v>
      </c>
      <c r="D71" s="24">
        <f>E71+F71+G71+H71+I71</f>
        <v>0</v>
      </c>
      <c r="E71" s="25"/>
      <c r="F71" s="25"/>
      <c r="G71" s="25"/>
      <c r="H71" s="25"/>
      <c r="I71" s="25"/>
      <c r="J71" s="53"/>
      <c r="K71" s="53"/>
      <c r="L71" s="53"/>
      <c r="M71" s="53"/>
      <c r="N71" s="53"/>
      <c r="O71" s="53"/>
      <c r="P71" s="53"/>
      <c r="Q71" s="57"/>
      <c r="R71" s="53"/>
      <c r="S71" s="53"/>
      <c r="T71" s="53"/>
      <c r="U71" s="53"/>
      <c r="V71" s="53"/>
    </row>
    <row r="72" spans="1:22" s="9" customFormat="1" ht="12.75" customHeight="1" x14ac:dyDescent="0.2">
      <c r="A72" s="48"/>
      <c r="B72" s="51" t="s">
        <v>1</v>
      </c>
      <c r="C72" s="51" t="s">
        <v>1</v>
      </c>
      <c r="D72" s="24">
        <f>E72+F72+G72+H72+I72</f>
        <v>2000</v>
      </c>
      <c r="E72" s="25">
        <f>0+2000</f>
        <v>2000</v>
      </c>
      <c r="F72" s="25"/>
      <c r="G72" s="25"/>
      <c r="H72" s="25"/>
      <c r="I72" s="25"/>
      <c r="J72" s="53"/>
      <c r="K72" s="53"/>
      <c r="L72" s="53"/>
      <c r="M72" s="53"/>
      <c r="N72" s="53"/>
      <c r="O72" s="53"/>
      <c r="P72" s="53"/>
      <c r="Q72" s="57"/>
      <c r="R72" s="53"/>
      <c r="S72" s="53"/>
      <c r="T72" s="53"/>
      <c r="U72" s="53"/>
      <c r="V72" s="53"/>
    </row>
    <row r="73" spans="1:22" s="9" customFormat="1" ht="12.75" customHeight="1" x14ac:dyDescent="0.2">
      <c r="A73" s="48"/>
      <c r="B73" s="51" t="s">
        <v>2</v>
      </c>
      <c r="C73" s="51" t="s">
        <v>2</v>
      </c>
      <c r="D73" s="24">
        <f>E73+F73+G73+H73+I73</f>
        <v>0</v>
      </c>
      <c r="E73" s="25"/>
      <c r="F73" s="25"/>
      <c r="G73" s="25"/>
      <c r="H73" s="25"/>
      <c r="I73" s="25"/>
      <c r="J73" s="53"/>
      <c r="K73" s="53"/>
      <c r="L73" s="53"/>
      <c r="M73" s="53"/>
      <c r="N73" s="53"/>
      <c r="O73" s="53"/>
      <c r="P73" s="53"/>
      <c r="Q73" s="57"/>
      <c r="R73" s="53"/>
      <c r="S73" s="53"/>
      <c r="T73" s="53"/>
      <c r="U73" s="53"/>
      <c r="V73" s="53"/>
    </row>
    <row r="74" spans="1:22" s="9" customFormat="1" ht="12.75" customHeight="1" x14ac:dyDescent="0.2">
      <c r="A74" s="48"/>
      <c r="B74" s="51" t="s">
        <v>3</v>
      </c>
      <c r="C74" s="51" t="s">
        <v>3</v>
      </c>
      <c r="D74" s="24">
        <f>E74+F74+G74+H74+I74</f>
        <v>0</v>
      </c>
      <c r="E74" s="25"/>
      <c r="F74" s="25"/>
      <c r="G74" s="25"/>
      <c r="H74" s="25"/>
      <c r="I74" s="25"/>
      <c r="J74" s="53"/>
      <c r="K74" s="53"/>
      <c r="L74" s="53"/>
      <c r="M74" s="53"/>
      <c r="N74" s="53"/>
      <c r="O74" s="53"/>
      <c r="P74" s="53"/>
      <c r="Q74" s="57"/>
      <c r="R74" s="53"/>
      <c r="S74" s="53"/>
      <c r="T74" s="53"/>
      <c r="U74" s="53"/>
      <c r="V74" s="53"/>
    </row>
    <row r="75" spans="1:22" s="9" customFormat="1" ht="12.75" customHeight="1" x14ac:dyDescent="0.2">
      <c r="A75" s="54" t="s">
        <v>36</v>
      </c>
      <c r="B75" s="55" t="s">
        <v>114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</row>
    <row r="76" spans="1:22" s="9" customFormat="1" ht="12.75" customHeight="1" x14ac:dyDescent="0.2">
      <c r="A76" s="54"/>
      <c r="B76" s="56" t="s">
        <v>5</v>
      </c>
      <c r="C76" s="56"/>
      <c r="D76" s="23">
        <f t="shared" ref="D76" si="8">SUM(D77:D80)</f>
        <v>2141728.7525199996</v>
      </c>
      <c r="E76" s="23">
        <f>E84+E92+E100+E108+E116+E124+E132+E140+E148+E156+E164+E172+E180+E188</f>
        <v>1067372.79727</v>
      </c>
      <c r="F76" s="23">
        <f t="shared" ref="F76:I77" si="9">F84+F92+F100+F108+F116+F124+F132+F140+F148+F156+F164+F172+F180+F188</f>
        <v>974668.93524999998</v>
      </c>
      <c r="G76" s="23">
        <f t="shared" si="9"/>
        <v>99687.019999999975</v>
      </c>
      <c r="H76" s="23">
        <f t="shared" si="9"/>
        <v>0</v>
      </c>
      <c r="I76" s="23">
        <f t="shared" si="9"/>
        <v>0</v>
      </c>
      <c r="J76" s="12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4"/>
    </row>
    <row r="77" spans="1:22" s="9" customFormat="1" x14ac:dyDescent="0.2">
      <c r="A77" s="54"/>
      <c r="B77" s="56" t="s">
        <v>0</v>
      </c>
      <c r="C77" s="56"/>
      <c r="D77" s="23">
        <f>E77+F77+G77+H77+I77</f>
        <v>449041.70834999997</v>
      </c>
      <c r="E77" s="23">
        <f>E85+E93+E101+E109+E117+E125+E133+E141+E149+E157+E165+E173+E181+E189</f>
        <v>220508.10834999999</v>
      </c>
      <c r="F77" s="23">
        <f t="shared" si="9"/>
        <v>228533.6</v>
      </c>
      <c r="G77" s="23">
        <f t="shared" si="9"/>
        <v>0</v>
      </c>
      <c r="H77" s="23">
        <f t="shared" si="9"/>
        <v>0</v>
      </c>
      <c r="I77" s="23">
        <f t="shared" si="9"/>
        <v>0</v>
      </c>
      <c r="J77" s="15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7"/>
    </row>
    <row r="78" spans="1:22" s="9" customFormat="1" ht="12.75" customHeight="1" x14ac:dyDescent="0.2">
      <c r="A78" s="54"/>
      <c r="B78" s="56" t="s">
        <v>1</v>
      </c>
      <c r="C78" s="56"/>
      <c r="D78" s="23">
        <f>E78+F78+G78+H78+I78</f>
        <v>1687837.8221999998</v>
      </c>
      <c r="E78" s="23">
        <f t="shared" ref="E78:I78" si="10">E86+E94+E102+E110+E118+E126+E134+E142+E150+E158+E166+E174+E182+E190</f>
        <v>844189.40198999993</v>
      </c>
      <c r="F78" s="23">
        <f t="shared" si="10"/>
        <v>743961.40020999988</v>
      </c>
      <c r="G78" s="23">
        <f t="shared" si="10"/>
        <v>99687.019999999975</v>
      </c>
      <c r="H78" s="23">
        <f t="shared" si="10"/>
        <v>0</v>
      </c>
      <c r="I78" s="23">
        <f t="shared" si="10"/>
        <v>0</v>
      </c>
      <c r="J78" s="15"/>
      <c r="K78" s="18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7"/>
    </row>
    <row r="79" spans="1:22" s="9" customFormat="1" ht="12.75" customHeight="1" x14ac:dyDescent="0.2">
      <c r="A79" s="54"/>
      <c r="B79" s="56" t="s">
        <v>2</v>
      </c>
      <c r="C79" s="56"/>
      <c r="D79" s="23">
        <f>E79+F79+G79+H79+I79</f>
        <v>4849.2219700000005</v>
      </c>
      <c r="E79" s="23">
        <f t="shared" ref="E79:I79" si="11">E87+E95+E103+E111+E119+E127+E135+E143+E151+E159+E167+E175+E183+E191</f>
        <v>2675.2869300000002</v>
      </c>
      <c r="F79" s="23">
        <f t="shared" si="11"/>
        <v>2173.9350399999998</v>
      </c>
      <c r="G79" s="23">
        <f t="shared" si="11"/>
        <v>0</v>
      </c>
      <c r="H79" s="23">
        <f t="shared" si="11"/>
        <v>0</v>
      </c>
      <c r="I79" s="23">
        <f t="shared" si="11"/>
        <v>0</v>
      </c>
      <c r="J79" s="15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7"/>
    </row>
    <row r="80" spans="1:22" s="9" customFormat="1" ht="18" customHeight="1" x14ac:dyDescent="0.2">
      <c r="A80" s="54"/>
      <c r="B80" s="56" t="s">
        <v>3</v>
      </c>
      <c r="C80" s="56"/>
      <c r="D80" s="23">
        <f>E80+F80+G80+H80+I80</f>
        <v>0</v>
      </c>
      <c r="E80" s="23">
        <f t="shared" ref="E80:I80" si="12">E88+E96+E104+E112+E120+E128+E136+E144+E152+E160+E168+E176+E184+E192</f>
        <v>0</v>
      </c>
      <c r="F80" s="23">
        <f t="shared" si="12"/>
        <v>0</v>
      </c>
      <c r="G80" s="23">
        <f t="shared" si="12"/>
        <v>0</v>
      </c>
      <c r="H80" s="23">
        <f t="shared" si="12"/>
        <v>0</v>
      </c>
      <c r="I80" s="23">
        <f t="shared" si="12"/>
        <v>0</v>
      </c>
      <c r="J80" s="19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1"/>
    </row>
    <row r="81" spans="1:22" ht="12.75" customHeight="1" x14ac:dyDescent="0.2">
      <c r="A81" s="48" t="s">
        <v>38</v>
      </c>
      <c r="B81" s="49" t="s">
        <v>16</v>
      </c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</row>
    <row r="82" spans="1:22" s="9" customFormat="1" ht="12.75" customHeight="1" x14ac:dyDescent="0.2">
      <c r="A82" s="48"/>
      <c r="B82" s="52" t="s">
        <v>448</v>
      </c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</row>
    <row r="83" spans="1:22" s="9" customFormat="1" ht="72.75" customHeight="1" x14ac:dyDescent="0.2">
      <c r="A83" s="48"/>
      <c r="B83" s="50" t="s">
        <v>90</v>
      </c>
      <c r="C83" s="50"/>
      <c r="D83" s="50"/>
      <c r="E83" s="50"/>
      <c r="F83" s="50"/>
      <c r="G83" s="50"/>
      <c r="H83" s="50"/>
      <c r="I83" s="50"/>
      <c r="J83" s="53" t="s">
        <v>60</v>
      </c>
      <c r="K83" s="53"/>
      <c r="L83" s="53" t="s">
        <v>70</v>
      </c>
      <c r="M83" s="53" t="s">
        <v>27</v>
      </c>
      <c r="N83" s="53" t="s">
        <v>103</v>
      </c>
      <c r="O83" s="53" t="s">
        <v>237</v>
      </c>
      <c r="P83" s="53" t="s">
        <v>103</v>
      </c>
      <c r="Q83" s="57" t="s">
        <v>359</v>
      </c>
      <c r="R83" s="53" t="s">
        <v>11</v>
      </c>
      <c r="S83" s="53" t="s">
        <v>14</v>
      </c>
      <c r="T83" s="53" t="s">
        <v>7</v>
      </c>
      <c r="U83" s="53"/>
      <c r="V83" s="53" t="s">
        <v>633</v>
      </c>
    </row>
    <row r="84" spans="1:22" s="9" customFormat="1" x14ac:dyDescent="0.2">
      <c r="A84" s="48"/>
      <c r="B84" s="51" t="s">
        <v>5</v>
      </c>
      <c r="C84" s="51" t="s">
        <v>5</v>
      </c>
      <c r="D84" s="24">
        <f>SUM(D85:D88)</f>
        <v>4544.800000000012</v>
      </c>
      <c r="E84" s="25">
        <f>SUM(E85:E88)</f>
        <v>4544.800000000012</v>
      </c>
      <c r="F84" s="25">
        <f>SUM(F85:F88)</f>
        <v>0</v>
      </c>
      <c r="G84" s="25"/>
      <c r="H84" s="25"/>
      <c r="I84" s="25"/>
      <c r="J84" s="53"/>
      <c r="K84" s="53"/>
      <c r="L84" s="53"/>
      <c r="M84" s="53"/>
      <c r="N84" s="53"/>
      <c r="O84" s="53"/>
      <c r="P84" s="53"/>
      <c r="Q84" s="57"/>
      <c r="R84" s="53"/>
      <c r="S84" s="53"/>
      <c r="T84" s="53"/>
      <c r="U84" s="53"/>
      <c r="V84" s="53"/>
    </row>
    <row r="85" spans="1:22" s="9" customFormat="1" x14ac:dyDescent="0.2">
      <c r="A85" s="48"/>
      <c r="B85" s="51" t="s">
        <v>0</v>
      </c>
      <c r="C85" s="51" t="s">
        <v>0</v>
      </c>
      <c r="D85" s="24">
        <f>E85+F85+G85+H85+I85</f>
        <v>0</v>
      </c>
      <c r="E85" s="25">
        <f>148112.93-148112.93</f>
        <v>0</v>
      </c>
      <c r="F85" s="25">
        <f>31767.38-31767.38</f>
        <v>0</v>
      </c>
      <c r="G85" s="25"/>
      <c r="H85" s="25"/>
      <c r="I85" s="25"/>
      <c r="J85" s="53"/>
      <c r="K85" s="53"/>
      <c r="L85" s="53"/>
      <c r="M85" s="53"/>
      <c r="N85" s="53"/>
      <c r="O85" s="53"/>
      <c r="P85" s="53"/>
      <c r="Q85" s="57"/>
      <c r="R85" s="53"/>
      <c r="S85" s="53"/>
      <c r="T85" s="53"/>
      <c r="U85" s="53"/>
      <c r="V85" s="53"/>
    </row>
    <row r="86" spans="1:22" s="9" customFormat="1" x14ac:dyDescent="0.2">
      <c r="A86" s="48"/>
      <c r="B86" s="51" t="s">
        <v>1</v>
      </c>
      <c r="C86" s="51" t="s">
        <v>1</v>
      </c>
      <c r="D86" s="24">
        <f>E86+F86+G86+H86+I86</f>
        <v>4544.800000000012</v>
      </c>
      <c r="E86" s="25">
        <f>264594.7-264000+6150.1-2200</f>
        <v>4544.800000000012</v>
      </c>
      <c r="F86" s="25"/>
      <c r="G86" s="25"/>
      <c r="H86" s="25"/>
      <c r="I86" s="25"/>
      <c r="J86" s="53"/>
      <c r="K86" s="53"/>
      <c r="L86" s="53"/>
      <c r="M86" s="53"/>
      <c r="N86" s="53"/>
      <c r="O86" s="53"/>
      <c r="P86" s="53"/>
      <c r="Q86" s="57"/>
      <c r="R86" s="53"/>
      <c r="S86" s="53"/>
      <c r="T86" s="53"/>
      <c r="U86" s="53"/>
      <c r="V86" s="53"/>
    </row>
    <row r="87" spans="1:22" s="9" customFormat="1" x14ac:dyDescent="0.2">
      <c r="A87" s="48"/>
      <c r="B87" s="51" t="s">
        <v>2</v>
      </c>
      <c r="C87" s="51" t="s">
        <v>2</v>
      </c>
      <c r="D87" s="24">
        <f>E87+F87+G87+H87+I87</f>
        <v>0</v>
      </c>
      <c r="E87" s="25"/>
      <c r="F87" s="25"/>
      <c r="G87" s="25"/>
      <c r="H87" s="25"/>
      <c r="I87" s="25"/>
      <c r="J87" s="53"/>
      <c r="K87" s="53"/>
      <c r="L87" s="53"/>
      <c r="M87" s="53"/>
      <c r="N87" s="53"/>
      <c r="O87" s="53"/>
      <c r="P87" s="53"/>
      <c r="Q87" s="57"/>
      <c r="R87" s="53"/>
      <c r="S87" s="53"/>
      <c r="T87" s="53"/>
      <c r="U87" s="53"/>
      <c r="V87" s="53"/>
    </row>
    <row r="88" spans="1:22" s="9" customFormat="1" x14ac:dyDescent="0.2">
      <c r="A88" s="48"/>
      <c r="B88" s="51" t="s">
        <v>3</v>
      </c>
      <c r="C88" s="51" t="s">
        <v>3</v>
      </c>
      <c r="D88" s="24">
        <f>E88+F88+G88+H88+I88</f>
        <v>0</v>
      </c>
      <c r="E88" s="25"/>
      <c r="F88" s="25"/>
      <c r="G88" s="25"/>
      <c r="H88" s="25"/>
      <c r="I88" s="25"/>
      <c r="J88" s="53"/>
      <c r="K88" s="53"/>
      <c r="L88" s="53"/>
      <c r="M88" s="53"/>
      <c r="N88" s="53"/>
      <c r="O88" s="53"/>
      <c r="P88" s="53"/>
      <c r="Q88" s="57"/>
      <c r="R88" s="53"/>
      <c r="S88" s="53"/>
      <c r="T88" s="53"/>
      <c r="U88" s="53"/>
      <c r="V88" s="53"/>
    </row>
    <row r="89" spans="1:22" ht="12.75" customHeight="1" x14ac:dyDescent="0.2">
      <c r="A89" s="48" t="s">
        <v>39</v>
      </c>
      <c r="B89" s="49" t="s">
        <v>16</v>
      </c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</row>
    <row r="90" spans="1:22" s="9" customFormat="1" ht="12.75" customHeight="1" x14ac:dyDescent="0.2">
      <c r="A90" s="48"/>
      <c r="B90" s="52" t="s">
        <v>448</v>
      </c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</row>
    <row r="91" spans="1:22" s="9" customFormat="1" ht="84.75" customHeight="1" x14ac:dyDescent="0.2">
      <c r="A91" s="48"/>
      <c r="B91" s="50" t="s">
        <v>108</v>
      </c>
      <c r="C91" s="50" t="s">
        <v>108</v>
      </c>
      <c r="D91" s="50"/>
      <c r="E91" s="50"/>
      <c r="F91" s="50"/>
      <c r="G91" s="50"/>
      <c r="H91" s="50"/>
      <c r="I91" s="50"/>
      <c r="J91" s="53" t="s">
        <v>60</v>
      </c>
      <c r="K91" s="53"/>
      <c r="L91" s="53" t="s">
        <v>70</v>
      </c>
      <c r="M91" s="53" t="s">
        <v>28</v>
      </c>
      <c r="N91" s="53" t="s">
        <v>103</v>
      </c>
      <c r="O91" s="53" t="s">
        <v>237</v>
      </c>
      <c r="P91" s="53" t="s">
        <v>103</v>
      </c>
      <c r="Q91" s="57" t="s">
        <v>360</v>
      </c>
      <c r="R91" s="53" t="s">
        <v>11</v>
      </c>
      <c r="S91" s="53" t="s">
        <v>10</v>
      </c>
      <c r="T91" s="53" t="s">
        <v>7</v>
      </c>
      <c r="U91" s="53"/>
      <c r="V91" s="53" t="s">
        <v>634</v>
      </c>
    </row>
    <row r="92" spans="1:22" s="9" customFormat="1" x14ac:dyDescent="0.2">
      <c r="A92" s="48"/>
      <c r="B92" s="51" t="s">
        <v>5</v>
      </c>
      <c r="C92" s="51" t="s">
        <v>5</v>
      </c>
      <c r="D92" s="24">
        <f>SUM(D93:D96)</f>
        <v>98959.799929999994</v>
      </c>
      <c r="E92" s="25">
        <f>SUM(E93:E96)</f>
        <v>98959.799929999994</v>
      </c>
      <c r="F92" s="25"/>
      <c r="G92" s="25"/>
      <c r="H92" s="25"/>
      <c r="I92" s="25"/>
      <c r="J92" s="53"/>
      <c r="K92" s="53"/>
      <c r="L92" s="53"/>
      <c r="M92" s="53"/>
      <c r="N92" s="53"/>
      <c r="O92" s="53"/>
      <c r="P92" s="53"/>
      <c r="Q92" s="57"/>
      <c r="R92" s="53"/>
      <c r="S92" s="53"/>
      <c r="T92" s="53"/>
      <c r="U92" s="53"/>
      <c r="V92" s="53"/>
    </row>
    <row r="93" spans="1:22" s="9" customFormat="1" x14ac:dyDescent="0.2">
      <c r="A93" s="48"/>
      <c r="B93" s="51" t="s">
        <v>0</v>
      </c>
      <c r="C93" s="51" t="s">
        <v>0</v>
      </c>
      <c r="D93" s="24">
        <f>E93+F93+G93+H93+I93</f>
        <v>78280.908349999998</v>
      </c>
      <c r="E93" s="25">
        <f>85900-7619.09165</f>
        <v>78280.908349999998</v>
      </c>
      <c r="F93" s="25"/>
      <c r="G93" s="25"/>
      <c r="H93" s="25"/>
      <c r="I93" s="25"/>
      <c r="J93" s="53"/>
      <c r="K93" s="53"/>
      <c r="L93" s="53"/>
      <c r="M93" s="53"/>
      <c r="N93" s="53"/>
      <c r="O93" s="53"/>
      <c r="P93" s="53"/>
      <c r="Q93" s="57"/>
      <c r="R93" s="53"/>
      <c r="S93" s="53"/>
      <c r="T93" s="53"/>
      <c r="U93" s="53"/>
      <c r="V93" s="53"/>
    </row>
    <row r="94" spans="1:22" s="9" customFormat="1" x14ac:dyDescent="0.2">
      <c r="A94" s="48"/>
      <c r="B94" s="51" t="s">
        <v>1</v>
      </c>
      <c r="C94" s="51" t="s">
        <v>1</v>
      </c>
      <c r="D94" s="24">
        <f>E94+F94+G94+H94+I94</f>
        <v>20678.89158</v>
      </c>
      <c r="E94" s="25">
        <f>124917-10695.5-62600-16130-14812.608-0.00042</f>
        <v>20678.89158</v>
      </c>
      <c r="F94" s="25"/>
      <c r="G94" s="25"/>
      <c r="H94" s="25"/>
      <c r="I94" s="25"/>
      <c r="J94" s="53"/>
      <c r="K94" s="53"/>
      <c r="L94" s="53"/>
      <c r="M94" s="53"/>
      <c r="N94" s="53"/>
      <c r="O94" s="53"/>
      <c r="P94" s="53"/>
      <c r="Q94" s="57"/>
      <c r="R94" s="53"/>
      <c r="S94" s="53"/>
      <c r="T94" s="53"/>
      <c r="U94" s="53"/>
      <c r="V94" s="53"/>
    </row>
    <row r="95" spans="1:22" s="9" customFormat="1" x14ac:dyDescent="0.2">
      <c r="A95" s="48"/>
      <c r="B95" s="51" t="s">
        <v>2</v>
      </c>
      <c r="C95" s="51" t="s">
        <v>2</v>
      </c>
      <c r="D95" s="24">
        <f>E95+F95+G95+H95+I95</f>
        <v>0</v>
      </c>
      <c r="E95" s="25"/>
      <c r="F95" s="25"/>
      <c r="G95" s="25"/>
      <c r="H95" s="25"/>
      <c r="I95" s="25"/>
      <c r="J95" s="53"/>
      <c r="K95" s="53"/>
      <c r="L95" s="53"/>
      <c r="M95" s="53"/>
      <c r="N95" s="53"/>
      <c r="O95" s="53"/>
      <c r="P95" s="53"/>
      <c r="Q95" s="57"/>
      <c r="R95" s="53"/>
      <c r="S95" s="53"/>
      <c r="T95" s="53"/>
      <c r="U95" s="53"/>
      <c r="V95" s="53"/>
    </row>
    <row r="96" spans="1:22" s="9" customFormat="1" x14ac:dyDescent="0.2">
      <c r="A96" s="48"/>
      <c r="B96" s="51" t="s">
        <v>3</v>
      </c>
      <c r="C96" s="51" t="s">
        <v>3</v>
      </c>
      <c r="D96" s="24">
        <f>E96+F96+G96+H96+I96</f>
        <v>0</v>
      </c>
      <c r="E96" s="25"/>
      <c r="F96" s="25"/>
      <c r="G96" s="25"/>
      <c r="H96" s="25"/>
      <c r="I96" s="25"/>
      <c r="J96" s="53"/>
      <c r="K96" s="53"/>
      <c r="L96" s="53"/>
      <c r="M96" s="53"/>
      <c r="N96" s="53"/>
      <c r="O96" s="53"/>
      <c r="P96" s="53"/>
      <c r="Q96" s="57"/>
      <c r="R96" s="53"/>
      <c r="S96" s="53"/>
      <c r="T96" s="53"/>
      <c r="U96" s="53"/>
      <c r="V96" s="53"/>
    </row>
    <row r="97" spans="1:22" ht="12.75" customHeight="1" x14ac:dyDescent="0.2">
      <c r="A97" s="48" t="s">
        <v>40</v>
      </c>
      <c r="B97" s="49" t="s">
        <v>16</v>
      </c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</row>
    <row r="98" spans="1:22" s="9" customFormat="1" ht="12.75" customHeight="1" x14ac:dyDescent="0.2">
      <c r="A98" s="48"/>
      <c r="B98" s="52" t="s">
        <v>448</v>
      </c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</row>
    <row r="99" spans="1:22" s="9" customFormat="1" ht="66.75" customHeight="1" x14ac:dyDescent="0.2">
      <c r="A99" s="48"/>
      <c r="B99" s="50" t="s">
        <v>168</v>
      </c>
      <c r="C99" s="50"/>
      <c r="D99" s="50"/>
      <c r="E99" s="50"/>
      <c r="F99" s="50"/>
      <c r="G99" s="50"/>
      <c r="H99" s="50"/>
      <c r="I99" s="50"/>
      <c r="J99" s="53" t="s">
        <v>136</v>
      </c>
      <c r="K99" s="53"/>
      <c r="L99" s="53" t="s">
        <v>70</v>
      </c>
      <c r="M99" s="53" t="s">
        <v>132</v>
      </c>
      <c r="N99" s="53" t="s">
        <v>103</v>
      </c>
      <c r="O99" s="53" t="s">
        <v>237</v>
      </c>
      <c r="P99" s="53" t="s">
        <v>103</v>
      </c>
      <c r="Q99" s="57" t="s">
        <v>334</v>
      </c>
      <c r="R99" s="53" t="s">
        <v>11</v>
      </c>
      <c r="S99" s="53" t="s">
        <v>17</v>
      </c>
      <c r="T99" s="53" t="s">
        <v>7</v>
      </c>
      <c r="U99" s="53"/>
      <c r="V99" s="53" t="s">
        <v>635</v>
      </c>
    </row>
    <row r="100" spans="1:22" s="9" customFormat="1" x14ac:dyDescent="0.2">
      <c r="A100" s="48"/>
      <c r="B100" s="51" t="s">
        <v>5</v>
      </c>
      <c r="C100" s="51" t="s">
        <v>5</v>
      </c>
      <c r="D100" s="24">
        <f>SUM(D101:D104)</f>
        <v>22736.119999999995</v>
      </c>
      <c r="E100" s="25">
        <f>SUM(E101:E104)</f>
        <v>0</v>
      </c>
      <c r="F100" s="25">
        <f t="shared" ref="F100:G100" si="13">SUM(F101:F104)</f>
        <v>0</v>
      </c>
      <c r="G100" s="25">
        <f t="shared" si="13"/>
        <v>22736.119999999995</v>
      </c>
      <c r="H100" s="25"/>
      <c r="I100" s="25"/>
      <c r="J100" s="53"/>
      <c r="K100" s="53"/>
      <c r="L100" s="53"/>
      <c r="M100" s="53"/>
      <c r="N100" s="53"/>
      <c r="O100" s="53"/>
      <c r="P100" s="53"/>
      <c r="Q100" s="57"/>
      <c r="R100" s="53"/>
      <c r="S100" s="53"/>
      <c r="T100" s="53"/>
      <c r="U100" s="53"/>
      <c r="V100" s="53"/>
    </row>
    <row r="101" spans="1:22" s="9" customFormat="1" x14ac:dyDescent="0.2">
      <c r="A101" s="48"/>
      <c r="B101" s="51" t="s">
        <v>0</v>
      </c>
      <c r="C101" s="51" t="s">
        <v>0</v>
      </c>
      <c r="D101" s="24">
        <f>E101+F101+G101+H101+I101</f>
        <v>0</v>
      </c>
      <c r="E101" s="25"/>
      <c r="F101" s="25"/>
      <c r="G101" s="25"/>
      <c r="H101" s="25"/>
      <c r="I101" s="25"/>
      <c r="J101" s="53"/>
      <c r="K101" s="53"/>
      <c r="L101" s="53"/>
      <c r="M101" s="53"/>
      <c r="N101" s="53"/>
      <c r="O101" s="53"/>
      <c r="P101" s="53"/>
      <c r="Q101" s="57"/>
      <c r="R101" s="53"/>
      <c r="S101" s="53"/>
      <c r="T101" s="53"/>
      <c r="U101" s="53"/>
      <c r="V101" s="53"/>
    </row>
    <row r="102" spans="1:22" s="9" customFormat="1" x14ac:dyDescent="0.2">
      <c r="A102" s="48"/>
      <c r="B102" s="51" t="s">
        <v>1</v>
      </c>
      <c r="C102" s="51" t="s">
        <v>1</v>
      </c>
      <c r="D102" s="24">
        <f>E102+F102+G102+H102+I102</f>
        <v>22736.119999999995</v>
      </c>
      <c r="E102" s="25">
        <f>153496.122+171484.705-12345.907-312634.92</f>
        <v>0</v>
      </c>
      <c r="F102" s="25">
        <f>185286.813-185286.813</f>
        <v>0</v>
      </c>
      <c r="G102" s="25">
        <f>204882.12-182146</f>
        <v>22736.119999999995</v>
      </c>
      <c r="H102" s="25"/>
      <c r="I102" s="25"/>
      <c r="J102" s="53"/>
      <c r="K102" s="53"/>
      <c r="L102" s="53"/>
      <c r="M102" s="53"/>
      <c r="N102" s="53"/>
      <c r="O102" s="53"/>
      <c r="P102" s="53"/>
      <c r="Q102" s="57"/>
      <c r="R102" s="53"/>
      <c r="S102" s="53"/>
      <c r="T102" s="53"/>
      <c r="U102" s="53"/>
      <c r="V102" s="53"/>
    </row>
    <row r="103" spans="1:22" s="9" customFormat="1" x14ac:dyDescent="0.2">
      <c r="A103" s="48"/>
      <c r="B103" s="51" t="s">
        <v>2</v>
      </c>
      <c r="C103" s="51" t="s">
        <v>2</v>
      </c>
      <c r="D103" s="24">
        <f>E103+F103+G103+H103+I103</f>
        <v>0</v>
      </c>
      <c r="E103" s="25"/>
      <c r="F103" s="25"/>
      <c r="G103" s="25"/>
      <c r="H103" s="25"/>
      <c r="I103" s="25"/>
      <c r="J103" s="53"/>
      <c r="K103" s="53"/>
      <c r="L103" s="53"/>
      <c r="M103" s="53"/>
      <c r="N103" s="53"/>
      <c r="O103" s="53"/>
      <c r="P103" s="53"/>
      <c r="Q103" s="57"/>
      <c r="R103" s="53"/>
      <c r="S103" s="53"/>
      <c r="T103" s="53"/>
      <c r="U103" s="53"/>
      <c r="V103" s="53"/>
    </row>
    <row r="104" spans="1:22" s="9" customFormat="1" x14ac:dyDescent="0.2">
      <c r="A104" s="48"/>
      <c r="B104" s="51" t="s">
        <v>3</v>
      </c>
      <c r="C104" s="51" t="s">
        <v>3</v>
      </c>
      <c r="D104" s="24">
        <f>E104+F104+G104+H104+I104</f>
        <v>0</v>
      </c>
      <c r="E104" s="25"/>
      <c r="F104" s="25"/>
      <c r="G104" s="25"/>
      <c r="H104" s="25"/>
      <c r="I104" s="25"/>
      <c r="J104" s="53"/>
      <c r="K104" s="53"/>
      <c r="L104" s="53"/>
      <c r="M104" s="53"/>
      <c r="N104" s="53"/>
      <c r="O104" s="53"/>
      <c r="P104" s="53"/>
      <c r="Q104" s="57"/>
      <c r="R104" s="53"/>
      <c r="S104" s="53"/>
      <c r="T104" s="53"/>
      <c r="U104" s="53"/>
      <c r="V104" s="53"/>
    </row>
    <row r="105" spans="1:22" ht="12.75" customHeight="1" x14ac:dyDescent="0.2">
      <c r="A105" s="48" t="s">
        <v>41</v>
      </c>
      <c r="B105" s="49" t="s">
        <v>16</v>
      </c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</row>
    <row r="106" spans="1:22" s="9" customFormat="1" ht="12.75" customHeight="1" x14ac:dyDescent="0.2">
      <c r="A106" s="48"/>
      <c r="B106" s="52" t="s">
        <v>448</v>
      </c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</row>
    <row r="107" spans="1:22" s="9" customFormat="1" ht="36" customHeight="1" x14ac:dyDescent="0.2">
      <c r="A107" s="48"/>
      <c r="B107" s="50" t="s">
        <v>330</v>
      </c>
      <c r="C107" s="50" t="s">
        <v>330</v>
      </c>
      <c r="D107" s="50"/>
      <c r="E107" s="50"/>
      <c r="F107" s="50"/>
      <c r="G107" s="50"/>
      <c r="H107" s="50"/>
      <c r="I107" s="50"/>
      <c r="J107" s="53" t="s">
        <v>76</v>
      </c>
      <c r="K107" s="53"/>
      <c r="L107" s="53" t="s">
        <v>71</v>
      </c>
      <c r="M107" s="53" t="s">
        <v>323</v>
      </c>
      <c r="N107" s="53" t="s">
        <v>12</v>
      </c>
      <c r="O107" s="53" t="s">
        <v>193</v>
      </c>
      <c r="P107" s="53" t="s">
        <v>193</v>
      </c>
      <c r="Q107" s="57" t="s">
        <v>141</v>
      </c>
      <c r="R107" s="53" t="s">
        <v>9</v>
      </c>
      <c r="S107" s="53" t="s">
        <v>12</v>
      </c>
      <c r="T107" s="53" t="s">
        <v>7</v>
      </c>
      <c r="U107" s="53"/>
      <c r="V107" s="53"/>
    </row>
    <row r="108" spans="1:22" s="9" customFormat="1" x14ac:dyDescent="0.2">
      <c r="A108" s="48"/>
      <c r="B108" s="51" t="s">
        <v>5</v>
      </c>
      <c r="C108" s="51" t="s">
        <v>5</v>
      </c>
      <c r="D108" s="24">
        <f>SUM(D109:D112)</f>
        <v>969844.39496999991</v>
      </c>
      <c r="E108" s="25">
        <f>SUM(E109:E112)</f>
        <v>535057.38692999992</v>
      </c>
      <c r="F108" s="25">
        <f>SUM(F109:F112)</f>
        <v>434787.00803999999</v>
      </c>
      <c r="G108" s="25"/>
      <c r="H108" s="25"/>
      <c r="I108" s="25"/>
      <c r="J108" s="53"/>
      <c r="K108" s="53"/>
      <c r="L108" s="53"/>
      <c r="M108" s="53"/>
      <c r="N108" s="53"/>
      <c r="O108" s="53"/>
      <c r="P108" s="53"/>
      <c r="Q108" s="57"/>
      <c r="R108" s="53"/>
      <c r="S108" s="53"/>
      <c r="T108" s="53"/>
      <c r="U108" s="53"/>
      <c r="V108" s="53"/>
    </row>
    <row r="109" spans="1:22" s="9" customFormat="1" x14ac:dyDescent="0.2">
      <c r="A109" s="48"/>
      <c r="B109" s="51" t="s">
        <v>0</v>
      </c>
      <c r="C109" s="51" t="s">
        <v>0</v>
      </c>
      <c r="D109" s="24">
        <f>E109+F109+G109+H109+I109</f>
        <v>0</v>
      </c>
      <c r="E109" s="25"/>
      <c r="F109" s="25"/>
      <c r="G109" s="25"/>
      <c r="H109" s="25"/>
      <c r="I109" s="25"/>
      <c r="J109" s="53"/>
      <c r="K109" s="53"/>
      <c r="L109" s="53"/>
      <c r="M109" s="53"/>
      <c r="N109" s="53"/>
      <c r="O109" s="53"/>
      <c r="P109" s="53"/>
      <c r="Q109" s="57"/>
      <c r="R109" s="53"/>
      <c r="S109" s="53"/>
      <c r="T109" s="53"/>
      <c r="U109" s="53"/>
      <c r="V109" s="53"/>
    </row>
    <row r="110" spans="1:22" s="9" customFormat="1" x14ac:dyDescent="0.2">
      <c r="A110" s="48"/>
      <c r="B110" s="51" t="s">
        <v>1</v>
      </c>
      <c r="C110" s="51" t="s">
        <v>1</v>
      </c>
      <c r="D110" s="24">
        <f>E110+F110+G110+H110+I110</f>
        <v>964995.17299999995</v>
      </c>
      <c r="E110" s="25">
        <f>300000-15000+62600+16130+57158+111494.1-27000+27000</f>
        <v>532382.1</v>
      </c>
      <c r="F110" s="25">
        <f>628012.883-14325.9-123915.91-57158</f>
        <v>432613.07299999997</v>
      </c>
      <c r="G110" s="25"/>
      <c r="H110" s="25"/>
      <c r="I110" s="25"/>
      <c r="J110" s="53"/>
      <c r="K110" s="53"/>
      <c r="L110" s="53"/>
      <c r="M110" s="53"/>
      <c r="N110" s="53"/>
      <c r="O110" s="53"/>
      <c r="P110" s="53"/>
      <c r="Q110" s="57"/>
      <c r="R110" s="53"/>
      <c r="S110" s="53"/>
      <c r="T110" s="53"/>
      <c r="U110" s="53"/>
      <c r="V110" s="53"/>
    </row>
    <row r="111" spans="1:22" s="9" customFormat="1" x14ac:dyDescent="0.2">
      <c r="A111" s="48"/>
      <c r="B111" s="51" t="s">
        <v>2</v>
      </c>
      <c r="C111" s="51" t="s">
        <v>2</v>
      </c>
      <c r="D111" s="24">
        <f>E111+F111+G111+H111+I111</f>
        <v>4849.2219700000005</v>
      </c>
      <c r="E111" s="25">
        <v>2675.2869300000002</v>
      </c>
      <c r="F111" s="25">
        <v>2173.9350399999998</v>
      </c>
      <c r="G111" s="25"/>
      <c r="H111" s="25"/>
      <c r="I111" s="25"/>
      <c r="J111" s="53"/>
      <c r="K111" s="53"/>
      <c r="L111" s="53"/>
      <c r="M111" s="53"/>
      <c r="N111" s="53"/>
      <c r="O111" s="53"/>
      <c r="P111" s="53"/>
      <c r="Q111" s="57"/>
      <c r="R111" s="53"/>
      <c r="S111" s="53"/>
      <c r="T111" s="53"/>
      <c r="U111" s="53"/>
      <c r="V111" s="53"/>
    </row>
    <row r="112" spans="1:22" s="9" customFormat="1" ht="23.25" customHeight="1" x14ac:dyDescent="0.2">
      <c r="A112" s="48"/>
      <c r="B112" s="51" t="s">
        <v>3</v>
      </c>
      <c r="C112" s="51" t="s">
        <v>3</v>
      </c>
      <c r="D112" s="24">
        <f>E112+F112+G112+H112+I112</f>
        <v>0</v>
      </c>
      <c r="E112" s="25"/>
      <c r="F112" s="25"/>
      <c r="G112" s="25"/>
      <c r="H112" s="25"/>
      <c r="I112" s="25"/>
      <c r="J112" s="53"/>
      <c r="K112" s="53"/>
      <c r="L112" s="53"/>
      <c r="M112" s="53"/>
      <c r="N112" s="53"/>
      <c r="O112" s="53"/>
      <c r="P112" s="53"/>
      <c r="Q112" s="57"/>
      <c r="R112" s="53"/>
      <c r="S112" s="53"/>
      <c r="T112" s="53"/>
      <c r="U112" s="53"/>
      <c r="V112" s="53"/>
    </row>
    <row r="113" spans="1:22" ht="12.75" customHeight="1" x14ac:dyDescent="0.2">
      <c r="A113" s="48" t="s">
        <v>131</v>
      </c>
      <c r="B113" s="49" t="s">
        <v>16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</row>
    <row r="114" spans="1:22" s="9" customFormat="1" ht="12.75" customHeight="1" x14ac:dyDescent="0.2">
      <c r="A114" s="48"/>
      <c r="B114" s="52" t="s">
        <v>448</v>
      </c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</row>
    <row r="115" spans="1:22" s="9" customFormat="1" ht="57" customHeight="1" x14ac:dyDescent="0.2">
      <c r="A115" s="48"/>
      <c r="B115" s="50" t="s">
        <v>331</v>
      </c>
      <c r="C115" s="50"/>
      <c r="D115" s="50"/>
      <c r="E115" s="50"/>
      <c r="F115" s="50"/>
      <c r="G115" s="50"/>
      <c r="H115" s="50"/>
      <c r="I115" s="50"/>
      <c r="J115" s="53" t="s">
        <v>174</v>
      </c>
      <c r="K115" s="53"/>
      <c r="L115" s="53" t="s">
        <v>70</v>
      </c>
      <c r="M115" s="53" t="s">
        <v>164</v>
      </c>
      <c r="N115" s="53" t="s">
        <v>103</v>
      </c>
      <c r="O115" s="53" t="s">
        <v>237</v>
      </c>
      <c r="P115" s="53" t="s">
        <v>103</v>
      </c>
      <c r="Q115" s="57" t="s">
        <v>335</v>
      </c>
      <c r="R115" s="53" t="s">
        <v>11</v>
      </c>
      <c r="S115" s="53" t="s">
        <v>165</v>
      </c>
      <c r="T115" s="53" t="s">
        <v>18</v>
      </c>
      <c r="U115" s="53"/>
      <c r="V115" s="53" t="s">
        <v>636</v>
      </c>
    </row>
    <row r="116" spans="1:22" s="9" customFormat="1" x14ac:dyDescent="0.2">
      <c r="A116" s="48"/>
      <c r="B116" s="51" t="s">
        <v>5</v>
      </c>
      <c r="C116" s="51" t="s">
        <v>5</v>
      </c>
      <c r="D116" s="24">
        <f>SUM(D117:D120)</f>
        <v>274827.5</v>
      </c>
      <c r="E116" s="25">
        <f>SUM(E117:E120)</f>
        <v>71237.100000000006</v>
      </c>
      <c r="F116" s="25">
        <f>SUM(F117:F120)</f>
        <v>126639.5</v>
      </c>
      <c r="G116" s="25">
        <f>SUM(G117:G120)</f>
        <v>76950.89999999998</v>
      </c>
      <c r="H116" s="25"/>
      <c r="I116" s="25"/>
      <c r="J116" s="53"/>
      <c r="K116" s="53"/>
      <c r="L116" s="53"/>
      <c r="M116" s="53"/>
      <c r="N116" s="53"/>
      <c r="O116" s="53"/>
      <c r="P116" s="53"/>
      <c r="Q116" s="57"/>
      <c r="R116" s="53"/>
      <c r="S116" s="53"/>
      <c r="T116" s="53"/>
      <c r="U116" s="53"/>
      <c r="V116" s="53"/>
    </row>
    <row r="117" spans="1:22" s="9" customFormat="1" ht="12.75" customHeight="1" x14ac:dyDescent="0.2">
      <c r="A117" s="48"/>
      <c r="B117" s="51" t="s">
        <v>0</v>
      </c>
      <c r="C117" s="51" t="s">
        <v>0</v>
      </c>
      <c r="D117" s="24">
        <f>E117+F117+G117+H117+I117</f>
        <v>0</v>
      </c>
      <c r="E117" s="25"/>
      <c r="F117" s="25"/>
      <c r="G117" s="25"/>
      <c r="H117" s="25"/>
      <c r="I117" s="25"/>
      <c r="J117" s="53"/>
      <c r="K117" s="53"/>
      <c r="L117" s="53"/>
      <c r="M117" s="53"/>
      <c r="N117" s="53"/>
      <c r="O117" s="53"/>
      <c r="P117" s="53"/>
      <c r="Q117" s="57"/>
      <c r="R117" s="53"/>
      <c r="S117" s="53"/>
      <c r="T117" s="53"/>
      <c r="U117" s="53"/>
      <c r="V117" s="53"/>
    </row>
    <row r="118" spans="1:22" s="9" customFormat="1" x14ac:dyDescent="0.2">
      <c r="A118" s="48"/>
      <c r="B118" s="51" t="s">
        <v>1</v>
      </c>
      <c r="C118" s="51" t="s">
        <v>1</v>
      </c>
      <c r="D118" s="24">
        <f>E118+F118+G118+H118+I118</f>
        <v>274827.5</v>
      </c>
      <c r="E118" s="25">
        <f>72313.6+3923.5-5000</f>
        <v>71237.100000000006</v>
      </c>
      <c r="F118" s="25">
        <f>112313.6+14325.9</f>
        <v>126639.5</v>
      </c>
      <c r="G118" s="25">
        <v>76950.89999999998</v>
      </c>
      <c r="H118" s="25"/>
      <c r="I118" s="25"/>
      <c r="J118" s="53"/>
      <c r="K118" s="53"/>
      <c r="L118" s="53"/>
      <c r="M118" s="53"/>
      <c r="N118" s="53"/>
      <c r="O118" s="53"/>
      <c r="P118" s="53"/>
      <c r="Q118" s="57"/>
      <c r="R118" s="53"/>
      <c r="S118" s="53"/>
      <c r="T118" s="53"/>
      <c r="U118" s="53"/>
      <c r="V118" s="53"/>
    </row>
    <row r="119" spans="1:22" s="9" customFormat="1" ht="12.75" customHeight="1" x14ac:dyDescent="0.2">
      <c r="A119" s="48"/>
      <c r="B119" s="51" t="s">
        <v>2</v>
      </c>
      <c r="C119" s="51" t="s">
        <v>2</v>
      </c>
      <c r="D119" s="24">
        <f>E119+F119+G119+H119+I119</f>
        <v>0</v>
      </c>
      <c r="E119" s="25"/>
      <c r="F119" s="25"/>
      <c r="G119" s="25"/>
      <c r="H119" s="25"/>
      <c r="I119" s="25"/>
      <c r="J119" s="53"/>
      <c r="K119" s="53"/>
      <c r="L119" s="53"/>
      <c r="M119" s="53"/>
      <c r="N119" s="53"/>
      <c r="O119" s="53"/>
      <c r="P119" s="53"/>
      <c r="Q119" s="57"/>
      <c r="R119" s="53"/>
      <c r="S119" s="53"/>
      <c r="T119" s="53"/>
      <c r="U119" s="53"/>
      <c r="V119" s="53"/>
    </row>
    <row r="120" spans="1:22" s="9" customFormat="1" ht="24" customHeight="1" x14ac:dyDescent="0.2">
      <c r="A120" s="48"/>
      <c r="B120" s="51" t="s">
        <v>3</v>
      </c>
      <c r="C120" s="51" t="s">
        <v>3</v>
      </c>
      <c r="D120" s="24">
        <f>E120+F120+G120+H120+I120</f>
        <v>0</v>
      </c>
      <c r="E120" s="25"/>
      <c r="F120" s="25"/>
      <c r="G120" s="25"/>
      <c r="H120" s="25"/>
      <c r="I120" s="25"/>
      <c r="J120" s="53"/>
      <c r="K120" s="53"/>
      <c r="L120" s="53"/>
      <c r="M120" s="53"/>
      <c r="N120" s="53"/>
      <c r="O120" s="53"/>
      <c r="P120" s="53"/>
      <c r="Q120" s="57"/>
      <c r="R120" s="53"/>
      <c r="S120" s="53"/>
      <c r="T120" s="53"/>
      <c r="U120" s="53"/>
      <c r="V120" s="53"/>
    </row>
    <row r="121" spans="1:22" x14ac:dyDescent="0.2">
      <c r="A121" s="48" t="s">
        <v>142</v>
      </c>
      <c r="B121" s="49" t="s">
        <v>16</v>
      </c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</row>
    <row r="122" spans="1:22" s="9" customFormat="1" ht="12.75" customHeight="1" x14ac:dyDescent="0.2">
      <c r="A122" s="48"/>
      <c r="B122" s="52" t="s">
        <v>448</v>
      </c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</row>
    <row r="123" spans="1:22" s="9" customFormat="1" ht="57.75" customHeight="1" x14ac:dyDescent="0.2">
      <c r="A123" s="48"/>
      <c r="B123" s="50" t="s">
        <v>201</v>
      </c>
      <c r="C123" s="50"/>
      <c r="D123" s="50"/>
      <c r="E123" s="50"/>
      <c r="F123" s="50"/>
      <c r="G123" s="50"/>
      <c r="H123" s="50"/>
      <c r="I123" s="50"/>
      <c r="J123" s="53" t="s">
        <v>174</v>
      </c>
      <c r="K123" s="53"/>
      <c r="L123" s="53" t="s">
        <v>70</v>
      </c>
      <c r="M123" s="53" t="s">
        <v>164</v>
      </c>
      <c r="N123" s="53" t="s">
        <v>103</v>
      </c>
      <c r="O123" s="53" t="s">
        <v>237</v>
      </c>
      <c r="P123" s="53" t="s">
        <v>103</v>
      </c>
      <c r="Q123" s="57" t="s">
        <v>336</v>
      </c>
      <c r="R123" s="53" t="s">
        <v>11</v>
      </c>
      <c r="S123" s="53" t="s">
        <v>166</v>
      </c>
      <c r="T123" s="53" t="s">
        <v>18</v>
      </c>
      <c r="U123" s="53"/>
      <c r="V123" s="53" t="s">
        <v>213</v>
      </c>
    </row>
    <row r="124" spans="1:22" s="9" customFormat="1" x14ac:dyDescent="0.2">
      <c r="A124" s="48"/>
      <c r="B124" s="51" t="s">
        <v>5</v>
      </c>
      <c r="C124" s="51"/>
      <c r="D124" s="24">
        <f>SUM(D125:D128)</f>
        <v>54859.55839999998</v>
      </c>
      <c r="E124" s="25">
        <f>SUM(E125:E128)</f>
        <v>12024.3284</v>
      </c>
      <c r="F124" s="25">
        <f>SUM(F125:F128)</f>
        <v>42835.229999999981</v>
      </c>
      <c r="G124" s="25"/>
      <c r="H124" s="25"/>
      <c r="I124" s="25"/>
      <c r="J124" s="53"/>
      <c r="K124" s="53"/>
      <c r="L124" s="53"/>
      <c r="M124" s="53"/>
      <c r="N124" s="53"/>
      <c r="O124" s="53"/>
      <c r="P124" s="53"/>
      <c r="Q124" s="57"/>
      <c r="R124" s="53"/>
      <c r="S124" s="53"/>
      <c r="T124" s="53"/>
      <c r="U124" s="53"/>
      <c r="V124" s="53"/>
    </row>
    <row r="125" spans="1:22" s="9" customFormat="1" x14ac:dyDescent="0.2">
      <c r="A125" s="48"/>
      <c r="B125" s="51" t="s">
        <v>0</v>
      </c>
      <c r="C125" s="51"/>
      <c r="D125" s="24">
        <f>E125+F125+G125+H125+I125</f>
        <v>0</v>
      </c>
      <c r="E125" s="25"/>
      <c r="F125" s="25"/>
      <c r="G125" s="25"/>
      <c r="H125" s="25"/>
      <c r="I125" s="25"/>
      <c r="J125" s="53"/>
      <c r="K125" s="53"/>
      <c r="L125" s="53"/>
      <c r="M125" s="53"/>
      <c r="N125" s="53"/>
      <c r="O125" s="53"/>
      <c r="P125" s="53"/>
      <c r="Q125" s="57"/>
      <c r="R125" s="53"/>
      <c r="S125" s="53"/>
      <c r="T125" s="53"/>
      <c r="U125" s="53"/>
      <c r="V125" s="53"/>
    </row>
    <row r="126" spans="1:22" s="9" customFormat="1" x14ac:dyDescent="0.2">
      <c r="A126" s="48"/>
      <c r="B126" s="51" t="s">
        <v>1</v>
      </c>
      <c r="C126" s="51"/>
      <c r="D126" s="24">
        <f>E126+F126+G126+H126+I126</f>
        <v>54859.55839999998</v>
      </c>
      <c r="E126" s="25">
        <v>12024.3284</v>
      </c>
      <c r="F126" s="25">
        <f>195399.33-152564.1</f>
        <v>42835.229999999981</v>
      </c>
      <c r="G126" s="25"/>
      <c r="H126" s="25"/>
      <c r="I126" s="25"/>
      <c r="J126" s="53"/>
      <c r="K126" s="53"/>
      <c r="L126" s="53"/>
      <c r="M126" s="53"/>
      <c r="N126" s="53"/>
      <c r="O126" s="53"/>
      <c r="P126" s="53"/>
      <c r="Q126" s="57"/>
      <c r="R126" s="53"/>
      <c r="S126" s="53"/>
      <c r="T126" s="53"/>
      <c r="U126" s="53"/>
      <c r="V126" s="53"/>
    </row>
    <row r="127" spans="1:22" s="9" customFormat="1" x14ac:dyDescent="0.2">
      <c r="A127" s="48"/>
      <c r="B127" s="51" t="s">
        <v>2</v>
      </c>
      <c r="C127" s="51"/>
      <c r="D127" s="24">
        <f>E127+F127+G127+H127+I127</f>
        <v>0</v>
      </c>
      <c r="E127" s="25"/>
      <c r="F127" s="25"/>
      <c r="G127" s="25"/>
      <c r="H127" s="25"/>
      <c r="I127" s="25"/>
      <c r="J127" s="53"/>
      <c r="K127" s="53"/>
      <c r="L127" s="53"/>
      <c r="M127" s="53"/>
      <c r="N127" s="53"/>
      <c r="O127" s="53"/>
      <c r="P127" s="53"/>
      <c r="Q127" s="57"/>
      <c r="R127" s="53"/>
      <c r="S127" s="53"/>
      <c r="T127" s="53"/>
      <c r="U127" s="53"/>
      <c r="V127" s="53"/>
    </row>
    <row r="128" spans="1:22" s="9" customFormat="1" ht="23.25" customHeight="1" x14ac:dyDescent="0.2">
      <c r="A128" s="48"/>
      <c r="B128" s="51" t="s">
        <v>3</v>
      </c>
      <c r="C128" s="51"/>
      <c r="D128" s="24">
        <f>E128+F128+G128+H128+I128</f>
        <v>0</v>
      </c>
      <c r="E128" s="25"/>
      <c r="F128" s="25"/>
      <c r="G128" s="25"/>
      <c r="H128" s="25"/>
      <c r="I128" s="25"/>
      <c r="J128" s="53"/>
      <c r="K128" s="53"/>
      <c r="L128" s="53"/>
      <c r="M128" s="53"/>
      <c r="N128" s="53"/>
      <c r="O128" s="53"/>
      <c r="P128" s="53"/>
      <c r="Q128" s="57"/>
      <c r="R128" s="53"/>
      <c r="S128" s="53"/>
      <c r="T128" s="53"/>
      <c r="U128" s="53"/>
      <c r="V128" s="53"/>
    </row>
    <row r="129" spans="1:22" s="9" customFormat="1" ht="12.75" customHeight="1" x14ac:dyDescent="0.2">
      <c r="A129" s="48" t="s">
        <v>156</v>
      </c>
      <c r="B129" s="49" t="s">
        <v>16</v>
      </c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</row>
    <row r="130" spans="1:22" s="9" customFormat="1" ht="12.75" customHeight="1" x14ac:dyDescent="0.2">
      <c r="A130" s="48"/>
      <c r="B130" s="52" t="s">
        <v>448</v>
      </c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</row>
    <row r="131" spans="1:22" s="9" customFormat="1" ht="60.75" customHeight="1" x14ac:dyDescent="0.2">
      <c r="A131" s="48"/>
      <c r="B131" s="50" t="s">
        <v>367</v>
      </c>
      <c r="C131" s="50"/>
      <c r="D131" s="50"/>
      <c r="E131" s="50"/>
      <c r="F131" s="50"/>
      <c r="G131" s="50"/>
      <c r="H131" s="50"/>
      <c r="I131" s="50"/>
      <c r="J131" s="53" t="s">
        <v>174</v>
      </c>
      <c r="K131" s="53"/>
      <c r="L131" s="53" t="s">
        <v>70</v>
      </c>
      <c r="M131" s="53" t="s">
        <v>164</v>
      </c>
      <c r="N131" s="53" t="s">
        <v>103</v>
      </c>
      <c r="O131" s="53" t="s">
        <v>237</v>
      </c>
      <c r="P131" s="53" t="s">
        <v>103</v>
      </c>
      <c r="Q131" s="57" t="s">
        <v>337</v>
      </c>
      <c r="R131" s="53" t="s">
        <v>11</v>
      </c>
      <c r="S131" s="53" t="s">
        <v>197</v>
      </c>
      <c r="T131" s="53" t="s">
        <v>18</v>
      </c>
      <c r="U131" s="53"/>
      <c r="V131" s="53" t="s">
        <v>637</v>
      </c>
    </row>
    <row r="132" spans="1:22" s="9" customFormat="1" x14ac:dyDescent="0.2">
      <c r="A132" s="48"/>
      <c r="B132" s="51" t="s">
        <v>5</v>
      </c>
      <c r="C132" s="51" t="s">
        <v>5</v>
      </c>
      <c r="D132" s="24">
        <f>SUM(D133:D136)</f>
        <v>211269.05299999996</v>
      </c>
      <c r="E132" s="25">
        <f>SUM(E133:E136)</f>
        <v>160555.74999999997</v>
      </c>
      <c r="F132" s="25">
        <f>SUM(F133:F136)</f>
        <v>50713.302999999985</v>
      </c>
      <c r="G132" s="25"/>
      <c r="H132" s="25"/>
      <c r="I132" s="25"/>
      <c r="J132" s="53"/>
      <c r="K132" s="53"/>
      <c r="L132" s="53"/>
      <c r="M132" s="53"/>
      <c r="N132" s="53"/>
      <c r="O132" s="53"/>
      <c r="P132" s="53"/>
      <c r="Q132" s="57"/>
      <c r="R132" s="53"/>
      <c r="S132" s="53"/>
      <c r="T132" s="53"/>
      <c r="U132" s="53"/>
      <c r="V132" s="53"/>
    </row>
    <row r="133" spans="1:22" s="9" customFormat="1" x14ac:dyDescent="0.2">
      <c r="A133" s="48"/>
      <c r="B133" s="51" t="s">
        <v>0</v>
      </c>
      <c r="C133" s="51" t="s">
        <v>0</v>
      </c>
      <c r="D133" s="24">
        <f>E133+F133+G133+H133+I133</f>
        <v>0</v>
      </c>
      <c r="E133" s="25"/>
      <c r="F133" s="25"/>
      <c r="G133" s="25"/>
      <c r="H133" s="25"/>
      <c r="I133" s="25"/>
      <c r="J133" s="53"/>
      <c r="K133" s="53"/>
      <c r="L133" s="53"/>
      <c r="M133" s="53"/>
      <c r="N133" s="53"/>
      <c r="O133" s="53"/>
      <c r="P133" s="53"/>
      <c r="Q133" s="57"/>
      <c r="R133" s="53"/>
      <c r="S133" s="53"/>
      <c r="T133" s="53"/>
      <c r="U133" s="53"/>
      <c r="V133" s="53"/>
    </row>
    <row r="134" spans="1:22" s="9" customFormat="1" x14ac:dyDescent="0.2">
      <c r="A134" s="48"/>
      <c r="B134" s="51" t="s">
        <v>1</v>
      </c>
      <c r="C134" s="51" t="s">
        <v>1</v>
      </c>
      <c r="D134" s="24">
        <f>E134+F134+G134+H134+I134</f>
        <v>211269.05299999996</v>
      </c>
      <c r="E134" s="25">
        <f>256616.84+10695.5-7493.09+736.5-100000</f>
        <v>160555.74999999997</v>
      </c>
      <c r="F134" s="25">
        <f>300455.89-12029.4-237713.187</f>
        <v>50713.302999999985</v>
      </c>
      <c r="G134" s="25"/>
      <c r="H134" s="25"/>
      <c r="I134" s="25"/>
      <c r="J134" s="53"/>
      <c r="K134" s="53"/>
      <c r="L134" s="53"/>
      <c r="M134" s="53"/>
      <c r="N134" s="53"/>
      <c r="O134" s="53"/>
      <c r="P134" s="53"/>
      <c r="Q134" s="57"/>
      <c r="R134" s="53"/>
      <c r="S134" s="53"/>
      <c r="T134" s="53"/>
      <c r="U134" s="53"/>
      <c r="V134" s="53"/>
    </row>
    <row r="135" spans="1:22" s="9" customFormat="1" x14ac:dyDescent="0.2">
      <c r="A135" s="48"/>
      <c r="B135" s="51" t="s">
        <v>2</v>
      </c>
      <c r="C135" s="51" t="s">
        <v>2</v>
      </c>
      <c r="D135" s="24">
        <f>E135+F135+G135+H135+I135</f>
        <v>0</v>
      </c>
      <c r="E135" s="25"/>
      <c r="F135" s="25"/>
      <c r="G135" s="25"/>
      <c r="H135" s="25"/>
      <c r="I135" s="25"/>
      <c r="J135" s="53"/>
      <c r="K135" s="53"/>
      <c r="L135" s="53"/>
      <c r="M135" s="53"/>
      <c r="N135" s="53"/>
      <c r="O135" s="53"/>
      <c r="P135" s="53"/>
      <c r="Q135" s="57"/>
      <c r="R135" s="53"/>
      <c r="S135" s="53"/>
      <c r="T135" s="53"/>
      <c r="U135" s="53"/>
      <c r="V135" s="53"/>
    </row>
    <row r="136" spans="1:22" s="9" customFormat="1" ht="21.75" customHeight="1" x14ac:dyDescent="0.2">
      <c r="A136" s="48"/>
      <c r="B136" s="51" t="s">
        <v>3</v>
      </c>
      <c r="C136" s="51" t="s">
        <v>3</v>
      </c>
      <c r="D136" s="24">
        <f>E136+F136+G136+H136+I136</f>
        <v>0</v>
      </c>
      <c r="E136" s="25"/>
      <c r="F136" s="25"/>
      <c r="G136" s="25"/>
      <c r="H136" s="25"/>
      <c r="I136" s="25"/>
      <c r="J136" s="53"/>
      <c r="K136" s="53"/>
      <c r="L136" s="53"/>
      <c r="M136" s="53"/>
      <c r="N136" s="53"/>
      <c r="O136" s="53"/>
      <c r="P136" s="53"/>
      <c r="Q136" s="57"/>
      <c r="R136" s="53"/>
      <c r="S136" s="53"/>
      <c r="T136" s="53"/>
      <c r="U136" s="53"/>
      <c r="V136" s="53"/>
    </row>
    <row r="137" spans="1:22" s="9" customFormat="1" ht="12.75" customHeight="1" x14ac:dyDescent="0.2">
      <c r="A137" s="48" t="s">
        <v>389</v>
      </c>
      <c r="B137" s="49" t="s">
        <v>16</v>
      </c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</row>
    <row r="138" spans="1:22" s="9" customFormat="1" ht="12.75" customHeight="1" x14ac:dyDescent="0.2">
      <c r="A138" s="48"/>
      <c r="B138" s="52" t="s">
        <v>448</v>
      </c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</row>
    <row r="139" spans="1:22" s="9" customFormat="1" ht="59.25" customHeight="1" x14ac:dyDescent="0.2">
      <c r="A139" s="48"/>
      <c r="B139" s="50" t="s">
        <v>386</v>
      </c>
      <c r="C139" s="50"/>
      <c r="D139" s="50"/>
      <c r="E139" s="50"/>
      <c r="F139" s="50"/>
      <c r="G139" s="50"/>
      <c r="H139" s="50"/>
      <c r="I139" s="50"/>
      <c r="J139" s="53" t="s">
        <v>608</v>
      </c>
      <c r="K139" s="53"/>
      <c r="L139" s="53" t="s">
        <v>70</v>
      </c>
      <c r="M139" s="53" t="s">
        <v>387</v>
      </c>
      <c r="N139" s="53" t="s">
        <v>103</v>
      </c>
      <c r="O139" s="53" t="s">
        <v>237</v>
      </c>
      <c r="P139" s="53" t="s">
        <v>103</v>
      </c>
      <c r="Q139" s="57" t="s">
        <v>609</v>
      </c>
      <c r="R139" s="53" t="s">
        <v>11</v>
      </c>
      <c r="S139" s="53" t="s">
        <v>165</v>
      </c>
      <c r="T139" s="53" t="s">
        <v>18</v>
      </c>
      <c r="U139" s="53"/>
      <c r="V139" s="53" t="s">
        <v>638</v>
      </c>
    </row>
    <row r="140" spans="1:22" s="9" customFormat="1" x14ac:dyDescent="0.2">
      <c r="A140" s="48"/>
      <c r="B140" s="51" t="s">
        <v>5</v>
      </c>
      <c r="C140" s="51" t="s">
        <v>5</v>
      </c>
      <c r="D140" s="24">
        <f>SUM(E140:H140)</f>
        <v>10967.981900000001</v>
      </c>
      <c r="E140" s="25">
        <f>SUM(E141:E144)</f>
        <v>10967.981900000001</v>
      </c>
      <c r="F140" s="25"/>
      <c r="G140" s="25"/>
      <c r="H140" s="25"/>
      <c r="I140" s="25"/>
      <c r="J140" s="53"/>
      <c r="K140" s="53"/>
      <c r="L140" s="53"/>
      <c r="M140" s="53"/>
      <c r="N140" s="53"/>
      <c r="O140" s="53"/>
      <c r="P140" s="53"/>
      <c r="Q140" s="57"/>
      <c r="R140" s="53"/>
      <c r="S140" s="53"/>
      <c r="T140" s="53"/>
      <c r="U140" s="53"/>
      <c r="V140" s="53"/>
    </row>
    <row r="141" spans="1:22" s="9" customFormat="1" x14ac:dyDescent="0.2">
      <c r="A141" s="48"/>
      <c r="B141" s="51" t="s">
        <v>0</v>
      </c>
      <c r="C141" s="51" t="s">
        <v>0</v>
      </c>
      <c r="D141" s="24"/>
      <c r="E141" s="25"/>
      <c r="F141" s="25"/>
      <c r="G141" s="25"/>
      <c r="H141" s="25"/>
      <c r="I141" s="25"/>
      <c r="J141" s="53"/>
      <c r="K141" s="53"/>
      <c r="L141" s="53"/>
      <c r="M141" s="53"/>
      <c r="N141" s="53"/>
      <c r="O141" s="53"/>
      <c r="P141" s="53"/>
      <c r="Q141" s="57"/>
      <c r="R141" s="53"/>
      <c r="S141" s="53"/>
      <c r="T141" s="53"/>
      <c r="U141" s="53"/>
      <c r="V141" s="53"/>
    </row>
    <row r="142" spans="1:22" s="9" customFormat="1" x14ac:dyDescent="0.2">
      <c r="A142" s="48"/>
      <c r="B142" s="51" t="s">
        <v>1</v>
      </c>
      <c r="C142" s="51" t="s">
        <v>1</v>
      </c>
      <c r="D142" s="24">
        <f>SUM(E142:H142)</f>
        <v>10967.981900000001</v>
      </c>
      <c r="E142" s="25">
        <v>10967.981900000001</v>
      </c>
      <c r="F142" s="25"/>
      <c r="G142" s="25"/>
      <c r="H142" s="25"/>
      <c r="I142" s="25"/>
      <c r="J142" s="53"/>
      <c r="K142" s="53"/>
      <c r="L142" s="53"/>
      <c r="M142" s="53"/>
      <c r="N142" s="53"/>
      <c r="O142" s="53"/>
      <c r="P142" s="53"/>
      <c r="Q142" s="57"/>
      <c r="R142" s="53"/>
      <c r="S142" s="53"/>
      <c r="T142" s="53"/>
      <c r="U142" s="53"/>
      <c r="V142" s="53"/>
    </row>
    <row r="143" spans="1:22" s="9" customFormat="1" x14ac:dyDescent="0.2">
      <c r="A143" s="48"/>
      <c r="B143" s="51" t="s">
        <v>2</v>
      </c>
      <c r="C143" s="51" t="s">
        <v>2</v>
      </c>
      <c r="D143" s="24"/>
      <c r="E143" s="25"/>
      <c r="F143" s="25"/>
      <c r="G143" s="25"/>
      <c r="H143" s="25"/>
      <c r="I143" s="25"/>
      <c r="J143" s="53"/>
      <c r="K143" s="53"/>
      <c r="L143" s="53"/>
      <c r="M143" s="53"/>
      <c r="N143" s="53"/>
      <c r="O143" s="53"/>
      <c r="P143" s="53"/>
      <c r="Q143" s="57"/>
      <c r="R143" s="53"/>
      <c r="S143" s="53"/>
      <c r="T143" s="53"/>
      <c r="U143" s="53"/>
      <c r="V143" s="53"/>
    </row>
    <row r="144" spans="1:22" s="9" customFormat="1" ht="22.5" customHeight="1" x14ac:dyDescent="0.2">
      <c r="A144" s="48"/>
      <c r="B144" s="51" t="s">
        <v>3</v>
      </c>
      <c r="C144" s="51" t="s">
        <v>3</v>
      </c>
      <c r="D144" s="24"/>
      <c r="E144" s="25"/>
      <c r="F144" s="25"/>
      <c r="G144" s="25"/>
      <c r="H144" s="25"/>
      <c r="I144" s="25"/>
      <c r="J144" s="53"/>
      <c r="K144" s="53"/>
      <c r="L144" s="53"/>
      <c r="M144" s="53"/>
      <c r="N144" s="53"/>
      <c r="O144" s="53"/>
      <c r="P144" s="53"/>
      <c r="Q144" s="57"/>
      <c r="R144" s="53"/>
      <c r="S144" s="53"/>
      <c r="T144" s="53"/>
      <c r="U144" s="53"/>
      <c r="V144" s="53"/>
    </row>
    <row r="145" spans="1:22" s="9" customFormat="1" x14ac:dyDescent="0.2">
      <c r="A145" s="48" t="s">
        <v>393</v>
      </c>
      <c r="B145" s="49" t="s">
        <v>16</v>
      </c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</row>
    <row r="146" spans="1:22" s="9" customFormat="1" ht="12.75" customHeight="1" x14ac:dyDescent="0.2">
      <c r="A146" s="48"/>
      <c r="B146" s="52" t="s">
        <v>448</v>
      </c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</row>
    <row r="147" spans="1:22" s="9" customFormat="1" ht="60" customHeight="1" x14ac:dyDescent="0.2">
      <c r="A147" s="48"/>
      <c r="B147" s="50" t="s">
        <v>390</v>
      </c>
      <c r="C147" s="50"/>
      <c r="D147" s="50"/>
      <c r="E147" s="50"/>
      <c r="F147" s="50"/>
      <c r="G147" s="50"/>
      <c r="H147" s="50"/>
      <c r="I147" s="50"/>
      <c r="J147" s="53" t="s">
        <v>394</v>
      </c>
      <c r="K147" s="53" t="s">
        <v>60</v>
      </c>
      <c r="L147" s="53" t="s">
        <v>70</v>
      </c>
      <c r="M147" s="53" t="s">
        <v>391</v>
      </c>
      <c r="N147" s="53" t="s">
        <v>103</v>
      </c>
      <c r="O147" s="53" t="s">
        <v>237</v>
      </c>
      <c r="P147" s="53" t="s">
        <v>103</v>
      </c>
      <c r="Q147" s="57" t="s">
        <v>392</v>
      </c>
      <c r="R147" s="53" t="s">
        <v>11</v>
      </c>
      <c r="S147" s="53" t="s">
        <v>166</v>
      </c>
      <c r="T147" s="53" t="s">
        <v>388</v>
      </c>
      <c r="U147" s="53"/>
      <c r="V147" s="53"/>
    </row>
    <row r="148" spans="1:22" s="9" customFormat="1" x14ac:dyDescent="0.2">
      <c r="A148" s="48"/>
      <c r="B148" s="51" t="s">
        <v>5</v>
      </c>
      <c r="C148" s="51" t="s">
        <v>5</v>
      </c>
      <c r="D148" s="24">
        <f>SUM(E148:H148)</f>
        <v>1989.7480000000014</v>
      </c>
      <c r="E148" s="25">
        <f>SUM(E149:E152)</f>
        <v>1989.7480000000014</v>
      </c>
      <c r="F148" s="25"/>
      <c r="G148" s="25"/>
      <c r="H148" s="25"/>
      <c r="I148" s="25"/>
      <c r="J148" s="53"/>
      <c r="K148" s="53"/>
      <c r="L148" s="53"/>
      <c r="M148" s="53"/>
      <c r="N148" s="53"/>
      <c r="O148" s="53"/>
      <c r="P148" s="53"/>
      <c r="Q148" s="57"/>
      <c r="R148" s="53"/>
      <c r="S148" s="53"/>
      <c r="T148" s="53"/>
      <c r="U148" s="53"/>
      <c r="V148" s="53"/>
    </row>
    <row r="149" spans="1:22" s="9" customFormat="1" x14ac:dyDescent="0.2">
      <c r="A149" s="48"/>
      <c r="B149" s="51" t="s">
        <v>0</v>
      </c>
      <c r="C149" s="51" t="s">
        <v>0</v>
      </c>
      <c r="D149" s="24"/>
      <c r="E149" s="25"/>
      <c r="F149" s="25"/>
      <c r="G149" s="25"/>
      <c r="H149" s="25"/>
      <c r="I149" s="25"/>
      <c r="J149" s="53"/>
      <c r="K149" s="53"/>
      <c r="L149" s="53"/>
      <c r="M149" s="53"/>
      <c r="N149" s="53"/>
      <c r="O149" s="53"/>
      <c r="P149" s="53"/>
      <c r="Q149" s="57"/>
      <c r="R149" s="53"/>
      <c r="S149" s="53"/>
      <c r="T149" s="53"/>
      <c r="U149" s="53"/>
      <c r="V149" s="53"/>
    </row>
    <row r="150" spans="1:22" s="9" customFormat="1" x14ac:dyDescent="0.2">
      <c r="A150" s="48"/>
      <c r="B150" s="51" t="s">
        <v>1</v>
      </c>
      <c r="C150" s="51" t="s">
        <v>1</v>
      </c>
      <c r="D150" s="24">
        <f>SUM(E150:H150)</f>
        <v>1989.7480000000014</v>
      </c>
      <c r="E150" s="25">
        <f>17157.561+500-15667.813</f>
        <v>1989.7480000000014</v>
      </c>
      <c r="F150" s="25"/>
      <c r="G150" s="25"/>
      <c r="H150" s="25"/>
      <c r="I150" s="25"/>
      <c r="J150" s="53"/>
      <c r="K150" s="53"/>
      <c r="L150" s="53"/>
      <c r="M150" s="53"/>
      <c r="N150" s="53"/>
      <c r="O150" s="53"/>
      <c r="P150" s="53"/>
      <c r="Q150" s="57"/>
      <c r="R150" s="53"/>
      <c r="S150" s="53"/>
      <c r="T150" s="53"/>
      <c r="U150" s="53"/>
      <c r="V150" s="53"/>
    </row>
    <row r="151" spans="1:22" s="9" customFormat="1" x14ac:dyDescent="0.2">
      <c r="A151" s="48"/>
      <c r="B151" s="51" t="s">
        <v>2</v>
      </c>
      <c r="C151" s="51" t="s">
        <v>2</v>
      </c>
      <c r="D151" s="24"/>
      <c r="E151" s="25"/>
      <c r="F151" s="25"/>
      <c r="G151" s="25"/>
      <c r="H151" s="25"/>
      <c r="I151" s="25"/>
      <c r="J151" s="53"/>
      <c r="K151" s="53"/>
      <c r="L151" s="53"/>
      <c r="M151" s="53"/>
      <c r="N151" s="53"/>
      <c r="O151" s="53"/>
      <c r="P151" s="53"/>
      <c r="Q151" s="57"/>
      <c r="R151" s="53"/>
      <c r="S151" s="53"/>
      <c r="T151" s="53"/>
      <c r="U151" s="53"/>
      <c r="V151" s="53"/>
    </row>
    <row r="152" spans="1:22" s="9" customFormat="1" ht="22.5" customHeight="1" x14ac:dyDescent="0.2">
      <c r="A152" s="48"/>
      <c r="B152" s="51" t="s">
        <v>3</v>
      </c>
      <c r="C152" s="51" t="s">
        <v>3</v>
      </c>
      <c r="D152" s="24"/>
      <c r="E152" s="25"/>
      <c r="F152" s="25"/>
      <c r="G152" s="25"/>
      <c r="H152" s="25"/>
      <c r="I152" s="25"/>
      <c r="J152" s="53"/>
      <c r="K152" s="53"/>
      <c r="L152" s="53"/>
      <c r="M152" s="53"/>
      <c r="N152" s="53"/>
      <c r="O152" s="53"/>
      <c r="P152" s="53"/>
      <c r="Q152" s="57"/>
      <c r="R152" s="53"/>
      <c r="S152" s="53"/>
      <c r="T152" s="53"/>
      <c r="U152" s="53"/>
      <c r="V152" s="53"/>
    </row>
    <row r="153" spans="1:22" s="9" customFormat="1" ht="12.75" customHeight="1" x14ac:dyDescent="0.2">
      <c r="A153" s="48" t="s">
        <v>396</v>
      </c>
      <c r="B153" s="49" t="s">
        <v>237</v>
      </c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</row>
    <row r="154" spans="1:22" s="9" customFormat="1" ht="12.75" customHeight="1" x14ac:dyDescent="0.2">
      <c r="A154" s="48"/>
      <c r="B154" s="52" t="s">
        <v>475</v>
      </c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</row>
    <row r="155" spans="1:22" s="9" customFormat="1" ht="62.25" customHeight="1" x14ac:dyDescent="0.2">
      <c r="A155" s="48"/>
      <c r="B155" s="50" t="s">
        <v>470</v>
      </c>
      <c r="C155" s="50" t="s">
        <v>470</v>
      </c>
      <c r="D155" s="50"/>
      <c r="E155" s="50"/>
      <c r="F155" s="50"/>
      <c r="G155" s="50"/>
      <c r="H155" s="50"/>
      <c r="I155" s="50"/>
      <c r="J155" s="53" t="s">
        <v>60</v>
      </c>
      <c r="K155" s="53"/>
      <c r="L155" s="53" t="s">
        <v>549</v>
      </c>
      <c r="M155" s="53" t="s">
        <v>468</v>
      </c>
      <c r="N155" s="53" t="s">
        <v>472</v>
      </c>
      <c r="O155" s="53" t="s">
        <v>237</v>
      </c>
      <c r="P155" s="53" t="s">
        <v>472</v>
      </c>
      <c r="Q155" s="57"/>
      <c r="R155" s="53" t="s">
        <v>11</v>
      </c>
      <c r="S155" s="53" t="s">
        <v>14</v>
      </c>
      <c r="T155" s="53" t="s">
        <v>18</v>
      </c>
      <c r="U155" s="53"/>
      <c r="V155" s="53" t="s">
        <v>639</v>
      </c>
    </row>
    <row r="156" spans="1:22" s="9" customFormat="1" x14ac:dyDescent="0.2">
      <c r="A156" s="48"/>
      <c r="B156" s="51" t="s">
        <v>5</v>
      </c>
      <c r="C156" s="51" t="s">
        <v>5</v>
      </c>
      <c r="D156" s="24">
        <f t="shared" ref="D156" si="14">SUM(D157:D160)</f>
        <v>9750.1200000000008</v>
      </c>
      <c r="E156" s="25">
        <f>SUM(E157:E159)</f>
        <v>9750.1200000000008</v>
      </c>
      <c r="F156" s="25"/>
      <c r="G156" s="25"/>
      <c r="H156" s="25"/>
      <c r="I156" s="25"/>
      <c r="J156" s="53"/>
      <c r="K156" s="53"/>
      <c r="L156" s="53"/>
      <c r="M156" s="53"/>
      <c r="N156" s="53"/>
      <c r="O156" s="53"/>
      <c r="P156" s="53"/>
      <c r="Q156" s="57"/>
      <c r="R156" s="53"/>
      <c r="S156" s="53"/>
      <c r="T156" s="53"/>
      <c r="U156" s="53"/>
      <c r="V156" s="53"/>
    </row>
    <row r="157" spans="1:22" s="9" customFormat="1" x14ac:dyDescent="0.2">
      <c r="A157" s="48"/>
      <c r="B157" s="51" t="s">
        <v>0</v>
      </c>
      <c r="C157" s="51" t="s">
        <v>0</v>
      </c>
      <c r="D157" s="24"/>
      <c r="E157" s="25"/>
      <c r="F157" s="25"/>
      <c r="G157" s="25"/>
      <c r="H157" s="25"/>
      <c r="I157" s="25"/>
      <c r="J157" s="53"/>
      <c r="K157" s="53"/>
      <c r="L157" s="53"/>
      <c r="M157" s="53"/>
      <c r="N157" s="53"/>
      <c r="O157" s="53"/>
      <c r="P157" s="53"/>
      <c r="Q157" s="57"/>
      <c r="R157" s="53"/>
      <c r="S157" s="53"/>
      <c r="T157" s="53"/>
      <c r="U157" s="53"/>
      <c r="V157" s="53"/>
    </row>
    <row r="158" spans="1:22" s="9" customFormat="1" x14ac:dyDescent="0.2">
      <c r="A158" s="48"/>
      <c r="B158" s="51" t="s">
        <v>1</v>
      </c>
      <c r="C158" s="51" t="s">
        <v>1</v>
      </c>
      <c r="D158" s="24">
        <f>SUM(E158:H158)</f>
        <v>9750.1200000000008</v>
      </c>
      <c r="E158" s="25">
        <f>8961.387+788.733</f>
        <v>9750.1200000000008</v>
      </c>
      <c r="F158" s="25"/>
      <c r="G158" s="25"/>
      <c r="H158" s="25"/>
      <c r="I158" s="25"/>
      <c r="J158" s="53"/>
      <c r="K158" s="53"/>
      <c r="L158" s="53"/>
      <c r="M158" s="53"/>
      <c r="N158" s="53"/>
      <c r="O158" s="53"/>
      <c r="P158" s="53"/>
      <c r="Q158" s="57"/>
      <c r="R158" s="53"/>
      <c r="S158" s="53"/>
      <c r="T158" s="53"/>
      <c r="U158" s="53"/>
      <c r="V158" s="53"/>
    </row>
    <row r="159" spans="1:22" s="9" customFormat="1" x14ac:dyDescent="0.2">
      <c r="A159" s="48"/>
      <c r="B159" s="51" t="s">
        <v>2</v>
      </c>
      <c r="C159" s="51" t="s">
        <v>2</v>
      </c>
      <c r="D159" s="24"/>
      <c r="E159" s="25"/>
      <c r="F159" s="25"/>
      <c r="G159" s="25"/>
      <c r="H159" s="25"/>
      <c r="I159" s="25"/>
      <c r="J159" s="53"/>
      <c r="K159" s="53"/>
      <c r="L159" s="53"/>
      <c r="M159" s="53"/>
      <c r="N159" s="53"/>
      <c r="O159" s="53"/>
      <c r="P159" s="53"/>
      <c r="Q159" s="57"/>
      <c r="R159" s="53"/>
      <c r="S159" s="53"/>
      <c r="T159" s="53"/>
      <c r="U159" s="53"/>
      <c r="V159" s="53"/>
    </row>
    <row r="160" spans="1:22" s="9" customFormat="1" ht="21" customHeight="1" x14ac:dyDescent="0.2">
      <c r="A160" s="48"/>
      <c r="B160" s="51" t="s">
        <v>3</v>
      </c>
      <c r="C160" s="51" t="s">
        <v>3</v>
      </c>
      <c r="D160" s="24"/>
      <c r="E160" s="25"/>
      <c r="F160" s="25"/>
      <c r="G160" s="25"/>
      <c r="H160" s="25"/>
      <c r="I160" s="25"/>
      <c r="J160" s="53"/>
      <c r="K160" s="53"/>
      <c r="L160" s="53"/>
      <c r="M160" s="53"/>
      <c r="N160" s="53"/>
      <c r="O160" s="53"/>
      <c r="P160" s="53"/>
      <c r="Q160" s="57"/>
      <c r="R160" s="53"/>
      <c r="S160" s="53"/>
      <c r="T160" s="53"/>
      <c r="U160" s="53"/>
      <c r="V160" s="53"/>
    </row>
    <row r="161" spans="1:22" s="9" customFormat="1" ht="12.75" customHeight="1" x14ac:dyDescent="0.2">
      <c r="A161" s="60" t="s">
        <v>466</v>
      </c>
      <c r="B161" s="49" t="s">
        <v>237</v>
      </c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</row>
    <row r="162" spans="1:22" s="9" customFormat="1" ht="12.75" customHeight="1" x14ac:dyDescent="0.2">
      <c r="A162" s="61"/>
      <c r="B162" s="52" t="s">
        <v>475</v>
      </c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</row>
    <row r="163" spans="1:22" s="9" customFormat="1" ht="60" customHeight="1" x14ac:dyDescent="0.2">
      <c r="A163" s="61"/>
      <c r="B163" s="50" t="s">
        <v>471</v>
      </c>
      <c r="C163" s="50" t="s">
        <v>471</v>
      </c>
      <c r="D163" s="50"/>
      <c r="E163" s="50"/>
      <c r="F163" s="50"/>
      <c r="G163" s="50"/>
      <c r="H163" s="50"/>
      <c r="I163" s="50"/>
      <c r="J163" s="53" t="s">
        <v>60</v>
      </c>
      <c r="K163" s="53"/>
      <c r="L163" s="53" t="s">
        <v>549</v>
      </c>
      <c r="M163" s="53" t="s">
        <v>469</v>
      </c>
      <c r="N163" s="53" t="s">
        <v>473</v>
      </c>
      <c r="O163" s="53" t="s">
        <v>237</v>
      </c>
      <c r="P163" s="53" t="s">
        <v>472</v>
      </c>
      <c r="Q163" s="57"/>
      <c r="R163" s="53" t="s">
        <v>11</v>
      </c>
      <c r="S163" s="53" t="s">
        <v>474</v>
      </c>
      <c r="T163" s="53" t="s">
        <v>18</v>
      </c>
      <c r="U163" s="53"/>
      <c r="V163" s="53" t="s">
        <v>640</v>
      </c>
    </row>
    <row r="164" spans="1:22" s="9" customFormat="1" x14ac:dyDescent="0.2">
      <c r="A164" s="61"/>
      <c r="B164" s="51" t="s">
        <v>5</v>
      </c>
      <c r="C164" s="51" t="s">
        <v>5</v>
      </c>
      <c r="D164" s="24">
        <f t="shared" ref="D164" si="15">SUM(D165:D168)</f>
        <v>12572.94</v>
      </c>
      <c r="E164" s="25">
        <f>SUM(E165:E167)</f>
        <v>12572.94</v>
      </c>
      <c r="F164" s="25"/>
      <c r="G164" s="25"/>
      <c r="H164" s="25"/>
      <c r="I164" s="25"/>
      <c r="J164" s="53"/>
      <c r="K164" s="53"/>
      <c r="L164" s="53"/>
      <c r="M164" s="53"/>
      <c r="N164" s="53"/>
      <c r="O164" s="53"/>
      <c r="P164" s="53"/>
      <c r="Q164" s="57"/>
      <c r="R164" s="53"/>
      <c r="S164" s="53"/>
      <c r="T164" s="53"/>
      <c r="U164" s="53"/>
      <c r="V164" s="53"/>
    </row>
    <row r="165" spans="1:22" s="9" customFormat="1" x14ac:dyDescent="0.2">
      <c r="A165" s="61"/>
      <c r="B165" s="51" t="s">
        <v>0</v>
      </c>
      <c r="C165" s="51" t="s">
        <v>0</v>
      </c>
      <c r="D165" s="24"/>
      <c r="E165" s="25"/>
      <c r="F165" s="25"/>
      <c r="G165" s="25"/>
      <c r="H165" s="25"/>
      <c r="I165" s="25"/>
      <c r="J165" s="53"/>
      <c r="K165" s="53"/>
      <c r="L165" s="53"/>
      <c r="M165" s="53"/>
      <c r="N165" s="53"/>
      <c r="O165" s="53"/>
      <c r="P165" s="53"/>
      <c r="Q165" s="57"/>
      <c r="R165" s="53"/>
      <c r="S165" s="53"/>
      <c r="T165" s="53"/>
      <c r="U165" s="53"/>
      <c r="V165" s="53"/>
    </row>
    <row r="166" spans="1:22" s="9" customFormat="1" x14ac:dyDescent="0.2">
      <c r="A166" s="61"/>
      <c r="B166" s="51" t="s">
        <v>1</v>
      </c>
      <c r="C166" s="51" t="s">
        <v>1</v>
      </c>
      <c r="D166" s="24">
        <f>SUM(E166:H166)</f>
        <v>12572.94</v>
      </c>
      <c r="E166" s="25">
        <f>11555.92+1017.02</f>
        <v>12572.94</v>
      </c>
      <c r="F166" s="25"/>
      <c r="G166" s="25"/>
      <c r="H166" s="25"/>
      <c r="I166" s="25"/>
      <c r="J166" s="53"/>
      <c r="K166" s="53"/>
      <c r="L166" s="53"/>
      <c r="M166" s="53"/>
      <c r="N166" s="53"/>
      <c r="O166" s="53"/>
      <c r="P166" s="53"/>
      <c r="Q166" s="57"/>
      <c r="R166" s="53"/>
      <c r="S166" s="53"/>
      <c r="T166" s="53"/>
      <c r="U166" s="53"/>
      <c r="V166" s="53"/>
    </row>
    <row r="167" spans="1:22" s="9" customFormat="1" x14ac:dyDescent="0.2">
      <c r="A167" s="61"/>
      <c r="B167" s="51" t="s">
        <v>2</v>
      </c>
      <c r="C167" s="51" t="s">
        <v>2</v>
      </c>
      <c r="D167" s="24"/>
      <c r="E167" s="25"/>
      <c r="F167" s="25"/>
      <c r="G167" s="25"/>
      <c r="H167" s="25"/>
      <c r="I167" s="25"/>
      <c r="J167" s="53"/>
      <c r="K167" s="53"/>
      <c r="L167" s="53"/>
      <c r="M167" s="53"/>
      <c r="N167" s="53"/>
      <c r="O167" s="53"/>
      <c r="P167" s="53"/>
      <c r="Q167" s="57"/>
      <c r="R167" s="53"/>
      <c r="S167" s="53"/>
      <c r="T167" s="53"/>
      <c r="U167" s="53"/>
      <c r="V167" s="53"/>
    </row>
    <row r="168" spans="1:22" s="9" customFormat="1" ht="21.75" customHeight="1" x14ac:dyDescent="0.2">
      <c r="A168" s="62"/>
      <c r="B168" s="51" t="s">
        <v>3</v>
      </c>
      <c r="C168" s="51" t="s">
        <v>3</v>
      </c>
      <c r="D168" s="24"/>
      <c r="E168" s="25"/>
      <c r="F168" s="25"/>
      <c r="G168" s="25"/>
      <c r="H168" s="25"/>
      <c r="I168" s="25"/>
      <c r="J168" s="53"/>
      <c r="K168" s="53"/>
      <c r="L168" s="53"/>
      <c r="M168" s="53"/>
      <c r="N168" s="53"/>
      <c r="O168" s="53"/>
      <c r="P168" s="53"/>
      <c r="Q168" s="57"/>
      <c r="R168" s="53"/>
      <c r="S168" s="53"/>
      <c r="T168" s="53"/>
      <c r="U168" s="53"/>
      <c r="V168" s="53"/>
    </row>
    <row r="169" spans="1:22" ht="12.75" customHeight="1" x14ac:dyDescent="0.2">
      <c r="A169" s="60" t="s">
        <v>467</v>
      </c>
      <c r="B169" s="49" t="s">
        <v>237</v>
      </c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</row>
    <row r="170" spans="1:22" s="9" customFormat="1" ht="12.75" customHeight="1" x14ac:dyDescent="0.2">
      <c r="A170" s="61"/>
      <c r="B170" s="52" t="s">
        <v>448</v>
      </c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</row>
    <row r="171" spans="1:22" s="9" customFormat="1" ht="58.5" customHeight="1" x14ac:dyDescent="0.2">
      <c r="A171" s="61"/>
      <c r="B171" s="50" t="s">
        <v>517</v>
      </c>
      <c r="C171" s="50" t="s">
        <v>517</v>
      </c>
      <c r="D171" s="50"/>
      <c r="E171" s="50"/>
      <c r="F171" s="50"/>
      <c r="G171" s="50"/>
      <c r="H171" s="50"/>
      <c r="I171" s="50"/>
      <c r="J171" s="53">
        <v>2019</v>
      </c>
      <c r="K171" s="53"/>
      <c r="L171" s="53" t="s">
        <v>72</v>
      </c>
      <c r="M171" s="53" t="s">
        <v>518</v>
      </c>
      <c r="N171" s="53" t="s">
        <v>519</v>
      </c>
      <c r="O171" s="53" t="s">
        <v>237</v>
      </c>
      <c r="P171" s="53" t="s">
        <v>519</v>
      </c>
      <c r="Q171" s="57">
        <v>340825.97976000002</v>
      </c>
      <c r="R171" s="53" t="s">
        <v>9</v>
      </c>
      <c r="S171" s="53" t="s">
        <v>10</v>
      </c>
      <c r="T171" s="53" t="s">
        <v>7</v>
      </c>
      <c r="U171" s="53"/>
      <c r="V171" s="53" t="s">
        <v>641</v>
      </c>
    </row>
    <row r="172" spans="1:22" s="9" customFormat="1" x14ac:dyDescent="0.2">
      <c r="A172" s="61"/>
      <c r="B172" s="51" t="s">
        <v>5</v>
      </c>
      <c r="C172" s="51" t="s">
        <v>5</v>
      </c>
      <c r="D172" s="24">
        <f>SUM(D173:D176)</f>
        <v>314845.12579999998</v>
      </c>
      <c r="E172" s="25">
        <f>SUM(E173:E176)</f>
        <v>117795.21053</v>
      </c>
      <c r="F172" s="25">
        <f>SUM(F173:F176)</f>
        <v>197049.91527</v>
      </c>
      <c r="G172" s="25"/>
      <c r="H172" s="25"/>
      <c r="I172" s="25"/>
      <c r="J172" s="53"/>
      <c r="K172" s="53"/>
      <c r="L172" s="53"/>
      <c r="M172" s="53"/>
      <c r="N172" s="53"/>
      <c r="O172" s="53"/>
      <c r="P172" s="53"/>
      <c r="Q172" s="57"/>
      <c r="R172" s="53"/>
      <c r="S172" s="53"/>
      <c r="T172" s="53"/>
      <c r="U172" s="53"/>
      <c r="V172" s="53"/>
    </row>
    <row r="173" spans="1:22" s="9" customFormat="1" x14ac:dyDescent="0.2">
      <c r="A173" s="61"/>
      <c r="B173" s="51" t="s">
        <v>0</v>
      </c>
      <c r="C173" s="51" t="s">
        <v>0</v>
      </c>
      <c r="D173" s="24">
        <f>E173+F173+G173+H173+I173</f>
        <v>223927.27</v>
      </c>
      <c r="E173" s="25">
        <f>109419.52+2485.93</f>
        <v>111905.45</v>
      </c>
      <c r="F173" s="25">
        <f>109431.67+2590.15</f>
        <v>112021.81999999999</v>
      </c>
      <c r="G173" s="25"/>
      <c r="H173" s="25"/>
      <c r="I173" s="25"/>
      <c r="J173" s="53"/>
      <c r="K173" s="53"/>
      <c r="L173" s="53"/>
      <c r="M173" s="53"/>
      <c r="N173" s="53"/>
      <c r="O173" s="53"/>
      <c r="P173" s="53"/>
      <c r="Q173" s="57"/>
      <c r="R173" s="53"/>
      <c r="S173" s="53"/>
      <c r="T173" s="53"/>
      <c r="U173" s="53"/>
      <c r="V173" s="53"/>
    </row>
    <row r="174" spans="1:22" s="9" customFormat="1" x14ac:dyDescent="0.2">
      <c r="A174" s="61"/>
      <c r="B174" s="51" t="s">
        <v>1</v>
      </c>
      <c r="C174" s="51" t="s">
        <v>1</v>
      </c>
      <c r="D174" s="24">
        <f>E174+F174+G174+H174+I174</f>
        <v>90917.855800000005</v>
      </c>
      <c r="E174" s="25">
        <f>0+5897.2-7.43947</f>
        <v>5889.7605299999996</v>
      </c>
      <c r="F174" s="25">
        <f>0+5897.2+79132.21-0.31473-1</f>
        <v>85028.095270000005</v>
      </c>
      <c r="G174" s="25"/>
      <c r="H174" s="25"/>
      <c r="I174" s="25"/>
      <c r="J174" s="53"/>
      <c r="K174" s="53"/>
      <c r="L174" s="53"/>
      <c r="M174" s="53"/>
      <c r="N174" s="53"/>
      <c r="O174" s="53"/>
      <c r="P174" s="53"/>
      <c r="Q174" s="57"/>
      <c r="R174" s="53"/>
      <c r="S174" s="53"/>
      <c r="T174" s="53"/>
      <c r="U174" s="53"/>
      <c r="V174" s="53"/>
    </row>
    <row r="175" spans="1:22" s="9" customFormat="1" x14ac:dyDescent="0.2">
      <c r="A175" s="61"/>
      <c r="B175" s="51" t="s">
        <v>2</v>
      </c>
      <c r="C175" s="51" t="s">
        <v>2</v>
      </c>
      <c r="D175" s="24">
        <f>E175+F175+G175+H175+I175</f>
        <v>0</v>
      </c>
      <c r="E175" s="25"/>
      <c r="F175" s="25"/>
      <c r="G175" s="25"/>
      <c r="H175" s="25"/>
      <c r="I175" s="25"/>
      <c r="J175" s="53"/>
      <c r="K175" s="53"/>
      <c r="L175" s="53"/>
      <c r="M175" s="53"/>
      <c r="N175" s="53"/>
      <c r="O175" s="53"/>
      <c r="P175" s="53"/>
      <c r="Q175" s="57"/>
      <c r="R175" s="53"/>
      <c r="S175" s="53"/>
      <c r="T175" s="53"/>
      <c r="U175" s="53"/>
      <c r="V175" s="53"/>
    </row>
    <row r="176" spans="1:22" s="9" customFormat="1" ht="22.5" customHeight="1" x14ac:dyDescent="0.2">
      <c r="A176" s="62"/>
      <c r="B176" s="51" t="s">
        <v>3</v>
      </c>
      <c r="C176" s="51" t="s">
        <v>3</v>
      </c>
      <c r="D176" s="24">
        <f>E176+F176+G176+H176+I176</f>
        <v>0</v>
      </c>
      <c r="E176" s="25"/>
      <c r="F176" s="25"/>
      <c r="G176" s="25"/>
      <c r="H176" s="25"/>
      <c r="I176" s="25"/>
      <c r="J176" s="53"/>
      <c r="K176" s="53"/>
      <c r="L176" s="53"/>
      <c r="M176" s="53"/>
      <c r="N176" s="53"/>
      <c r="O176" s="53"/>
      <c r="P176" s="53"/>
      <c r="Q176" s="57"/>
      <c r="R176" s="53"/>
      <c r="S176" s="53"/>
      <c r="T176" s="53"/>
      <c r="U176" s="53"/>
      <c r="V176" s="53"/>
    </row>
    <row r="177" spans="1:22" s="9" customFormat="1" ht="12.75" customHeight="1" x14ac:dyDescent="0.2">
      <c r="A177" s="60" t="s">
        <v>520</v>
      </c>
      <c r="B177" s="49" t="s">
        <v>237</v>
      </c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</row>
    <row r="178" spans="1:22" s="9" customFormat="1" ht="12.75" customHeight="1" x14ac:dyDescent="0.2">
      <c r="A178" s="61"/>
      <c r="B178" s="52" t="s">
        <v>448</v>
      </c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</row>
    <row r="179" spans="1:22" s="9" customFormat="1" ht="58.5" customHeight="1" x14ac:dyDescent="0.2">
      <c r="A179" s="61"/>
      <c r="B179" s="50" t="s">
        <v>541</v>
      </c>
      <c r="C179" s="50" t="s">
        <v>541</v>
      </c>
      <c r="D179" s="50"/>
      <c r="E179" s="50"/>
      <c r="F179" s="50"/>
      <c r="G179" s="50"/>
      <c r="H179" s="50"/>
      <c r="I179" s="50"/>
      <c r="J179" s="53">
        <v>2018</v>
      </c>
      <c r="K179" s="53"/>
      <c r="L179" s="53" t="s">
        <v>72</v>
      </c>
      <c r="M179" s="53" t="s">
        <v>522</v>
      </c>
      <c r="N179" s="53" t="s">
        <v>237</v>
      </c>
      <c r="O179" s="53" t="s">
        <v>237</v>
      </c>
      <c r="P179" s="53" t="s">
        <v>523</v>
      </c>
      <c r="Q179" s="57">
        <v>64560.63</v>
      </c>
      <c r="R179" s="53" t="s">
        <v>9</v>
      </c>
      <c r="S179" s="53" t="s">
        <v>524</v>
      </c>
      <c r="T179" s="53" t="s">
        <v>18</v>
      </c>
      <c r="U179" s="53"/>
      <c r="V179" s="53"/>
    </row>
    <row r="180" spans="1:22" s="9" customFormat="1" x14ac:dyDescent="0.2">
      <c r="A180" s="61"/>
      <c r="B180" s="51" t="s">
        <v>5</v>
      </c>
      <c r="C180" s="51" t="s">
        <v>5</v>
      </c>
      <c r="D180" s="24">
        <f>SUM(D181:D184)</f>
        <v>64561.02105000001</v>
      </c>
      <c r="E180" s="25">
        <f>SUM(E181:E184)</f>
        <v>31917.631580000001</v>
      </c>
      <c r="F180" s="25">
        <f>SUM(F181:F184)</f>
        <v>32643.389470000009</v>
      </c>
      <c r="G180" s="25"/>
      <c r="H180" s="25"/>
      <c r="I180" s="25"/>
      <c r="J180" s="53"/>
      <c r="K180" s="53"/>
      <c r="L180" s="53"/>
      <c r="M180" s="53"/>
      <c r="N180" s="53"/>
      <c r="O180" s="53"/>
      <c r="P180" s="53"/>
      <c r="Q180" s="57"/>
      <c r="R180" s="53"/>
      <c r="S180" s="53"/>
      <c r="T180" s="53"/>
      <c r="U180" s="53"/>
      <c r="V180" s="53"/>
    </row>
    <row r="181" spans="1:22" s="9" customFormat="1" x14ac:dyDescent="0.2">
      <c r="A181" s="61"/>
      <c r="B181" s="51" t="s">
        <v>0</v>
      </c>
      <c r="C181" s="51" t="s">
        <v>0</v>
      </c>
      <c r="D181" s="24">
        <f>E181+F181+G181+H181+I181</f>
        <v>61332.970000000008</v>
      </c>
      <c r="E181" s="25">
        <f>48371.75-18050</f>
        <v>30321.75</v>
      </c>
      <c r="F181" s="25">
        <f>82310.85-51299.63</f>
        <v>31011.220000000008</v>
      </c>
      <c r="G181" s="25"/>
      <c r="H181" s="25"/>
      <c r="I181" s="25"/>
      <c r="J181" s="53"/>
      <c r="K181" s="53"/>
      <c r="L181" s="53"/>
      <c r="M181" s="53"/>
      <c r="N181" s="53"/>
      <c r="O181" s="53"/>
      <c r="P181" s="53"/>
      <c r="Q181" s="57"/>
      <c r="R181" s="53"/>
      <c r="S181" s="53"/>
      <c r="T181" s="53"/>
      <c r="U181" s="53"/>
      <c r="V181" s="53"/>
    </row>
    <row r="182" spans="1:22" s="9" customFormat="1" x14ac:dyDescent="0.2">
      <c r="A182" s="61"/>
      <c r="B182" s="51" t="s">
        <v>1</v>
      </c>
      <c r="C182" s="51" t="s">
        <v>1</v>
      </c>
      <c r="D182" s="24">
        <f>E182+F182+G182+H182+I182</f>
        <v>3228.05105</v>
      </c>
      <c r="E182" s="25">
        <f>0+1595.89-0.00842</f>
        <v>1595.8815800000002</v>
      </c>
      <c r="F182" s="25">
        <f>0+1632.17-0.00053</f>
        <v>1632.16947</v>
      </c>
      <c r="G182" s="25"/>
      <c r="H182" s="25"/>
      <c r="I182" s="25"/>
      <c r="J182" s="53"/>
      <c r="K182" s="53"/>
      <c r="L182" s="53"/>
      <c r="M182" s="53"/>
      <c r="N182" s="53"/>
      <c r="O182" s="53"/>
      <c r="P182" s="53"/>
      <c r="Q182" s="57"/>
      <c r="R182" s="53"/>
      <c r="S182" s="53"/>
      <c r="T182" s="53"/>
      <c r="U182" s="53"/>
      <c r="V182" s="53"/>
    </row>
    <row r="183" spans="1:22" s="9" customFormat="1" x14ac:dyDescent="0.2">
      <c r="A183" s="61"/>
      <c r="B183" s="51" t="s">
        <v>2</v>
      </c>
      <c r="C183" s="51" t="s">
        <v>2</v>
      </c>
      <c r="D183" s="24">
        <f>E183+F183+G183+H183+I183</f>
        <v>0</v>
      </c>
      <c r="E183" s="25"/>
      <c r="F183" s="25"/>
      <c r="G183" s="25"/>
      <c r="H183" s="25"/>
      <c r="I183" s="25"/>
      <c r="J183" s="53"/>
      <c r="K183" s="53"/>
      <c r="L183" s="53"/>
      <c r="M183" s="53"/>
      <c r="N183" s="53"/>
      <c r="O183" s="53"/>
      <c r="P183" s="53"/>
      <c r="Q183" s="57"/>
      <c r="R183" s="53"/>
      <c r="S183" s="53"/>
      <c r="T183" s="53"/>
      <c r="U183" s="53"/>
      <c r="V183" s="53"/>
    </row>
    <row r="184" spans="1:22" s="9" customFormat="1" ht="22.5" customHeight="1" x14ac:dyDescent="0.2">
      <c r="A184" s="62"/>
      <c r="B184" s="51" t="s">
        <v>3</v>
      </c>
      <c r="C184" s="51" t="s">
        <v>3</v>
      </c>
      <c r="D184" s="24">
        <f>E184+F184+G184+H184+I184</f>
        <v>0</v>
      </c>
      <c r="E184" s="25"/>
      <c r="F184" s="25"/>
      <c r="G184" s="25"/>
      <c r="H184" s="25"/>
      <c r="I184" s="25"/>
      <c r="J184" s="53"/>
      <c r="K184" s="53"/>
      <c r="L184" s="53"/>
      <c r="M184" s="53"/>
      <c r="N184" s="53"/>
      <c r="O184" s="53"/>
      <c r="P184" s="53"/>
      <c r="Q184" s="57"/>
      <c r="R184" s="53"/>
      <c r="S184" s="53"/>
      <c r="T184" s="53"/>
      <c r="U184" s="53"/>
      <c r="V184" s="53"/>
    </row>
    <row r="185" spans="1:22" s="9" customFormat="1" ht="12.75" customHeight="1" x14ac:dyDescent="0.2">
      <c r="A185" s="60" t="s">
        <v>521</v>
      </c>
      <c r="B185" s="49" t="s">
        <v>237</v>
      </c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</row>
    <row r="186" spans="1:22" s="9" customFormat="1" ht="12.75" customHeight="1" x14ac:dyDescent="0.2">
      <c r="A186" s="61"/>
      <c r="B186" s="52" t="s">
        <v>448</v>
      </c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</row>
    <row r="187" spans="1:22" s="9" customFormat="1" ht="57.75" customHeight="1" x14ac:dyDescent="0.2">
      <c r="A187" s="61"/>
      <c r="B187" s="50" t="s">
        <v>525</v>
      </c>
      <c r="C187" s="50" t="s">
        <v>525</v>
      </c>
      <c r="D187" s="50"/>
      <c r="E187" s="50"/>
      <c r="F187" s="50"/>
      <c r="G187" s="50"/>
      <c r="H187" s="50"/>
      <c r="I187" s="50"/>
      <c r="J187" s="53">
        <v>2019</v>
      </c>
      <c r="K187" s="53"/>
      <c r="L187" s="53" t="s">
        <v>72</v>
      </c>
      <c r="M187" s="53" t="s">
        <v>395</v>
      </c>
      <c r="N187" s="53" t="s">
        <v>237</v>
      </c>
      <c r="O187" s="53" t="s">
        <v>237</v>
      </c>
      <c r="P187" s="53" t="s">
        <v>190</v>
      </c>
      <c r="Q187" s="57">
        <v>90000</v>
      </c>
      <c r="R187" s="53" t="s">
        <v>9</v>
      </c>
      <c r="S187" s="53" t="s">
        <v>10</v>
      </c>
      <c r="T187" s="53" t="s">
        <v>18</v>
      </c>
      <c r="U187" s="53"/>
      <c r="V187" s="53"/>
    </row>
    <row r="188" spans="1:22" s="9" customFormat="1" ht="12.75" customHeight="1" x14ac:dyDescent="0.2">
      <c r="A188" s="61"/>
      <c r="B188" s="51" t="s">
        <v>5</v>
      </c>
      <c r="C188" s="51" t="s">
        <v>5</v>
      </c>
      <c r="D188" s="24">
        <f>SUM(D189:D192)</f>
        <v>90000.589469999992</v>
      </c>
      <c r="E188" s="25"/>
      <c r="F188" s="25">
        <f>SUM(F189:F192)</f>
        <v>90000.589469999992</v>
      </c>
      <c r="G188" s="25"/>
      <c r="H188" s="25"/>
      <c r="I188" s="25"/>
      <c r="J188" s="53"/>
      <c r="K188" s="53"/>
      <c r="L188" s="53"/>
      <c r="M188" s="53"/>
      <c r="N188" s="53"/>
      <c r="O188" s="53"/>
      <c r="P188" s="53"/>
      <c r="Q188" s="57"/>
      <c r="R188" s="53"/>
      <c r="S188" s="53"/>
      <c r="T188" s="53"/>
      <c r="U188" s="53"/>
      <c r="V188" s="53"/>
    </row>
    <row r="189" spans="1:22" s="9" customFormat="1" ht="12.75" customHeight="1" x14ac:dyDescent="0.2">
      <c r="A189" s="61"/>
      <c r="B189" s="51" t="s">
        <v>0</v>
      </c>
      <c r="C189" s="51" t="s">
        <v>0</v>
      </c>
      <c r="D189" s="24">
        <f>E189+F189+G189+H189+I189</f>
        <v>85500.56</v>
      </c>
      <c r="E189" s="25"/>
      <c r="F189" s="25">
        <v>85500.56</v>
      </c>
      <c r="G189" s="25"/>
      <c r="H189" s="25"/>
      <c r="I189" s="25"/>
      <c r="J189" s="53"/>
      <c r="K189" s="53"/>
      <c r="L189" s="53"/>
      <c r="M189" s="53"/>
      <c r="N189" s="53"/>
      <c r="O189" s="53"/>
      <c r="P189" s="53"/>
      <c r="Q189" s="57"/>
      <c r="R189" s="53"/>
      <c r="S189" s="53"/>
      <c r="T189" s="53"/>
      <c r="U189" s="53"/>
      <c r="V189" s="53"/>
    </row>
    <row r="190" spans="1:22" s="9" customFormat="1" ht="12.75" customHeight="1" x14ac:dyDescent="0.2">
      <c r="A190" s="61"/>
      <c r="B190" s="51" t="s">
        <v>1</v>
      </c>
      <c r="C190" s="51" t="s">
        <v>1</v>
      </c>
      <c r="D190" s="24">
        <f>E190+F190+G190+H190+I190</f>
        <v>4500.0294700000004</v>
      </c>
      <c r="E190" s="25"/>
      <c r="F190" s="25">
        <f>0+4500.02947</f>
        <v>4500.0294700000004</v>
      </c>
      <c r="G190" s="25"/>
      <c r="H190" s="25"/>
      <c r="I190" s="25"/>
      <c r="J190" s="53"/>
      <c r="K190" s="53"/>
      <c r="L190" s="53"/>
      <c r="M190" s="53"/>
      <c r="N190" s="53"/>
      <c r="O190" s="53"/>
      <c r="P190" s="53"/>
      <c r="Q190" s="57"/>
      <c r="R190" s="53"/>
      <c r="S190" s="53"/>
      <c r="T190" s="53"/>
      <c r="U190" s="53"/>
      <c r="V190" s="53"/>
    </row>
    <row r="191" spans="1:22" ht="12.75" customHeight="1" x14ac:dyDescent="0.2">
      <c r="A191" s="61"/>
      <c r="B191" s="51" t="s">
        <v>2</v>
      </c>
      <c r="C191" s="51" t="s">
        <v>2</v>
      </c>
      <c r="D191" s="24">
        <f>E191+F191+G191+H191+I191</f>
        <v>0</v>
      </c>
      <c r="E191" s="25"/>
      <c r="F191" s="25"/>
      <c r="G191" s="25"/>
      <c r="H191" s="25"/>
      <c r="I191" s="25"/>
      <c r="J191" s="53"/>
      <c r="K191" s="53"/>
      <c r="L191" s="53"/>
      <c r="M191" s="53"/>
      <c r="N191" s="53"/>
      <c r="O191" s="53"/>
      <c r="P191" s="53"/>
      <c r="Q191" s="57"/>
      <c r="R191" s="53"/>
      <c r="S191" s="53"/>
      <c r="T191" s="53"/>
      <c r="U191" s="53"/>
      <c r="V191" s="53"/>
    </row>
    <row r="192" spans="1:22" ht="22.5" customHeight="1" x14ac:dyDescent="0.2">
      <c r="A192" s="62"/>
      <c r="B192" s="51" t="s">
        <v>3</v>
      </c>
      <c r="C192" s="51" t="s">
        <v>3</v>
      </c>
      <c r="D192" s="24">
        <f>E192+F192+G192+H192+I192</f>
        <v>0</v>
      </c>
      <c r="E192" s="25"/>
      <c r="F192" s="25"/>
      <c r="G192" s="25"/>
      <c r="H192" s="25"/>
      <c r="I192" s="25"/>
      <c r="J192" s="53"/>
      <c r="K192" s="53"/>
      <c r="L192" s="53"/>
      <c r="M192" s="53"/>
      <c r="N192" s="53"/>
      <c r="O192" s="53"/>
      <c r="P192" s="53"/>
      <c r="Q192" s="57"/>
      <c r="R192" s="53"/>
      <c r="S192" s="53"/>
      <c r="T192" s="53"/>
      <c r="U192" s="53"/>
      <c r="V192" s="53"/>
    </row>
    <row r="193" spans="1:22" ht="12.75" customHeight="1" x14ac:dyDescent="0.2">
      <c r="A193" s="54" t="s">
        <v>37</v>
      </c>
      <c r="B193" s="55" t="s">
        <v>119</v>
      </c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</row>
    <row r="194" spans="1:22" ht="12.75" customHeight="1" x14ac:dyDescent="0.2">
      <c r="A194" s="54"/>
      <c r="B194" s="56" t="s">
        <v>5</v>
      </c>
      <c r="C194" s="56"/>
      <c r="D194" s="23">
        <f>SUM(D195:D198)</f>
        <v>794983.32330464653</v>
      </c>
      <c r="E194" s="23">
        <f t="shared" ref="E194:I194" si="16">SUM(E195:E198)</f>
        <v>234031.58830464643</v>
      </c>
      <c r="F194" s="23">
        <f t="shared" si="16"/>
        <v>167073</v>
      </c>
      <c r="G194" s="23">
        <f t="shared" si="16"/>
        <v>217644.73499999999</v>
      </c>
      <c r="H194" s="23">
        <f t="shared" si="16"/>
        <v>176234</v>
      </c>
      <c r="I194" s="23">
        <f t="shared" si="16"/>
        <v>0</v>
      </c>
      <c r="J194" s="12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4"/>
    </row>
    <row r="195" spans="1:22" x14ac:dyDescent="0.2">
      <c r="A195" s="54"/>
      <c r="B195" s="56" t="s">
        <v>0</v>
      </c>
      <c r="C195" s="56"/>
      <c r="D195" s="23">
        <f>E195+F195+G195+H195+I195</f>
        <v>0</v>
      </c>
      <c r="E195" s="23">
        <f>E203+E211+E219</f>
        <v>0</v>
      </c>
      <c r="F195" s="23">
        <f t="shared" ref="F195:I195" si="17">F203+F211+F219</f>
        <v>0</v>
      </c>
      <c r="G195" s="23">
        <f t="shared" si="17"/>
        <v>0</v>
      </c>
      <c r="H195" s="23">
        <f t="shared" si="17"/>
        <v>0</v>
      </c>
      <c r="I195" s="23">
        <f t="shared" si="17"/>
        <v>0</v>
      </c>
      <c r="J195" s="15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7"/>
    </row>
    <row r="196" spans="1:22" ht="12.75" customHeight="1" x14ac:dyDescent="0.2">
      <c r="A196" s="54"/>
      <c r="B196" s="56" t="s">
        <v>1</v>
      </c>
      <c r="C196" s="56"/>
      <c r="D196" s="23">
        <f>E196+F196+G196+H196+I196</f>
        <v>794810.09684000001</v>
      </c>
      <c r="E196" s="23">
        <f t="shared" ref="E196:I196" si="18">E204+E212+E220</f>
        <v>233858.36183999997</v>
      </c>
      <c r="F196" s="23">
        <f t="shared" si="18"/>
        <v>167073</v>
      </c>
      <c r="G196" s="23">
        <f t="shared" si="18"/>
        <v>217644.73499999999</v>
      </c>
      <c r="H196" s="23">
        <f t="shared" si="18"/>
        <v>176234</v>
      </c>
      <c r="I196" s="23">
        <f t="shared" si="18"/>
        <v>0</v>
      </c>
      <c r="J196" s="15"/>
      <c r="K196" s="18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7"/>
    </row>
    <row r="197" spans="1:22" ht="12.75" customHeight="1" x14ac:dyDescent="0.2">
      <c r="A197" s="54"/>
      <c r="B197" s="56" t="s">
        <v>2</v>
      </c>
      <c r="C197" s="56"/>
      <c r="D197" s="23">
        <f>E197+F197+G197+H197+I197</f>
        <v>173.22646464646462</v>
      </c>
      <c r="E197" s="23">
        <f t="shared" ref="E197:I197" si="19">E205+E213+E221</f>
        <v>173.22646464646462</v>
      </c>
      <c r="F197" s="23">
        <f t="shared" si="19"/>
        <v>0</v>
      </c>
      <c r="G197" s="23">
        <f t="shared" si="19"/>
        <v>0</v>
      </c>
      <c r="H197" s="23">
        <f t="shared" si="19"/>
        <v>0</v>
      </c>
      <c r="I197" s="23">
        <f t="shared" si="19"/>
        <v>0</v>
      </c>
      <c r="J197" s="15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7"/>
    </row>
    <row r="198" spans="1:22" s="9" customFormat="1" ht="19.5" customHeight="1" x14ac:dyDescent="0.2">
      <c r="A198" s="54"/>
      <c r="B198" s="56" t="s">
        <v>3</v>
      </c>
      <c r="C198" s="56"/>
      <c r="D198" s="23">
        <f>E198+F198+G198+H198+I198</f>
        <v>0</v>
      </c>
      <c r="E198" s="23">
        <f t="shared" ref="E198:I198" si="20">E206+E214+E222</f>
        <v>0</v>
      </c>
      <c r="F198" s="23">
        <f t="shared" si="20"/>
        <v>0</v>
      </c>
      <c r="G198" s="23">
        <f t="shared" si="20"/>
        <v>0</v>
      </c>
      <c r="H198" s="23">
        <f t="shared" si="20"/>
        <v>0</v>
      </c>
      <c r="I198" s="23">
        <f t="shared" si="20"/>
        <v>0</v>
      </c>
      <c r="J198" s="19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1"/>
    </row>
    <row r="199" spans="1:22" s="9" customFormat="1" ht="12.75" customHeight="1" x14ac:dyDescent="0.2">
      <c r="A199" s="48" t="s">
        <v>42</v>
      </c>
      <c r="B199" s="49" t="s">
        <v>16</v>
      </c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</row>
    <row r="200" spans="1:22" s="9" customFormat="1" ht="12.75" customHeight="1" x14ac:dyDescent="0.2">
      <c r="A200" s="48"/>
      <c r="B200" s="52" t="s">
        <v>449</v>
      </c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</row>
    <row r="201" spans="1:22" s="9" customFormat="1" ht="36.75" customHeight="1" x14ac:dyDescent="0.2">
      <c r="A201" s="48"/>
      <c r="B201" s="50" t="s">
        <v>92</v>
      </c>
      <c r="C201" s="50" t="s">
        <v>92</v>
      </c>
      <c r="D201" s="50"/>
      <c r="E201" s="50"/>
      <c r="F201" s="50"/>
      <c r="G201" s="50"/>
      <c r="H201" s="50"/>
      <c r="I201" s="50"/>
      <c r="J201" s="53" t="s">
        <v>281</v>
      </c>
      <c r="K201" s="53"/>
      <c r="L201" s="53" t="s">
        <v>70</v>
      </c>
      <c r="M201" s="53" t="s">
        <v>78</v>
      </c>
      <c r="N201" s="53" t="s">
        <v>103</v>
      </c>
      <c r="O201" s="53" t="s">
        <v>80</v>
      </c>
      <c r="P201" s="53" t="s">
        <v>103</v>
      </c>
      <c r="Q201" s="57" t="s">
        <v>338</v>
      </c>
      <c r="R201" s="53" t="s">
        <v>11</v>
      </c>
      <c r="S201" s="53" t="s">
        <v>10</v>
      </c>
      <c r="T201" s="53" t="s">
        <v>7</v>
      </c>
      <c r="U201" s="53"/>
      <c r="V201" s="53" t="s">
        <v>642</v>
      </c>
    </row>
    <row r="202" spans="1:22" s="9" customFormat="1" x14ac:dyDescent="0.2">
      <c r="A202" s="48"/>
      <c r="B202" s="51" t="s">
        <v>5</v>
      </c>
      <c r="C202" s="51" t="s">
        <v>5</v>
      </c>
      <c r="D202" s="24">
        <f>SUM(D203:D206)</f>
        <v>765770.03499999992</v>
      </c>
      <c r="E202" s="25">
        <f>SUM(E203:E206)</f>
        <v>204818.3</v>
      </c>
      <c r="F202" s="25">
        <f>SUM(F203:F206)</f>
        <v>167073</v>
      </c>
      <c r="G202" s="25">
        <f>SUM(G203:G206)</f>
        <v>217644.73499999999</v>
      </c>
      <c r="H202" s="25">
        <f>SUM(H203:H206)</f>
        <v>176234</v>
      </c>
      <c r="I202" s="25"/>
      <c r="J202" s="53"/>
      <c r="K202" s="53"/>
      <c r="L202" s="53"/>
      <c r="M202" s="53"/>
      <c r="N202" s="53"/>
      <c r="O202" s="53"/>
      <c r="P202" s="53"/>
      <c r="Q202" s="57"/>
      <c r="R202" s="53"/>
      <c r="S202" s="53"/>
      <c r="T202" s="53"/>
      <c r="U202" s="53"/>
      <c r="V202" s="53"/>
    </row>
    <row r="203" spans="1:22" s="9" customFormat="1" x14ac:dyDescent="0.2">
      <c r="A203" s="48"/>
      <c r="B203" s="51" t="s">
        <v>0</v>
      </c>
      <c r="C203" s="51" t="s">
        <v>0</v>
      </c>
      <c r="D203" s="24">
        <f>E203+F203+G203+H203+I203</f>
        <v>0</v>
      </c>
      <c r="E203" s="25"/>
      <c r="F203" s="25"/>
      <c r="G203" s="25"/>
      <c r="H203" s="25"/>
      <c r="I203" s="25"/>
      <c r="J203" s="53"/>
      <c r="K203" s="53"/>
      <c r="L203" s="53"/>
      <c r="M203" s="53"/>
      <c r="N203" s="53"/>
      <c r="O203" s="53"/>
      <c r="P203" s="53"/>
      <c r="Q203" s="57"/>
      <c r="R203" s="53"/>
      <c r="S203" s="53"/>
      <c r="T203" s="53"/>
      <c r="U203" s="53"/>
      <c r="V203" s="53"/>
    </row>
    <row r="204" spans="1:22" s="9" customFormat="1" x14ac:dyDescent="0.2">
      <c r="A204" s="48"/>
      <c r="B204" s="51" t="s">
        <v>1</v>
      </c>
      <c r="C204" s="51" t="s">
        <v>1</v>
      </c>
      <c r="D204" s="24">
        <f>E204+F204+G204+H204+I204</f>
        <v>765770.03499999992</v>
      </c>
      <c r="E204" s="25">
        <f>172338.3+35580-3100</f>
        <v>204818.3</v>
      </c>
      <c r="F204" s="25">
        <v>167073</v>
      </c>
      <c r="G204" s="25">
        <v>217644.73499999999</v>
      </c>
      <c r="H204" s="25">
        <v>176234</v>
      </c>
      <c r="I204" s="25"/>
      <c r="J204" s="53"/>
      <c r="K204" s="53"/>
      <c r="L204" s="53"/>
      <c r="M204" s="53"/>
      <c r="N204" s="53"/>
      <c r="O204" s="53"/>
      <c r="P204" s="53"/>
      <c r="Q204" s="57"/>
      <c r="R204" s="53"/>
      <c r="S204" s="53"/>
      <c r="T204" s="53"/>
      <c r="U204" s="53"/>
      <c r="V204" s="53"/>
    </row>
    <row r="205" spans="1:22" x14ac:dyDescent="0.2">
      <c r="A205" s="48"/>
      <c r="B205" s="51" t="s">
        <v>2</v>
      </c>
      <c r="C205" s="51" t="s">
        <v>2</v>
      </c>
      <c r="D205" s="24">
        <f>E205+F205+G205+H205+I205</f>
        <v>0</v>
      </c>
      <c r="E205" s="25"/>
      <c r="F205" s="25"/>
      <c r="G205" s="25"/>
      <c r="H205" s="25"/>
      <c r="I205" s="25"/>
      <c r="J205" s="53"/>
      <c r="K205" s="53"/>
      <c r="L205" s="53"/>
      <c r="M205" s="53"/>
      <c r="N205" s="53"/>
      <c r="O205" s="53"/>
      <c r="P205" s="53"/>
      <c r="Q205" s="57"/>
      <c r="R205" s="53"/>
      <c r="S205" s="53"/>
      <c r="T205" s="53"/>
      <c r="U205" s="53"/>
      <c r="V205" s="53"/>
    </row>
    <row r="206" spans="1:22" s="9" customFormat="1" ht="22.5" customHeight="1" x14ac:dyDescent="0.2">
      <c r="A206" s="48"/>
      <c r="B206" s="51" t="s">
        <v>3</v>
      </c>
      <c r="C206" s="51" t="s">
        <v>3</v>
      </c>
      <c r="D206" s="24">
        <f>E206+F206+G206+H206+I206</f>
        <v>0</v>
      </c>
      <c r="E206" s="25"/>
      <c r="F206" s="25"/>
      <c r="G206" s="25"/>
      <c r="H206" s="25"/>
      <c r="I206" s="25"/>
      <c r="J206" s="53"/>
      <c r="K206" s="53"/>
      <c r="L206" s="53"/>
      <c r="M206" s="53"/>
      <c r="N206" s="53"/>
      <c r="O206" s="53"/>
      <c r="P206" s="53"/>
      <c r="Q206" s="57"/>
      <c r="R206" s="53"/>
      <c r="S206" s="53"/>
      <c r="T206" s="53"/>
      <c r="U206" s="53"/>
      <c r="V206" s="53"/>
    </row>
    <row r="207" spans="1:22" s="9" customFormat="1" ht="12.75" customHeight="1" x14ac:dyDescent="0.2">
      <c r="A207" s="48" t="s">
        <v>137</v>
      </c>
      <c r="B207" s="49" t="s">
        <v>16</v>
      </c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</row>
    <row r="208" spans="1:22" s="9" customFormat="1" ht="12.75" customHeight="1" x14ac:dyDescent="0.2">
      <c r="A208" s="48"/>
      <c r="B208" s="52" t="s">
        <v>449</v>
      </c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</row>
    <row r="209" spans="1:22" s="9" customFormat="1" ht="83.25" customHeight="1" x14ac:dyDescent="0.2">
      <c r="A209" s="48"/>
      <c r="B209" s="50" t="s">
        <v>169</v>
      </c>
      <c r="C209" s="50" t="s">
        <v>169</v>
      </c>
      <c r="D209" s="50"/>
      <c r="E209" s="50"/>
      <c r="F209" s="50"/>
      <c r="G209" s="50"/>
      <c r="H209" s="50"/>
      <c r="I209" s="50"/>
      <c r="J209" s="53" t="s">
        <v>174</v>
      </c>
      <c r="K209" s="53"/>
      <c r="L209" s="53" t="s">
        <v>72</v>
      </c>
      <c r="M209" s="53" t="s">
        <v>644</v>
      </c>
      <c r="N209" s="53" t="s">
        <v>145</v>
      </c>
      <c r="O209" s="53" t="s">
        <v>297</v>
      </c>
      <c r="P209" s="53" t="s">
        <v>297</v>
      </c>
      <c r="Q209" s="57" t="s">
        <v>685</v>
      </c>
      <c r="R209" s="53" t="s">
        <v>9</v>
      </c>
      <c r="S209" s="53" t="s">
        <v>10</v>
      </c>
      <c r="T209" s="53" t="s">
        <v>7</v>
      </c>
      <c r="U209" s="53"/>
      <c r="V209" s="53" t="s">
        <v>643</v>
      </c>
    </row>
    <row r="210" spans="1:22" s="9" customFormat="1" ht="12.75" customHeight="1" x14ac:dyDescent="0.2">
      <c r="A210" s="48"/>
      <c r="B210" s="51" t="s">
        <v>5</v>
      </c>
      <c r="C210" s="51" t="s">
        <v>5</v>
      </c>
      <c r="D210" s="24">
        <f>SUM(D211:D214)</f>
        <v>17322.646464646463</v>
      </c>
      <c r="E210" s="25">
        <f>SUM(E211:E214)</f>
        <v>17322.646464646463</v>
      </c>
      <c r="F210" s="25"/>
      <c r="G210" s="25"/>
      <c r="H210" s="25"/>
      <c r="I210" s="25"/>
      <c r="J210" s="53"/>
      <c r="K210" s="53"/>
      <c r="L210" s="53"/>
      <c r="M210" s="53"/>
      <c r="N210" s="53"/>
      <c r="O210" s="53"/>
      <c r="P210" s="53"/>
      <c r="Q210" s="57"/>
      <c r="R210" s="53"/>
      <c r="S210" s="53"/>
      <c r="T210" s="53"/>
      <c r="U210" s="53"/>
      <c r="V210" s="53"/>
    </row>
    <row r="211" spans="1:22" s="9" customFormat="1" ht="12.75" customHeight="1" x14ac:dyDescent="0.2">
      <c r="A211" s="48"/>
      <c r="B211" s="51" t="s">
        <v>0</v>
      </c>
      <c r="C211" s="51" t="s">
        <v>0</v>
      </c>
      <c r="D211" s="24">
        <f>E211+F211+G211+H211+I211</f>
        <v>0</v>
      </c>
      <c r="E211" s="25"/>
      <c r="F211" s="25"/>
      <c r="G211" s="25"/>
      <c r="H211" s="25"/>
      <c r="I211" s="25"/>
      <c r="J211" s="53"/>
      <c r="K211" s="53"/>
      <c r="L211" s="53"/>
      <c r="M211" s="53"/>
      <c r="N211" s="53"/>
      <c r="O211" s="53"/>
      <c r="P211" s="53"/>
      <c r="Q211" s="57"/>
      <c r="R211" s="53"/>
      <c r="S211" s="53"/>
      <c r="T211" s="53"/>
      <c r="U211" s="53"/>
      <c r="V211" s="53"/>
    </row>
    <row r="212" spans="1:22" s="9" customFormat="1" ht="12.75" customHeight="1" x14ac:dyDescent="0.2">
      <c r="A212" s="48"/>
      <c r="B212" s="51" t="s">
        <v>1</v>
      </c>
      <c r="C212" s="51" t="s">
        <v>1</v>
      </c>
      <c r="D212" s="24">
        <f>E212+F212+G212+H212+I212</f>
        <v>17149.419999999998</v>
      </c>
      <c r="E212" s="25">
        <f>37326-492.805-19683.775</f>
        <v>17149.419999999998</v>
      </c>
      <c r="F212" s="25"/>
      <c r="G212" s="25"/>
      <c r="H212" s="25"/>
      <c r="I212" s="25"/>
      <c r="J212" s="53"/>
      <c r="K212" s="53"/>
      <c r="L212" s="53"/>
      <c r="M212" s="53"/>
      <c r="N212" s="53"/>
      <c r="O212" s="53"/>
      <c r="P212" s="53"/>
      <c r="Q212" s="57"/>
      <c r="R212" s="53"/>
      <c r="S212" s="53"/>
      <c r="T212" s="53"/>
      <c r="U212" s="53"/>
      <c r="V212" s="53"/>
    </row>
    <row r="213" spans="1:22" s="9" customFormat="1" ht="12.75" customHeight="1" x14ac:dyDescent="0.2">
      <c r="A213" s="48"/>
      <c r="B213" s="51" t="s">
        <v>2</v>
      </c>
      <c r="C213" s="51" t="s">
        <v>2</v>
      </c>
      <c r="D213" s="24">
        <f>E213+F213+G213+H213+I213</f>
        <v>173.22646464646462</v>
      </c>
      <c r="E213" s="25">
        <v>173.22646464646462</v>
      </c>
      <c r="F213" s="25"/>
      <c r="G213" s="25"/>
      <c r="H213" s="25"/>
      <c r="I213" s="25"/>
      <c r="J213" s="53"/>
      <c r="K213" s="53"/>
      <c r="L213" s="53"/>
      <c r="M213" s="53"/>
      <c r="N213" s="53"/>
      <c r="O213" s="53"/>
      <c r="P213" s="53"/>
      <c r="Q213" s="57"/>
      <c r="R213" s="53"/>
      <c r="S213" s="53"/>
      <c r="T213" s="53"/>
      <c r="U213" s="53"/>
      <c r="V213" s="53"/>
    </row>
    <row r="214" spans="1:22" s="9" customFormat="1" ht="22.5" customHeight="1" x14ac:dyDescent="0.2">
      <c r="A214" s="48"/>
      <c r="B214" s="51" t="s">
        <v>3</v>
      </c>
      <c r="C214" s="51" t="s">
        <v>3</v>
      </c>
      <c r="D214" s="24">
        <f>E214+F214+G214+H214+I214</f>
        <v>0</v>
      </c>
      <c r="E214" s="25"/>
      <c r="F214" s="25"/>
      <c r="G214" s="25"/>
      <c r="H214" s="25"/>
      <c r="I214" s="25"/>
      <c r="J214" s="53"/>
      <c r="K214" s="53"/>
      <c r="L214" s="53"/>
      <c r="M214" s="53"/>
      <c r="N214" s="53"/>
      <c r="O214" s="53"/>
      <c r="P214" s="53"/>
      <c r="Q214" s="57"/>
      <c r="R214" s="53"/>
      <c r="S214" s="53"/>
      <c r="T214" s="53"/>
      <c r="U214" s="53"/>
      <c r="V214" s="53"/>
    </row>
    <row r="215" spans="1:22" s="9" customFormat="1" ht="12.75" customHeight="1" x14ac:dyDescent="0.2">
      <c r="A215" s="48" t="s">
        <v>487</v>
      </c>
      <c r="B215" s="49" t="s">
        <v>16</v>
      </c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</row>
    <row r="216" spans="1:22" s="9" customFormat="1" ht="12.75" customHeight="1" x14ac:dyDescent="0.2">
      <c r="A216" s="48"/>
      <c r="B216" s="52" t="s">
        <v>449</v>
      </c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</row>
    <row r="217" spans="1:22" s="9" customFormat="1" ht="36.75" customHeight="1" x14ac:dyDescent="0.2">
      <c r="A217" s="48"/>
      <c r="B217" s="50" t="s">
        <v>397</v>
      </c>
      <c r="C217" s="50" t="s">
        <v>397</v>
      </c>
      <c r="D217" s="50"/>
      <c r="E217" s="50"/>
      <c r="F217" s="50"/>
      <c r="G217" s="50"/>
      <c r="H217" s="50"/>
      <c r="I217" s="50"/>
      <c r="J217" s="53"/>
      <c r="K217" s="53" t="s">
        <v>60</v>
      </c>
      <c r="L217" s="53" t="s">
        <v>70</v>
      </c>
      <c r="M217" s="53"/>
      <c r="N217" s="53" t="s">
        <v>103</v>
      </c>
      <c r="O217" s="53" t="s">
        <v>80</v>
      </c>
      <c r="P217" s="53" t="s">
        <v>103</v>
      </c>
      <c r="Q217" s="57"/>
      <c r="R217" s="53" t="s">
        <v>11</v>
      </c>
      <c r="S217" s="53" t="s">
        <v>398</v>
      </c>
      <c r="T217" s="53" t="s">
        <v>85</v>
      </c>
      <c r="U217" s="53"/>
      <c r="V217" s="53"/>
    </row>
    <row r="218" spans="1:22" s="9" customFormat="1" x14ac:dyDescent="0.2">
      <c r="A218" s="48"/>
      <c r="B218" s="51" t="s">
        <v>5</v>
      </c>
      <c r="C218" s="51" t="s">
        <v>5</v>
      </c>
      <c r="D218" s="24">
        <f>SUM(D219:D222)</f>
        <v>11890.64184</v>
      </c>
      <c r="E218" s="25">
        <f>SUM(E219:E222)</f>
        <v>11890.64184</v>
      </c>
      <c r="F218" s="25"/>
      <c r="G218" s="25"/>
      <c r="H218" s="25"/>
      <c r="I218" s="25"/>
      <c r="J218" s="53"/>
      <c r="K218" s="53"/>
      <c r="L218" s="53"/>
      <c r="M218" s="53"/>
      <c r="N218" s="53"/>
      <c r="O218" s="53"/>
      <c r="P218" s="53"/>
      <c r="Q218" s="57"/>
      <c r="R218" s="53"/>
      <c r="S218" s="53"/>
      <c r="T218" s="53"/>
      <c r="U218" s="53"/>
      <c r="V218" s="53"/>
    </row>
    <row r="219" spans="1:22" s="9" customFormat="1" x14ac:dyDescent="0.2">
      <c r="A219" s="48"/>
      <c r="B219" s="51" t="s">
        <v>0</v>
      </c>
      <c r="C219" s="51" t="s">
        <v>0</v>
      </c>
      <c r="D219" s="24"/>
      <c r="E219" s="25"/>
      <c r="F219" s="25"/>
      <c r="G219" s="25"/>
      <c r="H219" s="25"/>
      <c r="I219" s="25"/>
      <c r="J219" s="53"/>
      <c r="K219" s="53"/>
      <c r="L219" s="53"/>
      <c r="M219" s="53"/>
      <c r="N219" s="53"/>
      <c r="O219" s="53"/>
      <c r="P219" s="53"/>
      <c r="Q219" s="57"/>
      <c r="R219" s="53"/>
      <c r="S219" s="53"/>
      <c r="T219" s="53"/>
      <c r="U219" s="53"/>
      <c r="V219" s="53"/>
    </row>
    <row r="220" spans="1:22" s="9" customFormat="1" x14ac:dyDescent="0.2">
      <c r="A220" s="48"/>
      <c r="B220" s="51" t="s">
        <v>1</v>
      </c>
      <c r="C220" s="51" t="s">
        <v>1</v>
      </c>
      <c r="D220" s="24">
        <f>SUM(E220:H220)</f>
        <v>11890.64184</v>
      </c>
      <c r="E220" s="25">
        <f>11397.83684+492.805</f>
        <v>11890.64184</v>
      </c>
      <c r="F220" s="25"/>
      <c r="G220" s="25"/>
      <c r="H220" s="25"/>
      <c r="I220" s="25"/>
      <c r="J220" s="53"/>
      <c r="K220" s="53"/>
      <c r="L220" s="53"/>
      <c r="M220" s="53"/>
      <c r="N220" s="53"/>
      <c r="O220" s="53"/>
      <c r="P220" s="53"/>
      <c r="Q220" s="57"/>
      <c r="R220" s="53"/>
      <c r="S220" s="53"/>
      <c r="T220" s="53"/>
      <c r="U220" s="53"/>
      <c r="V220" s="53"/>
    </row>
    <row r="221" spans="1:22" s="9" customFormat="1" x14ac:dyDescent="0.2">
      <c r="A221" s="48"/>
      <c r="B221" s="51" t="s">
        <v>2</v>
      </c>
      <c r="C221" s="51" t="s">
        <v>2</v>
      </c>
      <c r="D221" s="24"/>
      <c r="E221" s="25"/>
      <c r="F221" s="25"/>
      <c r="G221" s="25"/>
      <c r="H221" s="25"/>
      <c r="I221" s="25"/>
      <c r="J221" s="53"/>
      <c r="K221" s="53"/>
      <c r="L221" s="53"/>
      <c r="M221" s="53"/>
      <c r="N221" s="53"/>
      <c r="O221" s="53"/>
      <c r="P221" s="53"/>
      <c r="Q221" s="57"/>
      <c r="R221" s="53"/>
      <c r="S221" s="53"/>
      <c r="T221" s="53"/>
      <c r="U221" s="53"/>
      <c r="V221" s="53"/>
    </row>
    <row r="222" spans="1:22" s="9" customFormat="1" ht="22.5" customHeight="1" x14ac:dyDescent="0.2">
      <c r="A222" s="48"/>
      <c r="B222" s="51" t="s">
        <v>3</v>
      </c>
      <c r="C222" s="51" t="s">
        <v>3</v>
      </c>
      <c r="D222" s="24"/>
      <c r="E222" s="25"/>
      <c r="F222" s="25"/>
      <c r="G222" s="25"/>
      <c r="H222" s="25"/>
      <c r="I222" s="25"/>
      <c r="J222" s="53"/>
      <c r="K222" s="53"/>
      <c r="L222" s="53"/>
      <c r="M222" s="53"/>
      <c r="N222" s="53"/>
      <c r="O222" s="53"/>
      <c r="P222" s="53"/>
      <c r="Q222" s="57"/>
      <c r="R222" s="53"/>
      <c r="S222" s="53"/>
      <c r="T222" s="53"/>
      <c r="U222" s="53"/>
      <c r="V222" s="53"/>
    </row>
    <row r="223" spans="1:22" s="9" customFormat="1" ht="12.75" customHeight="1" x14ac:dyDescent="0.2">
      <c r="A223" s="54" t="s">
        <v>43</v>
      </c>
      <c r="B223" s="55" t="s">
        <v>116</v>
      </c>
      <c r="C223" s="55"/>
      <c r="D223" s="55"/>
      <c r="E223" s="55"/>
      <c r="F223" s="55"/>
      <c r="G223" s="55"/>
      <c r="H223" s="55"/>
      <c r="I223" s="55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</row>
    <row r="224" spans="1:22" s="9" customFormat="1" ht="12.75" customHeight="1" x14ac:dyDescent="0.2">
      <c r="A224" s="54"/>
      <c r="B224" s="56" t="s">
        <v>5</v>
      </c>
      <c r="C224" s="56"/>
      <c r="D224" s="23">
        <f t="shared" ref="D224:I224" si="21">SUM(D225:D228)</f>
        <v>622447.8110000001</v>
      </c>
      <c r="E224" s="23">
        <f t="shared" si="21"/>
        <v>307009.80099999998</v>
      </c>
      <c r="F224" s="23">
        <f t="shared" si="21"/>
        <v>315438.01</v>
      </c>
      <c r="G224" s="23">
        <f t="shared" si="21"/>
        <v>0</v>
      </c>
      <c r="H224" s="23">
        <f t="shared" si="21"/>
        <v>0</v>
      </c>
      <c r="I224" s="26">
        <f t="shared" si="21"/>
        <v>0</v>
      </c>
      <c r="J224" s="12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4"/>
    </row>
    <row r="225" spans="1:22" s="9" customFormat="1" x14ac:dyDescent="0.2">
      <c r="A225" s="54"/>
      <c r="B225" s="56" t="s">
        <v>0</v>
      </c>
      <c r="C225" s="56"/>
      <c r="D225" s="23">
        <f>E225+F225+G225+H225+I225</f>
        <v>0</v>
      </c>
      <c r="E225" s="23">
        <f>E233+E241+E249</f>
        <v>0</v>
      </c>
      <c r="F225" s="23">
        <f t="shared" ref="F225:I225" si="22">F233+F241+F249</f>
        <v>0</v>
      </c>
      <c r="G225" s="23">
        <f t="shared" si="22"/>
        <v>0</v>
      </c>
      <c r="H225" s="23">
        <f t="shared" si="22"/>
        <v>0</v>
      </c>
      <c r="I225" s="26">
        <f t="shared" si="22"/>
        <v>0</v>
      </c>
      <c r="J225" s="15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7"/>
    </row>
    <row r="226" spans="1:22" s="9" customFormat="1" ht="12.75" customHeight="1" x14ac:dyDescent="0.2">
      <c r="A226" s="54"/>
      <c r="B226" s="56" t="s">
        <v>1</v>
      </c>
      <c r="C226" s="56"/>
      <c r="D226" s="23">
        <f>E226+F226+G226+H226+I226</f>
        <v>535103.41100000008</v>
      </c>
      <c r="E226" s="23">
        <f t="shared" ref="E226:I226" si="23">E234+E242+E250</f>
        <v>219665.40100000001</v>
      </c>
      <c r="F226" s="23">
        <f t="shared" si="23"/>
        <v>315438.01</v>
      </c>
      <c r="G226" s="23">
        <f t="shared" si="23"/>
        <v>0</v>
      </c>
      <c r="H226" s="23">
        <f t="shared" si="23"/>
        <v>0</v>
      </c>
      <c r="I226" s="26">
        <f t="shared" si="23"/>
        <v>0</v>
      </c>
      <c r="J226" s="15"/>
      <c r="K226" s="18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7"/>
    </row>
    <row r="227" spans="1:22" s="9" customFormat="1" ht="12.75" customHeight="1" x14ac:dyDescent="0.2">
      <c r="A227" s="54"/>
      <c r="B227" s="56" t="s">
        <v>2</v>
      </c>
      <c r="C227" s="56"/>
      <c r="D227" s="23">
        <f>E227+F227+G227+H227+I227</f>
        <v>0</v>
      </c>
      <c r="E227" s="23">
        <f t="shared" ref="E227:I227" si="24">E235+E243+E251</f>
        <v>0</v>
      </c>
      <c r="F227" s="23">
        <f t="shared" si="24"/>
        <v>0</v>
      </c>
      <c r="G227" s="23">
        <f t="shared" si="24"/>
        <v>0</v>
      </c>
      <c r="H227" s="23">
        <f t="shared" si="24"/>
        <v>0</v>
      </c>
      <c r="I227" s="26">
        <f t="shared" si="24"/>
        <v>0</v>
      </c>
      <c r="J227" s="15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7"/>
    </row>
    <row r="228" spans="1:22" s="9" customFormat="1" ht="18.75" customHeight="1" x14ac:dyDescent="0.2">
      <c r="A228" s="54"/>
      <c r="B228" s="56" t="s">
        <v>3</v>
      </c>
      <c r="C228" s="56"/>
      <c r="D228" s="23">
        <f>E228+F228+G228+H228+I228</f>
        <v>87344.4</v>
      </c>
      <c r="E228" s="23">
        <f t="shared" ref="E228:I228" si="25">E236+E244+E252</f>
        <v>87344.4</v>
      </c>
      <c r="F228" s="23">
        <f t="shared" si="25"/>
        <v>0</v>
      </c>
      <c r="G228" s="23">
        <f t="shared" si="25"/>
        <v>0</v>
      </c>
      <c r="H228" s="23">
        <f t="shared" si="25"/>
        <v>0</v>
      </c>
      <c r="I228" s="26">
        <f t="shared" si="25"/>
        <v>0</v>
      </c>
      <c r="J228" s="19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1"/>
    </row>
    <row r="229" spans="1:22" s="9" customFormat="1" ht="12.75" customHeight="1" x14ac:dyDescent="0.2">
      <c r="A229" s="48" t="s">
        <v>44</v>
      </c>
      <c r="B229" s="49" t="s">
        <v>16</v>
      </c>
      <c r="C229" s="49"/>
      <c r="D229" s="49"/>
      <c r="E229" s="49"/>
      <c r="F229" s="49"/>
      <c r="G229" s="49"/>
      <c r="H229" s="49"/>
      <c r="I229" s="49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</row>
    <row r="230" spans="1:22" s="9" customFormat="1" ht="12.75" customHeight="1" x14ac:dyDescent="0.2">
      <c r="A230" s="48"/>
      <c r="B230" s="52" t="s">
        <v>450</v>
      </c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</row>
    <row r="231" spans="1:22" s="9" customFormat="1" ht="51.75" customHeight="1" x14ac:dyDescent="0.2">
      <c r="A231" s="48"/>
      <c r="B231" s="50" t="s">
        <v>115</v>
      </c>
      <c r="C231" s="50" t="s">
        <v>115</v>
      </c>
      <c r="D231" s="50"/>
      <c r="E231" s="50"/>
      <c r="F231" s="50"/>
      <c r="G231" s="50"/>
      <c r="H231" s="50"/>
      <c r="I231" s="50"/>
      <c r="J231" s="53" t="s">
        <v>181</v>
      </c>
      <c r="K231" s="53" t="s">
        <v>59</v>
      </c>
      <c r="L231" s="53" t="s">
        <v>70</v>
      </c>
      <c r="M231" s="53" t="s">
        <v>105</v>
      </c>
      <c r="N231" s="53" t="s">
        <v>16</v>
      </c>
      <c r="O231" s="53" t="s">
        <v>29</v>
      </c>
      <c r="P231" s="53" t="s">
        <v>103</v>
      </c>
      <c r="Q231" s="57" t="s">
        <v>339</v>
      </c>
      <c r="R231" s="53" t="s">
        <v>11</v>
      </c>
      <c r="S231" s="53" t="s">
        <v>12</v>
      </c>
      <c r="T231" s="53" t="s">
        <v>85</v>
      </c>
      <c r="U231" s="53"/>
      <c r="V231" s="53"/>
    </row>
    <row r="232" spans="1:22" s="9" customFormat="1" x14ac:dyDescent="0.2">
      <c r="A232" s="48"/>
      <c r="B232" s="51" t="s">
        <v>5</v>
      </c>
      <c r="C232" s="51" t="s">
        <v>5</v>
      </c>
      <c r="D232" s="24">
        <f>SUM(D233:D236)</f>
        <v>67958</v>
      </c>
      <c r="E232" s="25">
        <f>SUM(E233:E236)</f>
        <v>0</v>
      </c>
      <c r="F232" s="25">
        <f>SUM(F233:F236)</f>
        <v>67958</v>
      </c>
      <c r="G232" s="25"/>
      <c r="H232" s="25"/>
      <c r="I232" s="25"/>
      <c r="J232" s="53"/>
      <c r="K232" s="53"/>
      <c r="L232" s="53"/>
      <c r="M232" s="53"/>
      <c r="N232" s="53"/>
      <c r="O232" s="53"/>
      <c r="P232" s="53"/>
      <c r="Q232" s="57"/>
      <c r="R232" s="53"/>
      <c r="S232" s="53"/>
      <c r="T232" s="53"/>
      <c r="U232" s="53"/>
      <c r="V232" s="53"/>
    </row>
    <row r="233" spans="1:22" s="9" customFormat="1" x14ac:dyDescent="0.2">
      <c r="A233" s="48"/>
      <c r="B233" s="51" t="s">
        <v>0</v>
      </c>
      <c r="C233" s="51" t="s">
        <v>0</v>
      </c>
      <c r="D233" s="24">
        <f>E233+F233+G233+H233+I233</f>
        <v>0</v>
      </c>
      <c r="E233" s="25"/>
      <c r="F233" s="25"/>
      <c r="G233" s="25"/>
      <c r="H233" s="25"/>
      <c r="I233" s="25"/>
      <c r="J233" s="53"/>
      <c r="K233" s="53"/>
      <c r="L233" s="53"/>
      <c r="M233" s="53"/>
      <c r="N233" s="53"/>
      <c r="O233" s="53"/>
      <c r="P233" s="53"/>
      <c r="Q233" s="57"/>
      <c r="R233" s="53"/>
      <c r="S233" s="53"/>
      <c r="T233" s="53"/>
      <c r="U233" s="53"/>
      <c r="V233" s="53"/>
    </row>
    <row r="234" spans="1:22" s="9" customFormat="1" x14ac:dyDescent="0.2">
      <c r="A234" s="48"/>
      <c r="B234" s="51" t="s">
        <v>1</v>
      </c>
      <c r="C234" s="51" t="s">
        <v>1</v>
      </c>
      <c r="D234" s="24">
        <f>E234+F234+G234+H234+I234</f>
        <v>67958</v>
      </c>
      <c r="E234" s="25">
        <f>38958-38958</f>
        <v>0</v>
      </c>
      <c r="F234" s="25">
        <f>0+29000+38958</f>
        <v>67958</v>
      </c>
      <c r="G234" s="25"/>
      <c r="H234" s="25"/>
      <c r="I234" s="25"/>
      <c r="J234" s="53"/>
      <c r="K234" s="53"/>
      <c r="L234" s="53"/>
      <c r="M234" s="53"/>
      <c r="N234" s="53"/>
      <c r="O234" s="53"/>
      <c r="P234" s="53"/>
      <c r="Q234" s="57"/>
      <c r="R234" s="53"/>
      <c r="S234" s="53"/>
      <c r="T234" s="53"/>
      <c r="U234" s="53"/>
      <c r="V234" s="53"/>
    </row>
    <row r="235" spans="1:22" s="9" customFormat="1" x14ac:dyDescent="0.2">
      <c r="A235" s="48"/>
      <c r="B235" s="51" t="s">
        <v>2</v>
      </c>
      <c r="C235" s="51" t="s">
        <v>2</v>
      </c>
      <c r="D235" s="24">
        <f>E235+F235+G235+H235+I235</f>
        <v>0</v>
      </c>
      <c r="E235" s="25"/>
      <c r="F235" s="25"/>
      <c r="G235" s="25"/>
      <c r="H235" s="25"/>
      <c r="I235" s="25"/>
      <c r="J235" s="53"/>
      <c r="K235" s="53"/>
      <c r="L235" s="53"/>
      <c r="M235" s="53"/>
      <c r="N235" s="53"/>
      <c r="O235" s="53"/>
      <c r="P235" s="53"/>
      <c r="Q235" s="57"/>
      <c r="R235" s="53"/>
      <c r="S235" s="53"/>
      <c r="T235" s="53"/>
      <c r="U235" s="53"/>
      <c r="V235" s="53"/>
    </row>
    <row r="236" spans="1:22" s="9" customFormat="1" x14ac:dyDescent="0.2">
      <c r="A236" s="48"/>
      <c r="B236" s="51" t="s">
        <v>3</v>
      </c>
      <c r="C236" s="51" t="s">
        <v>3</v>
      </c>
      <c r="D236" s="24">
        <f>E236+F236+G236+H236+I236</f>
        <v>0</v>
      </c>
      <c r="E236" s="25"/>
      <c r="F236" s="25"/>
      <c r="G236" s="25"/>
      <c r="H236" s="25"/>
      <c r="I236" s="25"/>
      <c r="J236" s="53"/>
      <c r="K236" s="53"/>
      <c r="L236" s="53"/>
      <c r="M236" s="53"/>
      <c r="N236" s="53"/>
      <c r="O236" s="53"/>
      <c r="P236" s="53"/>
      <c r="Q236" s="57"/>
      <c r="R236" s="53"/>
      <c r="S236" s="53"/>
      <c r="T236" s="53"/>
      <c r="U236" s="53"/>
      <c r="V236" s="53"/>
    </row>
    <row r="237" spans="1:22" s="9" customFormat="1" ht="12.75" customHeight="1" x14ac:dyDescent="0.2">
      <c r="A237" s="48" t="s">
        <v>45</v>
      </c>
      <c r="B237" s="49" t="s">
        <v>16</v>
      </c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</row>
    <row r="238" spans="1:22" s="9" customFormat="1" ht="12.75" customHeight="1" x14ac:dyDescent="0.2">
      <c r="A238" s="48"/>
      <c r="B238" s="52" t="s">
        <v>450</v>
      </c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</row>
    <row r="239" spans="1:22" s="9" customFormat="1" ht="42" customHeight="1" x14ac:dyDescent="0.2">
      <c r="A239" s="48"/>
      <c r="B239" s="50" t="s">
        <v>324</v>
      </c>
      <c r="C239" s="50" t="s">
        <v>324</v>
      </c>
      <c r="D239" s="50"/>
      <c r="E239" s="50"/>
      <c r="F239" s="50"/>
      <c r="G239" s="50"/>
      <c r="H239" s="50"/>
      <c r="I239" s="50"/>
      <c r="J239" s="53" t="s">
        <v>76</v>
      </c>
      <c r="K239" s="53"/>
      <c r="L239" s="53" t="s">
        <v>70</v>
      </c>
      <c r="M239" s="53" t="s">
        <v>326</v>
      </c>
      <c r="N239" s="53" t="s">
        <v>103</v>
      </c>
      <c r="O239" s="53" t="s">
        <v>29</v>
      </c>
      <c r="P239" s="53" t="s">
        <v>103</v>
      </c>
      <c r="Q239" s="57" t="s">
        <v>340</v>
      </c>
      <c r="R239" s="53" t="s">
        <v>11</v>
      </c>
      <c r="S239" s="53" t="s">
        <v>12</v>
      </c>
      <c r="T239" s="53" t="s">
        <v>18</v>
      </c>
      <c r="U239" s="53"/>
      <c r="V239" s="53" t="s">
        <v>645</v>
      </c>
    </row>
    <row r="240" spans="1:22" s="9" customFormat="1" x14ac:dyDescent="0.2">
      <c r="A240" s="48"/>
      <c r="B240" s="51" t="s">
        <v>5</v>
      </c>
      <c r="C240" s="51" t="s">
        <v>5</v>
      </c>
      <c r="D240" s="24">
        <f>SUM(D241:D244)</f>
        <v>554099.81099999999</v>
      </c>
      <c r="E240" s="25">
        <f>SUM(E241:E244)</f>
        <v>306619.80099999998</v>
      </c>
      <c r="F240" s="25">
        <f>SUM(F241:F244)</f>
        <v>247480.01</v>
      </c>
      <c r="G240" s="25"/>
      <c r="H240" s="25"/>
      <c r="I240" s="25"/>
      <c r="J240" s="53"/>
      <c r="K240" s="53"/>
      <c r="L240" s="53"/>
      <c r="M240" s="53"/>
      <c r="N240" s="53"/>
      <c r="O240" s="53"/>
      <c r="P240" s="53"/>
      <c r="Q240" s="57"/>
      <c r="R240" s="53"/>
      <c r="S240" s="53"/>
      <c r="T240" s="53"/>
      <c r="U240" s="53"/>
      <c r="V240" s="53"/>
    </row>
    <row r="241" spans="1:22" s="9" customFormat="1" x14ac:dyDescent="0.2">
      <c r="A241" s="48"/>
      <c r="B241" s="51" t="s">
        <v>0</v>
      </c>
      <c r="C241" s="51" t="s">
        <v>0</v>
      </c>
      <c r="D241" s="24">
        <f>E241+F241+G241+H241+I241</f>
        <v>0</v>
      </c>
      <c r="E241" s="25"/>
      <c r="F241" s="25"/>
      <c r="G241" s="25"/>
      <c r="H241" s="25"/>
      <c r="I241" s="25"/>
      <c r="J241" s="53"/>
      <c r="K241" s="53"/>
      <c r="L241" s="53"/>
      <c r="M241" s="53"/>
      <c r="N241" s="53"/>
      <c r="O241" s="53"/>
      <c r="P241" s="53"/>
      <c r="Q241" s="57"/>
      <c r="R241" s="53"/>
      <c r="S241" s="53"/>
      <c r="T241" s="53"/>
      <c r="U241" s="53"/>
      <c r="V241" s="53"/>
    </row>
    <row r="242" spans="1:22" s="9" customFormat="1" x14ac:dyDescent="0.2">
      <c r="A242" s="48"/>
      <c r="B242" s="51" t="s">
        <v>1</v>
      </c>
      <c r="C242" s="51" t="s">
        <v>1</v>
      </c>
      <c r="D242" s="24">
        <f>E242+F242+G242+H242+I242</f>
        <v>466755.41100000002</v>
      </c>
      <c r="E242" s="25">
        <f>218328-218000+307935.9-89738.499+750</f>
        <v>219275.40100000001</v>
      </c>
      <c r="F242" s="25">
        <f>0+247480.01</f>
        <v>247480.01</v>
      </c>
      <c r="G242" s="25"/>
      <c r="H242" s="25"/>
      <c r="I242" s="25"/>
      <c r="J242" s="53"/>
      <c r="K242" s="53"/>
      <c r="L242" s="53"/>
      <c r="M242" s="53"/>
      <c r="N242" s="53"/>
      <c r="O242" s="53"/>
      <c r="P242" s="53"/>
      <c r="Q242" s="57"/>
      <c r="R242" s="53"/>
      <c r="S242" s="53"/>
      <c r="T242" s="53"/>
      <c r="U242" s="53"/>
      <c r="V242" s="53"/>
    </row>
    <row r="243" spans="1:22" s="9" customFormat="1" x14ac:dyDescent="0.2">
      <c r="A243" s="48"/>
      <c r="B243" s="51" t="s">
        <v>2</v>
      </c>
      <c r="C243" s="51" t="s">
        <v>2</v>
      </c>
      <c r="D243" s="24">
        <f>E243+F243+G243+H243+I243</f>
        <v>0</v>
      </c>
      <c r="E243" s="25"/>
      <c r="F243" s="25"/>
      <c r="G243" s="25"/>
      <c r="H243" s="25"/>
      <c r="I243" s="25"/>
      <c r="J243" s="53"/>
      <c r="K243" s="53"/>
      <c r="L243" s="53"/>
      <c r="M243" s="53"/>
      <c r="N243" s="53"/>
      <c r="O243" s="53"/>
      <c r="P243" s="53"/>
      <c r="Q243" s="57"/>
      <c r="R243" s="53"/>
      <c r="S243" s="53"/>
      <c r="T243" s="53"/>
      <c r="U243" s="53"/>
      <c r="V243" s="53"/>
    </row>
    <row r="244" spans="1:22" s="9" customFormat="1" ht="21.75" customHeight="1" x14ac:dyDescent="0.2">
      <c r="A244" s="48"/>
      <c r="B244" s="51" t="s">
        <v>3</v>
      </c>
      <c r="C244" s="51" t="s">
        <v>3</v>
      </c>
      <c r="D244" s="24">
        <f>E244+F244+G244+H244+I244</f>
        <v>87344.4</v>
      </c>
      <c r="E244" s="25">
        <v>87344.4</v>
      </c>
      <c r="F244" s="25"/>
      <c r="G244" s="25"/>
      <c r="H244" s="25"/>
      <c r="I244" s="25"/>
      <c r="J244" s="53"/>
      <c r="K244" s="53"/>
      <c r="L244" s="53"/>
      <c r="M244" s="53"/>
      <c r="N244" s="53"/>
      <c r="O244" s="53"/>
      <c r="P244" s="53"/>
      <c r="Q244" s="57"/>
      <c r="R244" s="53"/>
      <c r="S244" s="53"/>
      <c r="T244" s="53"/>
      <c r="U244" s="53"/>
      <c r="V244" s="53"/>
    </row>
    <row r="245" spans="1:22" s="9" customFormat="1" ht="12.75" customHeight="1" x14ac:dyDescent="0.2">
      <c r="A245" s="48" t="s">
        <v>528</v>
      </c>
      <c r="B245" s="49" t="s">
        <v>29</v>
      </c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</row>
    <row r="246" spans="1:22" s="9" customFormat="1" ht="12.75" customHeight="1" x14ac:dyDescent="0.2">
      <c r="A246" s="48"/>
      <c r="B246" s="52" t="s">
        <v>450</v>
      </c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</row>
    <row r="247" spans="1:22" s="9" customFormat="1" ht="43.5" customHeight="1" x14ac:dyDescent="0.2">
      <c r="A247" s="48"/>
      <c r="B247" s="50" t="s">
        <v>529</v>
      </c>
      <c r="C247" s="50" t="s">
        <v>529</v>
      </c>
      <c r="D247" s="50"/>
      <c r="E247" s="50"/>
      <c r="F247" s="50"/>
      <c r="G247" s="50"/>
      <c r="H247" s="50"/>
      <c r="I247" s="50"/>
      <c r="J247" s="53" t="s">
        <v>76</v>
      </c>
      <c r="K247" s="53"/>
      <c r="L247" s="53" t="s">
        <v>549</v>
      </c>
      <c r="M247" s="53"/>
      <c r="N247" s="53" t="s">
        <v>29</v>
      </c>
      <c r="O247" s="53" t="s">
        <v>29</v>
      </c>
      <c r="P247" s="53" t="s">
        <v>29</v>
      </c>
      <c r="Q247" s="57"/>
      <c r="R247" s="53" t="s">
        <v>11</v>
      </c>
      <c r="S247" s="53" t="s">
        <v>12</v>
      </c>
      <c r="T247" s="53" t="s">
        <v>18</v>
      </c>
      <c r="U247" s="53"/>
      <c r="V247" s="53"/>
    </row>
    <row r="248" spans="1:22" s="9" customFormat="1" x14ac:dyDescent="0.2">
      <c r="A248" s="48"/>
      <c r="B248" s="51" t="s">
        <v>5</v>
      </c>
      <c r="C248" s="51" t="s">
        <v>5</v>
      </c>
      <c r="D248" s="24">
        <f>SUM(D249:D252)</f>
        <v>390</v>
      </c>
      <c r="E248" s="25">
        <f>SUM(E249:E252)</f>
        <v>390</v>
      </c>
      <c r="F248" s="25"/>
      <c r="G248" s="25"/>
      <c r="H248" s="25"/>
      <c r="I248" s="25"/>
      <c r="J248" s="53"/>
      <c r="K248" s="53"/>
      <c r="L248" s="53"/>
      <c r="M248" s="53"/>
      <c r="N248" s="53"/>
      <c r="O248" s="53"/>
      <c r="P248" s="53"/>
      <c r="Q248" s="57"/>
      <c r="R248" s="53"/>
      <c r="S248" s="53"/>
      <c r="T248" s="53"/>
      <c r="U248" s="53"/>
      <c r="V248" s="53"/>
    </row>
    <row r="249" spans="1:22" s="9" customFormat="1" x14ac:dyDescent="0.2">
      <c r="A249" s="48"/>
      <c r="B249" s="51" t="s">
        <v>0</v>
      </c>
      <c r="C249" s="51" t="s">
        <v>0</v>
      </c>
      <c r="D249" s="24">
        <f>E249+F249+G249+H249+I249</f>
        <v>0</v>
      </c>
      <c r="E249" s="25"/>
      <c r="F249" s="25"/>
      <c r="G249" s="25"/>
      <c r="H249" s="25"/>
      <c r="I249" s="25"/>
      <c r="J249" s="53"/>
      <c r="K249" s="53"/>
      <c r="L249" s="53"/>
      <c r="M249" s="53"/>
      <c r="N249" s="53"/>
      <c r="O249" s="53"/>
      <c r="P249" s="53"/>
      <c r="Q249" s="57"/>
      <c r="R249" s="53"/>
      <c r="S249" s="53"/>
      <c r="T249" s="53"/>
      <c r="U249" s="53"/>
      <c r="V249" s="53"/>
    </row>
    <row r="250" spans="1:22" s="9" customFormat="1" x14ac:dyDescent="0.2">
      <c r="A250" s="48"/>
      <c r="B250" s="51" t="s">
        <v>1</v>
      </c>
      <c r="C250" s="51" t="s">
        <v>1</v>
      </c>
      <c r="D250" s="24">
        <f>E250+F250+G250+H250+I250</f>
        <v>390</v>
      </c>
      <c r="E250" s="25">
        <f>0+390</f>
        <v>390</v>
      </c>
      <c r="F250" s="25"/>
      <c r="G250" s="25"/>
      <c r="H250" s="25"/>
      <c r="I250" s="25"/>
      <c r="J250" s="53"/>
      <c r="K250" s="53"/>
      <c r="L250" s="53"/>
      <c r="M250" s="53"/>
      <c r="N250" s="53"/>
      <c r="O250" s="53"/>
      <c r="P250" s="53"/>
      <c r="Q250" s="57"/>
      <c r="R250" s="53"/>
      <c r="S250" s="53"/>
      <c r="T250" s="53"/>
      <c r="U250" s="53"/>
      <c r="V250" s="53"/>
    </row>
    <row r="251" spans="1:22" s="9" customFormat="1" x14ac:dyDescent="0.2">
      <c r="A251" s="48"/>
      <c r="B251" s="51" t="s">
        <v>2</v>
      </c>
      <c r="C251" s="51" t="s">
        <v>2</v>
      </c>
      <c r="D251" s="24">
        <f>E251+F251+G251+H251+I251</f>
        <v>0</v>
      </c>
      <c r="E251" s="25"/>
      <c r="F251" s="25"/>
      <c r="G251" s="25"/>
      <c r="H251" s="25"/>
      <c r="I251" s="25"/>
      <c r="J251" s="53"/>
      <c r="K251" s="53"/>
      <c r="L251" s="53"/>
      <c r="M251" s="53"/>
      <c r="N251" s="53"/>
      <c r="O251" s="53"/>
      <c r="P251" s="53"/>
      <c r="Q251" s="57"/>
      <c r="R251" s="53"/>
      <c r="S251" s="53"/>
      <c r="T251" s="53"/>
      <c r="U251" s="53"/>
      <c r="V251" s="53"/>
    </row>
    <row r="252" spans="1:22" s="9" customFormat="1" ht="21.75" customHeight="1" x14ac:dyDescent="0.2">
      <c r="A252" s="48"/>
      <c r="B252" s="51" t="s">
        <v>3</v>
      </c>
      <c r="C252" s="51" t="s">
        <v>3</v>
      </c>
      <c r="D252" s="24">
        <f>E252+F252+G252+H252+I252</f>
        <v>0</v>
      </c>
      <c r="E252" s="25"/>
      <c r="F252" s="25"/>
      <c r="G252" s="25"/>
      <c r="H252" s="25"/>
      <c r="I252" s="25"/>
      <c r="J252" s="53"/>
      <c r="K252" s="53"/>
      <c r="L252" s="53"/>
      <c r="M252" s="53"/>
      <c r="N252" s="53"/>
      <c r="O252" s="53"/>
      <c r="P252" s="53"/>
      <c r="Q252" s="57"/>
      <c r="R252" s="53"/>
      <c r="S252" s="53"/>
      <c r="T252" s="53"/>
      <c r="U252" s="53"/>
      <c r="V252" s="53"/>
    </row>
    <row r="253" spans="1:22" s="9" customFormat="1" ht="12.75" customHeight="1" x14ac:dyDescent="0.2">
      <c r="A253" s="54" t="s">
        <v>46</v>
      </c>
      <c r="B253" s="65" t="s">
        <v>120</v>
      </c>
      <c r="C253" s="65"/>
      <c r="D253" s="65"/>
      <c r="E253" s="65"/>
      <c r="F253" s="65"/>
      <c r="G253" s="65"/>
      <c r="H253" s="65"/>
      <c r="I253" s="65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</row>
    <row r="254" spans="1:22" s="9" customFormat="1" ht="12.75" customHeight="1" x14ac:dyDescent="0.2">
      <c r="A254" s="54"/>
      <c r="B254" s="56" t="s">
        <v>5</v>
      </c>
      <c r="C254" s="56"/>
      <c r="D254" s="23">
        <f t="shared" ref="D254" si="26">SUM(D255:D259)</f>
        <v>989888.50905999995</v>
      </c>
      <c r="E254" s="23">
        <f>SUM(E255:E259)</f>
        <v>331075.86906</v>
      </c>
      <c r="F254" s="23">
        <f t="shared" ref="F254:I254" si="27">SUM(F255:F259)</f>
        <v>423571.35</v>
      </c>
      <c r="G254" s="23">
        <f t="shared" si="27"/>
        <v>235241.29</v>
      </c>
      <c r="H254" s="23">
        <f t="shared" si="27"/>
        <v>0</v>
      </c>
      <c r="I254" s="26">
        <f t="shared" si="27"/>
        <v>0</v>
      </c>
      <c r="J254" s="12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4"/>
    </row>
    <row r="255" spans="1:22" s="9" customFormat="1" x14ac:dyDescent="0.2">
      <c r="A255" s="54"/>
      <c r="B255" s="56" t="s">
        <v>0</v>
      </c>
      <c r="C255" s="56"/>
      <c r="D255" s="23">
        <f>E255+F255+G255+H255+I255</f>
        <v>356000</v>
      </c>
      <c r="E255" s="23">
        <f>E264+E273+E281+E289+E297+E305+E313+E321+E329+E337+E345+E353</f>
        <v>166000</v>
      </c>
      <c r="F255" s="23">
        <f t="shared" ref="F255:I255" si="28">F264+F273+F281+F289+F297+F305+F313+F321+F329+F337+F345+F353</f>
        <v>190000</v>
      </c>
      <c r="G255" s="23">
        <f t="shared" si="28"/>
        <v>0</v>
      </c>
      <c r="H255" s="23">
        <f t="shared" si="28"/>
        <v>0</v>
      </c>
      <c r="I255" s="26">
        <f t="shared" si="28"/>
        <v>0</v>
      </c>
      <c r="J255" s="15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7"/>
    </row>
    <row r="256" spans="1:22" s="9" customFormat="1" ht="12.75" customHeight="1" x14ac:dyDescent="0.2">
      <c r="A256" s="54"/>
      <c r="B256" s="56" t="s">
        <v>1</v>
      </c>
      <c r="C256" s="56"/>
      <c r="D256" s="23">
        <f>E256+F256+G256+H256+I256</f>
        <v>585430.52905999997</v>
      </c>
      <c r="E256" s="23">
        <f t="shared" ref="E256:I256" si="29">E265+E274+E282+E290+E298+E306+E314+E322+E330+E338+E346+E354</f>
        <v>116617.88906</v>
      </c>
      <c r="F256" s="23">
        <f t="shared" si="29"/>
        <v>233571.35</v>
      </c>
      <c r="G256" s="23">
        <f t="shared" si="29"/>
        <v>235241.29</v>
      </c>
      <c r="H256" s="23">
        <f t="shared" si="29"/>
        <v>0</v>
      </c>
      <c r="I256" s="26">
        <f t="shared" si="29"/>
        <v>0</v>
      </c>
      <c r="J256" s="15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7"/>
    </row>
    <row r="257" spans="1:22" s="9" customFormat="1" ht="36" customHeight="1" x14ac:dyDescent="0.2">
      <c r="A257" s="54"/>
      <c r="B257" s="56" t="s">
        <v>138</v>
      </c>
      <c r="C257" s="56" t="s">
        <v>138</v>
      </c>
      <c r="D257" s="23">
        <f>E257+F257+G257+H257+I257</f>
        <v>48457.98</v>
      </c>
      <c r="E257" s="23">
        <f t="shared" ref="E257:I257" si="30">E266+E275+E283+E291+E299+E307+E315+E323+E331+E339+E347+E355</f>
        <v>48457.98</v>
      </c>
      <c r="F257" s="23">
        <f t="shared" si="30"/>
        <v>0</v>
      </c>
      <c r="G257" s="23">
        <f t="shared" si="30"/>
        <v>0</v>
      </c>
      <c r="H257" s="23">
        <f t="shared" si="30"/>
        <v>0</v>
      </c>
      <c r="I257" s="26">
        <f t="shared" si="30"/>
        <v>0</v>
      </c>
      <c r="J257" s="15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7"/>
    </row>
    <row r="258" spans="1:22" s="9" customFormat="1" ht="12.75" customHeight="1" x14ac:dyDescent="0.2">
      <c r="A258" s="54"/>
      <c r="B258" s="56" t="s">
        <v>2</v>
      </c>
      <c r="C258" s="56"/>
      <c r="D258" s="23">
        <f>E258+F258+G258+H258+I258</f>
        <v>0</v>
      </c>
      <c r="E258" s="23">
        <f t="shared" ref="E258:I258" si="31">E267+E276+E284+E292+E300+E308+E316+E324+E332+E340+E348+E356</f>
        <v>0</v>
      </c>
      <c r="F258" s="23">
        <f t="shared" si="31"/>
        <v>0</v>
      </c>
      <c r="G258" s="23">
        <f t="shared" si="31"/>
        <v>0</v>
      </c>
      <c r="H258" s="23">
        <f t="shared" si="31"/>
        <v>0</v>
      </c>
      <c r="I258" s="26">
        <f t="shared" si="31"/>
        <v>0</v>
      </c>
      <c r="J258" s="15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7"/>
    </row>
    <row r="259" spans="1:22" s="9" customFormat="1" ht="20.25" customHeight="1" x14ac:dyDescent="0.2">
      <c r="A259" s="54"/>
      <c r="B259" s="56" t="s">
        <v>3</v>
      </c>
      <c r="C259" s="56"/>
      <c r="D259" s="23">
        <f>E259+F259+G259+H259+I259</f>
        <v>0</v>
      </c>
      <c r="E259" s="23">
        <f>E268+E277+E285+E293+E301+E309+E317+E325+E333+E341+E349+E357</f>
        <v>0</v>
      </c>
      <c r="F259" s="23">
        <f>F268+F277+F285+F293+F301+F309+F317+F325+F333+F341+F349+F357</f>
        <v>0</v>
      </c>
      <c r="G259" s="23">
        <f>G268+G277+G285+G293+G301+G309+G317+G325+G333+G341+G349+G357</f>
        <v>0</v>
      </c>
      <c r="H259" s="23">
        <f>H268+H277+H285+H293+H301+H309+H317+H325+H333+H341+H349+H357</f>
        <v>0</v>
      </c>
      <c r="I259" s="26">
        <f>I268+I277+I285+I293+I301+I309+I317+I325+I333+I341+I349+I357</f>
        <v>0</v>
      </c>
      <c r="J259" s="19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1"/>
    </row>
    <row r="260" spans="1:22" s="9" customFormat="1" ht="12.75" customHeight="1" x14ac:dyDescent="0.2">
      <c r="A260" s="48" t="s">
        <v>47</v>
      </c>
      <c r="B260" s="49" t="s">
        <v>93</v>
      </c>
      <c r="C260" s="49"/>
      <c r="D260" s="49"/>
      <c r="E260" s="49"/>
      <c r="F260" s="49"/>
      <c r="G260" s="49"/>
      <c r="H260" s="49"/>
      <c r="I260" s="49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</row>
    <row r="261" spans="1:22" s="9" customFormat="1" ht="12.75" customHeight="1" x14ac:dyDescent="0.2">
      <c r="A261" s="48"/>
      <c r="B261" s="52" t="s">
        <v>451</v>
      </c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</row>
    <row r="262" spans="1:22" s="9" customFormat="1" ht="175.5" customHeight="1" x14ac:dyDescent="0.2">
      <c r="A262" s="48"/>
      <c r="B262" s="50" t="s">
        <v>79</v>
      </c>
      <c r="C262" s="50"/>
      <c r="D262" s="50"/>
      <c r="E262" s="50"/>
      <c r="F262" s="50"/>
      <c r="G262" s="50"/>
      <c r="H262" s="50"/>
      <c r="I262" s="50"/>
      <c r="J262" s="53" t="s">
        <v>60</v>
      </c>
      <c r="K262" s="53"/>
      <c r="L262" s="53" t="s">
        <v>549</v>
      </c>
      <c r="M262" s="53" t="s">
        <v>94</v>
      </c>
      <c r="N262" s="53" t="s">
        <v>282</v>
      </c>
      <c r="O262" s="53" t="s">
        <v>93</v>
      </c>
      <c r="P262" s="53" t="s">
        <v>283</v>
      </c>
      <c r="Q262" s="53" t="s">
        <v>321</v>
      </c>
      <c r="R262" s="53" t="s">
        <v>11</v>
      </c>
      <c r="S262" s="53" t="s">
        <v>12</v>
      </c>
      <c r="T262" s="53" t="s">
        <v>7</v>
      </c>
      <c r="U262" s="53"/>
      <c r="V262" s="53" t="s">
        <v>628</v>
      </c>
    </row>
    <row r="263" spans="1:22" s="9" customFormat="1" ht="12.75" customHeight="1" x14ac:dyDescent="0.2">
      <c r="A263" s="48"/>
      <c r="B263" s="51" t="s">
        <v>5</v>
      </c>
      <c r="C263" s="51"/>
      <c r="D263" s="24">
        <f>SUM(D264:D268)</f>
        <v>48457.98</v>
      </c>
      <c r="E263" s="25">
        <f>SUM(E264:E268)</f>
        <v>48457.98</v>
      </c>
      <c r="F263" s="25"/>
      <c r="G263" s="25"/>
      <c r="H263" s="25"/>
      <c r="I263" s="25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</row>
    <row r="264" spans="1:22" s="9" customFormat="1" ht="12.75" customHeight="1" x14ac:dyDescent="0.2">
      <c r="A264" s="48"/>
      <c r="B264" s="51" t="s">
        <v>0</v>
      </c>
      <c r="C264" s="51"/>
      <c r="D264" s="24">
        <f>E264+F264+G264+H264+I264</f>
        <v>0</v>
      </c>
      <c r="E264" s="25"/>
      <c r="F264" s="25"/>
      <c r="G264" s="25"/>
      <c r="H264" s="25"/>
      <c r="I264" s="25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</row>
    <row r="265" spans="1:22" s="9" customFormat="1" ht="12.75" customHeight="1" x14ac:dyDescent="0.2">
      <c r="A265" s="48"/>
      <c r="B265" s="51" t="s">
        <v>1</v>
      </c>
      <c r="C265" s="51"/>
      <c r="D265" s="24">
        <f>E265+F265+G265+H265+I265</f>
        <v>0</v>
      </c>
      <c r="E265" s="25">
        <f>76402-76402</f>
        <v>0</v>
      </c>
      <c r="F265" s="25"/>
      <c r="G265" s="25"/>
      <c r="H265" s="25"/>
      <c r="I265" s="25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</row>
    <row r="266" spans="1:22" s="9" customFormat="1" ht="31.5" customHeight="1" x14ac:dyDescent="0.2">
      <c r="A266" s="48"/>
      <c r="B266" s="51" t="s">
        <v>138</v>
      </c>
      <c r="C266" s="51"/>
      <c r="D266" s="24">
        <f>E266+F266+G266+H266+I266</f>
        <v>48457.98</v>
      </c>
      <c r="E266" s="25">
        <v>48457.98</v>
      </c>
      <c r="F266" s="25"/>
      <c r="G266" s="25"/>
      <c r="H266" s="25"/>
      <c r="I266" s="25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</row>
    <row r="267" spans="1:22" s="9" customFormat="1" ht="12.75" customHeight="1" x14ac:dyDescent="0.2">
      <c r="A267" s="48"/>
      <c r="B267" s="51" t="s">
        <v>2</v>
      </c>
      <c r="C267" s="51"/>
      <c r="D267" s="24">
        <f>E267+F267+G267+H267+I267</f>
        <v>0</v>
      </c>
      <c r="E267" s="25"/>
      <c r="F267" s="25"/>
      <c r="G267" s="25"/>
      <c r="H267" s="25"/>
      <c r="I267" s="25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</row>
    <row r="268" spans="1:22" s="9" customFormat="1" ht="21.75" customHeight="1" x14ac:dyDescent="0.2">
      <c r="A268" s="48"/>
      <c r="B268" s="51" t="s">
        <v>3</v>
      </c>
      <c r="C268" s="51"/>
      <c r="D268" s="24">
        <f>E268+F268+G268+H268+I268</f>
        <v>0</v>
      </c>
      <c r="E268" s="25"/>
      <c r="F268" s="25"/>
      <c r="G268" s="25"/>
      <c r="H268" s="25"/>
      <c r="I268" s="25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</row>
    <row r="269" spans="1:22" s="9" customFormat="1" ht="12.75" customHeight="1" x14ac:dyDescent="0.2">
      <c r="A269" s="48" t="s">
        <v>48</v>
      </c>
      <c r="B269" s="49" t="s">
        <v>16</v>
      </c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</row>
    <row r="270" spans="1:22" s="9" customFormat="1" ht="12.75" customHeight="1" x14ac:dyDescent="0.2">
      <c r="A270" s="48"/>
      <c r="B270" s="52" t="s">
        <v>452</v>
      </c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</row>
    <row r="271" spans="1:22" s="9" customFormat="1" ht="39.75" customHeight="1" x14ac:dyDescent="0.2">
      <c r="A271" s="48"/>
      <c r="B271" s="50" t="s">
        <v>299</v>
      </c>
      <c r="C271" s="50" t="s">
        <v>299</v>
      </c>
      <c r="D271" s="50"/>
      <c r="E271" s="50"/>
      <c r="F271" s="50"/>
      <c r="G271" s="50"/>
      <c r="H271" s="50"/>
      <c r="I271" s="50"/>
      <c r="J271" s="53" t="s">
        <v>284</v>
      </c>
      <c r="K271" s="53"/>
      <c r="L271" s="53" t="s">
        <v>70</v>
      </c>
      <c r="M271" s="53" t="s">
        <v>121</v>
      </c>
      <c r="N271" s="53" t="s">
        <v>103</v>
      </c>
      <c r="O271" s="53" t="s">
        <v>221</v>
      </c>
      <c r="P271" s="53" t="s">
        <v>103</v>
      </c>
      <c r="Q271" s="57" t="s">
        <v>438</v>
      </c>
      <c r="R271" s="53" t="s">
        <v>11</v>
      </c>
      <c r="S271" s="53" t="s">
        <v>10</v>
      </c>
      <c r="T271" s="53" t="s">
        <v>18</v>
      </c>
      <c r="U271" s="53"/>
      <c r="V271" s="53" t="s">
        <v>436</v>
      </c>
    </row>
    <row r="272" spans="1:22" s="9" customFormat="1" x14ac:dyDescent="0.2">
      <c r="A272" s="48"/>
      <c r="B272" s="51" t="s">
        <v>5</v>
      </c>
      <c r="C272" s="51" t="s">
        <v>5</v>
      </c>
      <c r="D272" s="24">
        <f>SUM(D273:D276)</f>
        <v>815412.64</v>
      </c>
      <c r="E272" s="25">
        <f>SUM(E273:E276)</f>
        <v>174800</v>
      </c>
      <c r="F272" s="25">
        <f t="shared" ref="F272:G272" si="32">SUM(F273:F276)</f>
        <v>405371.35</v>
      </c>
      <c r="G272" s="25">
        <f t="shared" si="32"/>
        <v>235241.29</v>
      </c>
      <c r="H272" s="25"/>
      <c r="I272" s="25"/>
      <c r="J272" s="53"/>
      <c r="K272" s="53"/>
      <c r="L272" s="53"/>
      <c r="M272" s="53"/>
      <c r="N272" s="53"/>
      <c r="O272" s="53"/>
      <c r="P272" s="53"/>
      <c r="Q272" s="57"/>
      <c r="R272" s="53"/>
      <c r="S272" s="53"/>
      <c r="T272" s="53"/>
      <c r="U272" s="53"/>
      <c r="V272" s="53"/>
    </row>
    <row r="273" spans="1:22" s="9" customFormat="1" x14ac:dyDescent="0.2">
      <c r="A273" s="48"/>
      <c r="B273" s="51" t="s">
        <v>0</v>
      </c>
      <c r="C273" s="51" t="s">
        <v>0</v>
      </c>
      <c r="D273" s="24">
        <f>E273+F273+G273+H273+I273</f>
        <v>356000</v>
      </c>
      <c r="E273" s="25">
        <v>166000</v>
      </c>
      <c r="F273" s="25">
        <v>190000</v>
      </c>
      <c r="G273" s="25"/>
      <c r="H273" s="25"/>
      <c r="I273" s="25"/>
      <c r="J273" s="53"/>
      <c r="K273" s="53"/>
      <c r="L273" s="53"/>
      <c r="M273" s="53"/>
      <c r="N273" s="53"/>
      <c r="O273" s="53"/>
      <c r="P273" s="53"/>
      <c r="Q273" s="57"/>
      <c r="R273" s="53"/>
      <c r="S273" s="53"/>
      <c r="T273" s="53"/>
      <c r="U273" s="53"/>
      <c r="V273" s="53"/>
    </row>
    <row r="274" spans="1:22" s="9" customFormat="1" x14ac:dyDescent="0.2">
      <c r="A274" s="48"/>
      <c r="B274" s="51" t="s">
        <v>1</v>
      </c>
      <c r="C274" s="51" t="s">
        <v>1</v>
      </c>
      <c r="D274" s="24">
        <f>E274+F274+G274+H274+I274</f>
        <v>459412.64</v>
      </c>
      <c r="E274" s="25">
        <f>175394.62-69394.62-77435.61818-22000+2235.61818</f>
        <v>8799.9999999999945</v>
      </c>
      <c r="F274" s="25">
        <f>225371.35-10000</f>
        <v>215371.35</v>
      </c>
      <c r="G274" s="25">
        <v>235241.29</v>
      </c>
      <c r="H274" s="25"/>
      <c r="I274" s="25"/>
      <c r="J274" s="53"/>
      <c r="K274" s="53"/>
      <c r="L274" s="53"/>
      <c r="M274" s="53"/>
      <c r="N274" s="53"/>
      <c r="O274" s="53"/>
      <c r="P274" s="53"/>
      <c r="Q274" s="57"/>
      <c r="R274" s="53"/>
      <c r="S274" s="53"/>
      <c r="T274" s="53"/>
      <c r="U274" s="53"/>
      <c r="V274" s="53"/>
    </row>
    <row r="275" spans="1:22" s="9" customFormat="1" x14ac:dyDescent="0.2">
      <c r="A275" s="48"/>
      <c r="B275" s="51" t="s">
        <v>2</v>
      </c>
      <c r="C275" s="51" t="s">
        <v>2</v>
      </c>
      <c r="D275" s="24">
        <f>E275+F275+G275+H275+I275</f>
        <v>0</v>
      </c>
      <c r="E275" s="25"/>
      <c r="F275" s="25"/>
      <c r="G275" s="25"/>
      <c r="H275" s="25"/>
      <c r="I275" s="25"/>
      <c r="J275" s="53"/>
      <c r="K275" s="53"/>
      <c r="L275" s="53"/>
      <c r="M275" s="53"/>
      <c r="N275" s="53"/>
      <c r="O275" s="53"/>
      <c r="P275" s="53"/>
      <c r="Q275" s="57"/>
      <c r="R275" s="53"/>
      <c r="S275" s="53"/>
      <c r="T275" s="53"/>
      <c r="U275" s="53"/>
      <c r="V275" s="53"/>
    </row>
    <row r="276" spans="1:22" s="9" customFormat="1" ht="21.75" customHeight="1" x14ac:dyDescent="0.2">
      <c r="A276" s="48"/>
      <c r="B276" s="51" t="s">
        <v>3</v>
      </c>
      <c r="C276" s="51" t="s">
        <v>3</v>
      </c>
      <c r="D276" s="24">
        <f>E276+F276+G276+H276+I276</f>
        <v>0</v>
      </c>
      <c r="E276" s="25"/>
      <c r="F276" s="25"/>
      <c r="G276" s="25"/>
      <c r="H276" s="25"/>
      <c r="I276" s="25"/>
      <c r="J276" s="53"/>
      <c r="K276" s="53"/>
      <c r="L276" s="53"/>
      <c r="M276" s="53"/>
      <c r="N276" s="53"/>
      <c r="O276" s="53"/>
      <c r="P276" s="53"/>
      <c r="Q276" s="57"/>
      <c r="R276" s="53"/>
      <c r="S276" s="53"/>
      <c r="T276" s="53"/>
      <c r="U276" s="53"/>
      <c r="V276" s="53"/>
    </row>
    <row r="277" spans="1:22" s="9" customFormat="1" ht="12.75" customHeight="1" x14ac:dyDescent="0.2">
      <c r="A277" s="48" t="s">
        <v>143</v>
      </c>
      <c r="B277" s="49" t="s">
        <v>16</v>
      </c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</row>
    <row r="278" spans="1:22" s="9" customFormat="1" ht="12.75" customHeight="1" x14ac:dyDescent="0.2">
      <c r="A278" s="48"/>
      <c r="B278" s="52" t="s">
        <v>452</v>
      </c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</row>
    <row r="279" spans="1:22" s="9" customFormat="1" ht="42" customHeight="1" x14ac:dyDescent="0.2">
      <c r="A279" s="48"/>
      <c r="B279" s="50" t="s">
        <v>516</v>
      </c>
      <c r="C279" s="50" t="s">
        <v>516</v>
      </c>
      <c r="D279" s="50"/>
      <c r="E279" s="50"/>
      <c r="F279" s="50"/>
      <c r="G279" s="50"/>
      <c r="H279" s="50"/>
      <c r="I279" s="50"/>
      <c r="J279" s="53" t="s">
        <v>60</v>
      </c>
      <c r="K279" s="53"/>
      <c r="L279" s="53" t="s">
        <v>70</v>
      </c>
      <c r="M279" s="53"/>
      <c r="N279" s="53" t="s">
        <v>103</v>
      </c>
      <c r="O279" s="53" t="s">
        <v>221</v>
      </c>
      <c r="P279" s="53" t="s">
        <v>103</v>
      </c>
      <c r="Q279" s="57" t="s">
        <v>365</v>
      </c>
      <c r="R279" s="53" t="s">
        <v>11</v>
      </c>
      <c r="S279" s="53" t="s">
        <v>145</v>
      </c>
      <c r="T279" s="53" t="s">
        <v>18</v>
      </c>
      <c r="U279" s="53"/>
      <c r="V279" s="53"/>
    </row>
    <row r="280" spans="1:22" s="9" customFormat="1" x14ac:dyDescent="0.2">
      <c r="A280" s="48"/>
      <c r="B280" s="51" t="s">
        <v>5</v>
      </c>
      <c r="C280" s="51" t="s">
        <v>5</v>
      </c>
      <c r="D280" s="24">
        <f>SUM(D281:D284)</f>
        <v>10384.80248</v>
      </c>
      <c r="E280" s="25">
        <f>SUM(E281:E284)</f>
        <v>10384.80248</v>
      </c>
      <c r="F280" s="25"/>
      <c r="G280" s="25"/>
      <c r="H280" s="25"/>
      <c r="I280" s="25"/>
      <c r="J280" s="53"/>
      <c r="K280" s="53"/>
      <c r="L280" s="53"/>
      <c r="M280" s="53"/>
      <c r="N280" s="53"/>
      <c r="O280" s="53"/>
      <c r="P280" s="53"/>
      <c r="Q280" s="57"/>
      <c r="R280" s="53"/>
      <c r="S280" s="53"/>
      <c r="T280" s="53"/>
      <c r="U280" s="53"/>
      <c r="V280" s="53"/>
    </row>
    <row r="281" spans="1:22" s="9" customFormat="1" x14ac:dyDescent="0.2">
      <c r="A281" s="48"/>
      <c r="B281" s="51" t="s">
        <v>0</v>
      </c>
      <c r="C281" s="51" t="s">
        <v>0</v>
      </c>
      <c r="D281" s="24">
        <f>E281+F281+G281+H281+I281</f>
        <v>0</v>
      </c>
      <c r="E281" s="25"/>
      <c r="F281" s="25"/>
      <c r="G281" s="25"/>
      <c r="H281" s="25"/>
      <c r="I281" s="25"/>
      <c r="J281" s="53"/>
      <c r="K281" s="53"/>
      <c r="L281" s="53"/>
      <c r="M281" s="53"/>
      <c r="N281" s="53"/>
      <c r="O281" s="53"/>
      <c r="P281" s="53"/>
      <c r="Q281" s="57"/>
      <c r="R281" s="53"/>
      <c r="S281" s="53"/>
      <c r="T281" s="53"/>
      <c r="U281" s="53"/>
      <c r="V281" s="53"/>
    </row>
    <row r="282" spans="1:22" s="9" customFormat="1" x14ac:dyDescent="0.2">
      <c r="A282" s="48"/>
      <c r="B282" s="51" t="s">
        <v>1</v>
      </c>
      <c r="C282" s="51" t="s">
        <v>1</v>
      </c>
      <c r="D282" s="24">
        <f>E282+F282+G282+H282+I282</f>
        <v>10384.80248</v>
      </c>
      <c r="E282" s="25">
        <f>23131.43-12000-746.62752</f>
        <v>10384.80248</v>
      </c>
      <c r="F282" s="25"/>
      <c r="G282" s="25"/>
      <c r="H282" s="25"/>
      <c r="I282" s="25"/>
      <c r="J282" s="53"/>
      <c r="K282" s="53"/>
      <c r="L282" s="53"/>
      <c r="M282" s="53"/>
      <c r="N282" s="53"/>
      <c r="O282" s="53"/>
      <c r="P282" s="53"/>
      <c r="Q282" s="57"/>
      <c r="R282" s="53"/>
      <c r="S282" s="53"/>
      <c r="T282" s="53"/>
      <c r="U282" s="53"/>
      <c r="V282" s="53"/>
    </row>
    <row r="283" spans="1:22" s="9" customFormat="1" x14ac:dyDescent="0.2">
      <c r="A283" s="48"/>
      <c r="B283" s="51" t="s">
        <v>2</v>
      </c>
      <c r="C283" s="51" t="s">
        <v>2</v>
      </c>
      <c r="D283" s="24">
        <f>E283+F283+G283+H283+I283</f>
        <v>0</v>
      </c>
      <c r="E283" s="25"/>
      <c r="F283" s="25"/>
      <c r="G283" s="25"/>
      <c r="H283" s="25"/>
      <c r="I283" s="25"/>
      <c r="J283" s="53"/>
      <c r="K283" s="53"/>
      <c r="L283" s="53"/>
      <c r="M283" s="53"/>
      <c r="N283" s="53"/>
      <c r="O283" s="53"/>
      <c r="P283" s="53"/>
      <c r="Q283" s="57"/>
      <c r="R283" s="53"/>
      <c r="S283" s="53"/>
      <c r="T283" s="53"/>
      <c r="U283" s="53"/>
      <c r="V283" s="53"/>
    </row>
    <row r="284" spans="1:22" s="9" customFormat="1" ht="21.75" customHeight="1" x14ac:dyDescent="0.2">
      <c r="A284" s="48"/>
      <c r="B284" s="51" t="s">
        <v>3</v>
      </c>
      <c r="C284" s="51" t="s">
        <v>3</v>
      </c>
      <c r="D284" s="24">
        <f>E284+F284+G284+H284+I284</f>
        <v>0</v>
      </c>
      <c r="E284" s="25"/>
      <c r="F284" s="25"/>
      <c r="G284" s="25"/>
      <c r="H284" s="25"/>
      <c r="I284" s="25"/>
      <c r="J284" s="53"/>
      <c r="K284" s="53"/>
      <c r="L284" s="53"/>
      <c r="M284" s="53"/>
      <c r="N284" s="53"/>
      <c r="O284" s="53"/>
      <c r="P284" s="53"/>
      <c r="Q284" s="57"/>
      <c r="R284" s="53"/>
      <c r="S284" s="53"/>
      <c r="T284" s="53"/>
      <c r="U284" s="53"/>
      <c r="V284" s="53"/>
    </row>
    <row r="285" spans="1:22" s="9" customFormat="1" ht="12.75" customHeight="1" x14ac:dyDescent="0.2">
      <c r="A285" s="48" t="s">
        <v>171</v>
      </c>
      <c r="B285" s="49" t="s">
        <v>16</v>
      </c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</row>
    <row r="286" spans="1:22" s="9" customFormat="1" ht="12.75" customHeight="1" x14ac:dyDescent="0.2">
      <c r="A286" s="48"/>
      <c r="B286" s="52" t="s">
        <v>452</v>
      </c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</row>
    <row r="287" spans="1:22" s="9" customFormat="1" ht="43.5" customHeight="1" x14ac:dyDescent="0.2">
      <c r="A287" s="48"/>
      <c r="B287" s="50" t="s">
        <v>300</v>
      </c>
      <c r="C287" s="50" t="s">
        <v>300</v>
      </c>
      <c r="D287" s="50"/>
      <c r="E287" s="50"/>
      <c r="F287" s="50"/>
      <c r="G287" s="50"/>
      <c r="H287" s="50"/>
      <c r="I287" s="50"/>
      <c r="J287" s="53"/>
      <c r="K287" s="53" t="s">
        <v>60</v>
      </c>
      <c r="L287" s="53" t="s">
        <v>70</v>
      </c>
      <c r="M287" s="53" t="s">
        <v>223</v>
      </c>
      <c r="N287" s="53" t="s">
        <v>103</v>
      </c>
      <c r="O287" s="53" t="s">
        <v>221</v>
      </c>
      <c r="P287" s="53" t="s">
        <v>103</v>
      </c>
      <c r="Q287" s="57"/>
      <c r="R287" s="53" t="s">
        <v>11</v>
      </c>
      <c r="S287" s="53" t="s">
        <v>145</v>
      </c>
      <c r="T287" s="53" t="s">
        <v>85</v>
      </c>
      <c r="U287" s="53"/>
      <c r="V287" s="53"/>
    </row>
    <row r="288" spans="1:22" s="9" customFormat="1" x14ac:dyDescent="0.2">
      <c r="A288" s="48"/>
      <c r="B288" s="51" t="s">
        <v>5</v>
      </c>
      <c r="C288" s="51" t="s">
        <v>5</v>
      </c>
      <c r="D288" s="24">
        <f>SUM(D289:D292)</f>
        <v>18200</v>
      </c>
      <c r="E288" s="25">
        <f>SUM(E289:E292)</f>
        <v>0</v>
      </c>
      <c r="F288" s="25">
        <f>SUM(F289:F292)</f>
        <v>18200</v>
      </c>
      <c r="G288" s="25"/>
      <c r="H288" s="25"/>
      <c r="I288" s="25"/>
      <c r="J288" s="53"/>
      <c r="K288" s="53"/>
      <c r="L288" s="53"/>
      <c r="M288" s="53"/>
      <c r="N288" s="53"/>
      <c r="O288" s="53"/>
      <c r="P288" s="53"/>
      <c r="Q288" s="57"/>
      <c r="R288" s="53"/>
      <c r="S288" s="53"/>
      <c r="T288" s="53"/>
      <c r="U288" s="53"/>
      <c r="V288" s="53"/>
    </row>
    <row r="289" spans="1:22" s="9" customFormat="1" x14ac:dyDescent="0.2">
      <c r="A289" s="48"/>
      <c r="B289" s="51" t="s">
        <v>0</v>
      </c>
      <c r="C289" s="51" t="s">
        <v>0</v>
      </c>
      <c r="D289" s="24">
        <f>E289+F289+G289+H289+I289</f>
        <v>0</v>
      </c>
      <c r="E289" s="25"/>
      <c r="F289" s="25"/>
      <c r="G289" s="25"/>
      <c r="H289" s="25"/>
      <c r="I289" s="25"/>
      <c r="J289" s="53"/>
      <c r="K289" s="53"/>
      <c r="L289" s="53"/>
      <c r="M289" s="53"/>
      <c r="N289" s="53"/>
      <c r="O289" s="53"/>
      <c r="P289" s="53"/>
      <c r="Q289" s="57"/>
      <c r="R289" s="53"/>
      <c r="S289" s="53"/>
      <c r="T289" s="53"/>
      <c r="U289" s="53"/>
      <c r="V289" s="53"/>
    </row>
    <row r="290" spans="1:22" s="9" customFormat="1" x14ac:dyDescent="0.2">
      <c r="A290" s="48"/>
      <c r="B290" s="51" t="s">
        <v>1</v>
      </c>
      <c r="C290" s="51" t="s">
        <v>1</v>
      </c>
      <c r="D290" s="24">
        <f>E290+F290+G290+H290+I290</f>
        <v>18200</v>
      </c>
      <c r="E290" s="25">
        <f>18200-18200</f>
        <v>0</v>
      </c>
      <c r="F290" s="25">
        <f>0+18200</f>
        <v>18200</v>
      </c>
      <c r="G290" s="25"/>
      <c r="H290" s="25"/>
      <c r="I290" s="25"/>
      <c r="J290" s="53"/>
      <c r="K290" s="53"/>
      <c r="L290" s="53"/>
      <c r="M290" s="53"/>
      <c r="N290" s="53"/>
      <c r="O290" s="53"/>
      <c r="P290" s="53"/>
      <c r="Q290" s="57"/>
      <c r="R290" s="53"/>
      <c r="S290" s="53"/>
      <c r="T290" s="53"/>
      <c r="U290" s="53"/>
      <c r="V290" s="53"/>
    </row>
    <row r="291" spans="1:22" s="9" customFormat="1" x14ac:dyDescent="0.2">
      <c r="A291" s="48"/>
      <c r="B291" s="51" t="s">
        <v>2</v>
      </c>
      <c r="C291" s="51" t="s">
        <v>2</v>
      </c>
      <c r="D291" s="24">
        <f>E291+F291+G291+H291+I291</f>
        <v>0</v>
      </c>
      <c r="E291" s="25"/>
      <c r="F291" s="25"/>
      <c r="G291" s="25"/>
      <c r="H291" s="25"/>
      <c r="I291" s="25"/>
      <c r="J291" s="53"/>
      <c r="K291" s="53"/>
      <c r="L291" s="53"/>
      <c r="M291" s="53"/>
      <c r="N291" s="53"/>
      <c r="O291" s="53"/>
      <c r="P291" s="53"/>
      <c r="Q291" s="57"/>
      <c r="R291" s="53"/>
      <c r="S291" s="53"/>
      <c r="T291" s="53"/>
      <c r="U291" s="53"/>
      <c r="V291" s="53"/>
    </row>
    <row r="292" spans="1:22" s="9" customFormat="1" ht="21.75" customHeight="1" x14ac:dyDescent="0.2">
      <c r="A292" s="48"/>
      <c r="B292" s="51" t="s">
        <v>3</v>
      </c>
      <c r="C292" s="51" t="s">
        <v>3</v>
      </c>
      <c r="D292" s="24">
        <f>E292+F292+G292+H292+I292</f>
        <v>0</v>
      </c>
      <c r="E292" s="25"/>
      <c r="F292" s="25"/>
      <c r="G292" s="25"/>
      <c r="H292" s="25"/>
      <c r="I292" s="25"/>
      <c r="J292" s="53"/>
      <c r="K292" s="53"/>
      <c r="L292" s="53"/>
      <c r="M292" s="53"/>
      <c r="N292" s="53"/>
      <c r="O292" s="53"/>
      <c r="P292" s="53"/>
      <c r="Q292" s="57"/>
      <c r="R292" s="53"/>
      <c r="S292" s="53"/>
      <c r="T292" s="53"/>
      <c r="U292" s="53"/>
      <c r="V292" s="53"/>
    </row>
    <row r="293" spans="1:22" s="9" customFormat="1" ht="12.75" customHeight="1" x14ac:dyDescent="0.2">
      <c r="A293" s="48" t="s">
        <v>238</v>
      </c>
      <c r="B293" s="49" t="s">
        <v>221</v>
      </c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</row>
    <row r="294" spans="1:22" s="9" customFormat="1" ht="12.75" customHeight="1" x14ac:dyDescent="0.2">
      <c r="A294" s="48"/>
      <c r="B294" s="52" t="s">
        <v>452</v>
      </c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</row>
    <row r="295" spans="1:22" s="9" customFormat="1" ht="42.75" customHeight="1" x14ac:dyDescent="0.2">
      <c r="A295" s="48"/>
      <c r="B295" s="50" t="s">
        <v>601</v>
      </c>
      <c r="C295" s="50" t="s">
        <v>601</v>
      </c>
      <c r="D295" s="50"/>
      <c r="E295" s="50"/>
      <c r="F295" s="50"/>
      <c r="G295" s="50"/>
      <c r="H295" s="50"/>
      <c r="I295" s="50"/>
      <c r="J295" s="53" t="s">
        <v>76</v>
      </c>
      <c r="K295" s="53" t="s">
        <v>60</v>
      </c>
      <c r="L295" s="53" t="s">
        <v>550</v>
      </c>
      <c r="M295" s="53" t="s">
        <v>222</v>
      </c>
      <c r="N295" s="53" t="s">
        <v>646</v>
      </c>
      <c r="O295" s="53" t="s">
        <v>221</v>
      </c>
      <c r="P295" s="53" t="s">
        <v>646</v>
      </c>
      <c r="Q295" s="57" t="s">
        <v>151</v>
      </c>
      <c r="R295" s="53" t="s">
        <v>11</v>
      </c>
      <c r="S295" s="53" t="s">
        <v>152</v>
      </c>
      <c r="T295" s="53" t="s">
        <v>18</v>
      </c>
      <c r="U295" s="53"/>
      <c r="V295" s="53"/>
    </row>
    <row r="296" spans="1:22" s="9" customFormat="1" x14ac:dyDescent="0.2">
      <c r="A296" s="48"/>
      <c r="B296" s="51" t="s">
        <v>5</v>
      </c>
      <c r="C296" s="51" t="s">
        <v>5</v>
      </c>
      <c r="D296" s="24">
        <f>SUM(D297:D300)</f>
        <v>10205.714</v>
      </c>
      <c r="E296" s="25">
        <f>SUM(E297:E300)</f>
        <v>10205.714</v>
      </c>
      <c r="F296" s="25"/>
      <c r="G296" s="25"/>
      <c r="H296" s="25"/>
      <c r="I296" s="25"/>
      <c r="J296" s="53"/>
      <c r="K296" s="53"/>
      <c r="L296" s="53"/>
      <c r="M296" s="53"/>
      <c r="N296" s="53"/>
      <c r="O296" s="53"/>
      <c r="P296" s="53"/>
      <c r="Q296" s="57"/>
      <c r="R296" s="53"/>
      <c r="S296" s="53"/>
      <c r="T296" s="53"/>
      <c r="U296" s="53"/>
      <c r="V296" s="53"/>
    </row>
    <row r="297" spans="1:22" s="9" customFormat="1" x14ac:dyDescent="0.2">
      <c r="A297" s="48"/>
      <c r="B297" s="51" t="s">
        <v>0</v>
      </c>
      <c r="C297" s="51" t="s">
        <v>0</v>
      </c>
      <c r="D297" s="24">
        <f>E297+F297+G297+H297+I297</f>
        <v>0</v>
      </c>
      <c r="E297" s="25"/>
      <c r="F297" s="25"/>
      <c r="G297" s="25"/>
      <c r="H297" s="25"/>
      <c r="I297" s="25"/>
      <c r="J297" s="53"/>
      <c r="K297" s="53"/>
      <c r="L297" s="53"/>
      <c r="M297" s="53"/>
      <c r="N297" s="53"/>
      <c r="O297" s="53"/>
      <c r="P297" s="53"/>
      <c r="Q297" s="57"/>
      <c r="R297" s="53"/>
      <c r="S297" s="53"/>
      <c r="T297" s="53"/>
      <c r="U297" s="53"/>
      <c r="V297" s="53"/>
    </row>
    <row r="298" spans="1:22" s="9" customFormat="1" x14ac:dyDescent="0.2">
      <c r="A298" s="48"/>
      <c r="B298" s="51" t="s">
        <v>1</v>
      </c>
      <c r="C298" s="51" t="s">
        <v>1</v>
      </c>
      <c r="D298" s="24">
        <f>E298+F298+G298+H298+I298</f>
        <v>10205.714</v>
      </c>
      <c r="E298" s="25">
        <f>10205.714+45936-13234.39-495.506+495.506-32701.61</f>
        <v>10205.714</v>
      </c>
      <c r="F298" s="25"/>
      <c r="G298" s="25"/>
      <c r="H298" s="25"/>
      <c r="I298" s="25"/>
      <c r="J298" s="53"/>
      <c r="K298" s="53"/>
      <c r="L298" s="53"/>
      <c r="M298" s="53"/>
      <c r="N298" s="53"/>
      <c r="O298" s="53"/>
      <c r="P298" s="53"/>
      <c r="Q298" s="57"/>
      <c r="R298" s="53"/>
      <c r="S298" s="53"/>
      <c r="T298" s="53"/>
      <c r="U298" s="53"/>
      <c r="V298" s="53"/>
    </row>
    <row r="299" spans="1:22" s="9" customFormat="1" x14ac:dyDescent="0.2">
      <c r="A299" s="48"/>
      <c r="B299" s="51" t="s">
        <v>2</v>
      </c>
      <c r="C299" s="51" t="s">
        <v>2</v>
      </c>
      <c r="D299" s="24">
        <f>E299+F299+G299+H299+I299</f>
        <v>0</v>
      </c>
      <c r="E299" s="25"/>
      <c r="F299" s="25"/>
      <c r="G299" s="25"/>
      <c r="H299" s="25"/>
      <c r="I299" s="25"/>
      <c r="J299" s="53"/>
      <c r="K299" s="53"/>
      <c r="L299" s="53"/>
      <c r="M299" s="53"/>
      <c r="N299" s="53"/>
      <c r="O299" s="53"/>
      <c r="P299" s="53"/>
      <c r="Q299" s="57"/>
      <c r="R299" s="53"/>
      <c r="S299" s="53"/>
      <c r="T299" s="53"/>
      <c r="U299" s="53"/>
      <c r="V299" s="53"/>
    </row>
    <row r="300" spans="1:22" s="9" customFormat="1" ht="21.75" customHeight="1" x14ac:dyDescent="0.2">
      <c r="A300" s="48"/>
      <c r="B300" s="51" t="s">
        <v>3</v>
      </c>
      <c r="C300" s="51" t="s">
        <v>3</v>
      </c>
      <c r="D300" s="24">
        <f>E300+F300+G300+H300+I300</f>
        <v>0</v>
      </c>
      <c r="E300" s="25"/>
      <c r="F300" s="25"/>
      <c r="G300" s="25"/>
      <c r="H300" s="25"/>
      <c r="I300" s="25"/>
      <c r="J300" s="53"/>
      <c r="K300" s="53"/>
      <c r="L300" s="53"/>
      <c r="M300" s="53"/>
      <c r="N300" s="53"/>
      <c r="O300" s="53"/>
      <c r="P300" s="53"/>
      <c r="Q300" s="57"/>
      <c r="R300" s="53"/>
      <c r="S300" s="53"/>
      <c r="T300" s="53"/>
      <c r="U300" s="53"/>
      <c r="V300" s="53"/>
    </row>
    <row r="301" spans="1:22" s="9" customFormat="1" ht="12.75" customHeight="1" x14ac:dyDescent="0.2">
      <c r="A301" s="48" t="s">
        <v>239</v>
      </c>
      <c r="B301" s="49" t="s">
        <v>16</v>
      </c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</row>
    <row r="302" spans="1:22" s="9" customFormat="1" ht="12.75" customHeight="1" x14ac:dyDescent="0.2">
      <c r="A302" s="48"/>
      <c r="B302" s="52" t="s">
        <v>452</v>
      </c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</row>
    <row r="303" spans="1:22" s="9" customFormat="1" ht="41.25" customHeight="1" x14ac:dyDescent="0.2">
      <c r="A303" s="48"/>
      <c r="B303" s="50" t="s">
        <v>377</v>
      </c>
      <c r="C303" s="50" t="s">
        <v>377</v>
      </c>
      <c r="D303" s="50"/>
      <c r="E303" s="50"/>
      <c r="F303" s="50"/>
      <c r="G303" s="50"/>
      <c r="H303" s="50"/>
      <c r="I303" s="50"/>
      <c r="J303" s="53"/>
      <c r="K303" s="53" t="s">
        <v>60</v>
      </c>
      <c r="L303" s="53" t="s">
        <v>70</v>
      </c>
      <c r="M303" s="53" t="s">
        <v>325</v>
      </c>
      <c r="N303" s="53" t="s">
        <v>103</v>
      </c>
      <c r="O303" s="53" t="s">
        <v>221</v>
      </c>
      <c r="P303" s="53" t="s">
        <v>103</v>
      </c>
      <c r="Q303" s="57" t="s">
        <v>437</v>
      </c>
      <c r="R303" s="53" t="s">
        <v>11</v>
      </c>
      <c r="S303" s="53" t="s">
        <v>10</v>
      </c>
      <c r="T303" s="53" t="s">
        <v>85</v>
      </c>
      <c r="U303" s="53"/>
      <c r="V303" s="53" t="s">
        <v>647</v>
      </c>
    </row>
    <row r="304" spans="1:22" s="9" customFormat="1" x14ac:dyDescent="0.2">
      <c r="A304" s="48"/>
      <c r="B304" s="51" t="s">
        <v>5</v>
      </c>
      <c r="C304" s="51" t="s">
        <v>5</v>
      </c>
      <c r="D304" s="24">
        <f>SUM(D305:D308)</f>
        <v>15299.225</v>
      </c>
      <c r="E304" s="25">
        <f>SUM(E305:E308)</f>
        <v>15299.225</v>
      </c>
      <c r="F304" s="25"/>
      <c r="G304" s="25"/>
      <c r="H304" s="25"/>
      <c r="I304" s="25"/>
      <c r="J304" s="53"/>
      <c r="K304" s="53"/>
      <c r="L304" s="53"/>
      <c r="M304" s="53"/>
      <c r="N304" s="53"/>
      <c r="O304" s="53"/>
      <c r="P304" s="53"/>
      <c r="Q304" s="57"/>
      <c r="R304" s="53"/>
      <c r="S304" s="53"/>
      <c r="T304" s="53"/>
      <c r="U304" s="53"/>
      <c r="V304" s="53"/>
    </row>
    <row r="305" spans="1:22" s="9" customFormat="1" x14ac:dyDescent="0.2">
      <c r="A305" s="48"/>
      <c r="B305" s="51" t="s">
        <v>0</v>
      </c>
      <c r="C305" s="51" t="s">
        <v>0</v>
      </c>
      <c r="D305" s="24">
        <f>E305+F305+G305+H305+I305</f>
        <v>0</v>
      </c>
      <c r="E305" s="25"/>
      <c r="F305" s="25"/>
      <c r="G305" s="25"/>
      <c r="H305" s="25"/>
      <c r="I305" s="25"/>
      <c r="J305" s="53"/>
      <c r="K305" s="53"/>
      <c r="L305" s="53"/>
      <c r="M305" s="53"/>
      <c r="N305" s="53"/>
      <c r="O305" s="53"/>
      <c r="P305" s="53"/>
      <c r="Q305" s="57"/>
      <c r="R305" s="53"/>
      <c r="S305" s="53"/>
      <c r="T305" s="53"/>
      <c r="U305" s="53"/>
      <c r="V305" s="53"/>
    </row>
    <row r="306" spans="1:22" s="9" customFormat="1" x14ac:dyDescent="0.2">
      <c r="A306" s="48"/>
      <c r="B306" s="51" t="s">
        <v>1</v>
      </c>
      <c r="C306" s="51" t="s">
        <v>1</v>
      </c>
      <c r="D306" s="24">
        <f>E306+F306+G306+H306+I306</f>
        <v>15299.225</v>
      </c>
      <c r="E306" s="25">
        <f>15000+3500-3200.775</f>
        <v>15299.225</v>
      </c>
      <c r="F306" s="25"/>
      <c r="G306" s="25"/>
      <c r="H306" s="25"/>
      <c r="I306" s="25"/>
      <c r="J306" s="53"/>
      <c r="K306" s="53"/>
      <c r="L306" s="53"/>
      <c r="M306" s="53"/>
      <c r="N306" s="53"/>
      <c r="O306" s="53"/>
      <c r="P306" s="53"/>
      <c r="Q306" s="57"/>
      <c r="R306" s="53"/>
      <c r="S306" s="53"/>
      <c r="T306" s="53"/>
      <c r="U306" s="53"/>
      <c r="V306" s="53"/>
    </row>
    <row r="307" spans="1:22" s="9" customFormat="1" x14ac:dyDescent="0.2">
      <c r="A307" s="48"/>
      <c r="B307" s="51" t="s">
        <v>2</v>
      </c>
      <c r="C307" s="51" t="s">
        <v>2</v>
      </c>
      <c r="D307" s="24">
        <f>E307+F307+G307+H307+I307</f>
        <v>0</v>
      </c>
      <c r="E307" s="25"/>
      <c r="F307" s="25"/>
      <c r="G307" s="25"/>
      <c r="H307" s="25"/>
      <c r="I307" s="25"/>
      <c r="J307" s="53"/>
      <c r="K307" s="53"/>
      <c r="L307" s="53"/>
      <c r="M307" s="53"/>
      <c r="N307" s="53"/>
      <c r="O307" s="53"/>
      <c r="P307" s="53"/>
      <c r="Q307" s="57"/>
      <c r="R307" s="53"/>
      <c r="S307" s="53"/>
      <c r="T307" s="53"/>
      <c r="U307" s="53"/>
      <c r="V307" s="53"/>
    </row>
    <row r="308" spans="1:22" s="9" customFormat="1" ht="21.75" customHeight="1" x14ac:dyDescent="0.2">
      <c r="A308" s="48"/>
      <c r="B308" s="51" t="s">
        <v>3</v>
      </c>
      <c r="C308" s="51" t="s">
        <v>3</v>
      </c>
      <c r="D308" s="24">
        <f>E308+F308+G308+H308+I308</f>
        <v>0</v>
      </c>
      <c r="E308" s="25"/>
      <c r="F308" s="25"/>
      <c r="G308" s="25"/>
      <c r="H308" s="25"/>
      <c r="I308" s="25"/>
      <c r="J308" s="53"/>
      <c r="K308" s="53"/>
      <c r="L308" s="53"/>
      <c r="M308" s="53"/>
      <c r="N308" s="53"/>
      <c r="O308" s="53"/>
      <c r="P308" s="53"/>
      <c r="Q308" s="57"/>
      <c r="R308" s="53"/>
      <c r="S308" s="53"/>
      <c r="T308" s="53"/>
      <c r="U308" s="53"/>
      <c r="V308" s="53"/>
    </row>
    <row r="309" spans="1:22" s="9" customFormat="1" ht="12.75" customHeight="1" x14ac:dyDescent="0.2">
      <c r="A309" s="48" t="s">
        <v>403</v>
      </c>
      <c r="B309" s="49" t="s">
        <v>16</v>
      </c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</row>
    <row r="310" spans="1:22" s="9" customFormat="1" ht="12.75" customHeight="1" x14ac:dyDescent="0.2">
      <c r="A310" s="48"/>
      <c r="B310" s="52" t="s">
        <v>452</v>
      </c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</row>
    <row r="311" spans="1:22" s="9" customFormat="1" ht="43.5" customHeight="1" x14ac:dyDescent="0.2">
      <c r="A311" s="48"/>
      <c r="B311" s="50" t="s">
        <v>399</v>
      </c>
      <c r="C311" s="50" t="s">
        <v>399</v>
      </c>
      <c r="D311" s="50"/>
      <c r="E311" s="50"/>
      <c r="F311" s="50"/>
      <c r="G311" s="50"/>
      <c r="H311" s="50"/>
      <c r="I311" s="50"/>
      <c r="J311" s="53" t="s">
        <v>400</v>
      </c>
      <c r="K311" s="53"/>
      <c r="L311" s="53" t="s">
        <v>70</v>
      </c>
      <c r="M311" s="53" t="s">
        <v>401</v>
      </c>
      <c r="N311" s="53" t="s">
        <v>103</v>
      </c>
      <c r="O311" s="53" t="s">
        <v>221</v>
      </c>
      <c r="P311" s="53" t="s">
        <v>103</v>
      </c>
      <c r="Q311" s="57" t="s">
        <v>402</v>
      </c>
      <c r="R311" s="53" t="s">
        <v>11</v>
      </c>
      <c r="S311" s="53" t="s">
        <v>13</v>
      </c>
      <c r="T311" s="53" t="s">
        <v>7</v>
      </c>
      <c r="U311" s="53"/>
      <c r="V311" s="53" t="s">
        <v>648</v>
      </c>
    </row>
    <row r="312" spans="1:22" s="9" customFormat="1" x14ac:dyDescent="0.2">
      <c r="A312" s="48"/>
      <c r="B312" s="51" t="s">
        <v>5</v>
      </c>
      <c r="C312" s="51" t="s">
        <v>5</v>
      </c>
      <c r="D312" s="24">
        <f>SUM(D313:D316)</f>
        <v>13980.15415</v>
      </c>
      <c r="E312" s="25">
        <f>SUM(E313:E316)</f>
        <v>13980.15415</v>
      </c>
      <c r="F312" s="25"/>
      <c r="G312" s="25"/>
      <c r="H312" s="25"/>
      <c r="I312" s="25"/>
      <c r="J312" s="53"/>
      <c r="K312" s="53"/>
      <c r="L312" s="53"/>
      <c r="M312" s="53"/>
      <c r="N312" s="53"/>
      <c r="O312" s="53"/>
      <c r="P312" s="53"/>
      <c r="Q312" s="57"/>
      <c r="R312" s="53"/>
      <c r="S312" s="53"/>
      <c r="T312" s="53"/>
      <c r="U312" s="53"/>
      <c r="V312" s="53"/>
    </row>
    <row r="313" spans="1:22" s="9" customFormat="1" x14ac:dyDescent="0.2">
      <c r="A313" s="48"/>
      <c r="B313" s="51" t="s">
        <v>0</v>
      </c>
      <c r="C313" s="51" t="s">
        <v>0</v>
      </c>
      <c r="D313" s="24">
        <f>E313+F313+G313+H313+I313</f>
        <v>0</v>
      </c>
      <c r="E313" s="25"/>
      <c r="F313" s="25"/>
      <c r="G313" s="25"/>
      <c r="H313" s="25"/>
      <c r="I313" s="25"/>
      <c r="J313" s="53"/>
      <c r="K313" s="53"/>
      <c r="L313" s="53"/>
      <c r="M313" s="53"/>
      <c r="N313" s="53"/>
      <c r="O313" s="53"/>
      <c r="P313" s="53"/>
      <c r="Q313" s="57"/>
      <c r="R313" s="53"/>
      <c r="S313" s="53"/>
      <c r="T313" s="53"/>
      <c r="U313" s="53"/>
      <c r="V313" s="53"/>
    </row>
    <row r="314" spans="1:22" s="9" customFormat="1" x14ac:dyDescent="0.2">
      <c r="A314" s="48"/>
      <c r="B314" s="51" t="s">
        <v>1</v>
      </c>
      <c r="C314" s="51" t="s">
        <v>1</v>
      </c>
      <c r="D314" s="24">
        <f>E314+F314+G314+H314+I314</f>
        <v>13980.15415</v>
      </c>
      <c r="E314" s="25">
        <v>13980.15415</v>
      </c>
      <c r="F314" s="25"/>
      <c r="G314" s="25"/>
      <c r="H314" s="25"/>
      <c r="I314" s="25"/>
      <c r="J314" s="53"/>
      <c r="K314" s="53"/>
      <c r="L314" s="53"/>
      <c r="M314" s="53"/>
      <c r="N314" s="53"/>
      <c r="O314" s="53"/>
      <c r="P314" s="53"/>
      <c r="Q314" s="57"/>
      <c r="R314" s="53"/>
      <c r="S314" s="53"/>
      <c r="T314" s="53"/>
      <c r="U314" s="53"/>
      <c r="V314" s="53"/>
    </row>
    <row r="315" spans="1:22" s="9" customFormat="1" x14ac:dyDescent="0.2">
      <c r="A315" s="48"/>
      <c r="B315" s="51" t="s">
        <v>2</v>
      </c>
      <c r="C315" s="51" t="s">
        <v>2</v>
      </c>
      <c r="D315" s="24">
        <f>E315+F315+G315+H315+I315</f>
        <v>0</v>
      </c>
      <c r="E315" s="25"/>
      <c r="F315" s="25"/>
      <c r="G315" s="25"/>
      <c r="H315" s="25"/>
      <c r="I315" s="25"/>
      <c r="J315" s="53"/>
      <c r="K315" s="53"/>
      <c r="L315" s="53"/>
      <c r="M315" s="53"/>
      <c r="N315" s="53"/>
      <c r="O315" s="53"/>
      <c r="P315" s="53"/>
      <c r="Q315" s="57"/>
      <c r="R315" s="53"/>
      <c r="S315" s="53"/>
      <c r="T315" s="53"/>
      <c r="U315" s="53"/>
      <c r="V315" s="53"/>
    </row>
    <row r="316" spans="1:22" s="9" customFormat="1" ht="21.75" customHeight="1" x14ac:dyDescent="0.2">
      <c r="A316" s="48"/>
      <c r="B316" s="51" t="s">
        <v>3</v>
      </c>
      <c r="C316" s="51" t="s">
        <v>3</v>
      </c>
      <c r="D316" s="24">
        <f>E316+F316+G316+H316+I316</f>
        <v>0</v>
      </c>
      <c r="E316" s="25"/>
      <c r="F316" s="25"/>
      <c r="G316" s="25"/>
      <c r="H316" s="25"/>
      <c r="I316" s="25"/>
      <c r="J316" s="53"/>
      <c r="K316" s="53"/>
      <c r="L316" s="53"/>
      <c r="M316" s="53"/>
      <c r="N316" s="53"/>
      <c r="O316" s="53"/>
      <c r="P316" s="53"/>
      <c r="Q316" s="57"/>
      <c r="R316" s="53"/>
      <c r="S316" s="53"/>
      <c r="T316" s="53"/>
      <c r="U316" s="53"/>
      <c r="V316" s="53"/>
    </row>
    <row r="317" spans="1:22" s="9" customFormat="1" ht="12.75" customHeight="1" x14ac:dyDescent="0.2">
      <c r="A317" s="48" t="s">
        <v>404</v>
      </c>
      <c r="B317" s="49" t="s">
        <v>221</v>
      </c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</row>
    <row r="318" spans="1:22" s="9" customFormat="1" ht="12.75" customHeight="1" x14ac:dyDescent="0.2">
      <c r="A318" s="48"/>
      <c r="B318" s="52" t="s">
        <v>452</v>
      </c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</row>
    <row r="319" spans="1:22" s="9" customFormat="1" ht="41.25" customHeight="1" x14ac:dyDescent="0.2">
      <c r="A319" s="48"/>
      <c r="B319" s="50" t="s">
        <v>617</v>
      </c>
      <c r="C319" s="50" t="s">
        <v>617</v>
      </c>
      <c r="D319" s="50"/>
      <c r="E319" s="50"/>
      <c r="F319" s="50"/>
      <c r="G319" s="50"/>
      <c r="H319" s="50"/>
      <c r="I319" s="50"/>
      <c r="J319" s="53"/>
      <c r="K319" s="53" t="s">
        <v>60</v>
      </c>
      <c r="L319" s="53" t="s">
        <v>549</v>
      </c>
      <c r="M319" s="53"/>
      <c r="N319" s="53" t="s">
        <v>432</v>
      </c>
      <c r="O319" s="53" t="s">
        <v>221</v>
      </c>
      <c r="P319" s="53" t="s">
        <v>432</v>
      </c>
      <c r="Q319" s="57"/>
      <c r="R319" s="53" t="s">
        <v>11</v>
      </c>
      <c r="S319" s="53" t="s">
        <v>10</v>
      </c>
      <c r="T319" s="53" t="s">
        <v>85</v>
      </c>
      <c r="U319" s="53"/>
      <c r="V319" s="53"/>
    </row>
    <row r="320" spans="1:22" s="9" customFormat="1" x14ac:dyDescent="0.2">
      <c r="A320" s="48"/>
      <c r="B320" s="51" t="s">
        <v>5</v>
      </c>
      <c r="C320" s="51" t="s">
        <v>5</v>
      </c>
      <c r="D320" s="24">
        <f>SUM(D321:D324)</f>
        <v>1449.5031399999989</v>
      </c>
      <c r="E320" s="25">
        <f>SUM(E321:E324)</f>
        <v>1449.5031399999989</v>
      </c>
      <c r="F320" s="25"/>
      <c r="G320" s="25"/>
      <c r="H320" s="25"/>
      <c r="I320" s="25"/>
      <c r="J320" s="53"/>
      <c r="K320" s="53"/>
      <c r="L320" s="53"/>
      <c r="M320" s="53"/>
      <c r="N320" s="53"/>
      <c r="O320" s="53"/>
      <c r="P320" s="53"/>
      <c r="Q320" s="57"/>
      <c r="R320" s="53"/>
      <c r="S320" s="53"/>
      <c r="T320" s="53"/>
      <c r="U320" s="53"/>
      <c r="V320" s="53"/>
    </row>
    <row r="321" spans="1:22" s="9" customFormat="1" x14ac:dyDescent="0.2">
      <c r="A321" s="48"/>
      <c r="B321" s="51" t="s">
        <v>0</v>
      </c>
      <c r="C321" s="51" t="s">
        <v>0</v>
      </c>
      <c r="D321" s="24">
        <f>E321+F321+G321+H321+I321</f>
        <v>0</v>
      </c>
      <c r="E321" s="25"/>
      <c r="F321" s="25"/>
      <c r="G321" s="25"/>
      <c r="H321" s="25"/>
      <c r="I321" s="25"/>
      <c r="J321" s="53"/>
      <c r="K321" s="53"/>
      <c r="L321" s="53"/>
      <c r="M321" s="53"/>
      <c r="N321" s="53"/>
      <c r="O321" s="53"/>
      <c r="P321" s="53"/>
      <c r="Q321" s="57"/>
      <c r="R321" s="53"/>
      <c r="S321" s="53"/>
      <c r="T321" s="53"/>
      <c r="U321" s="53"/>
      <c r="V321" s="53"/>
    </row>
    <row r="322" spans="1:22" s="9" customFormat="1" x14ac:dyDescent="0.2">
      <c r="A322" s="48"/>
      <c r="B322" s="51" t="s">
        <v>1</v>
      </c>
      <c r="C322" s="51" t="s">
        <v>1</v>
      </c>
      <c r="D322" s="24">
        <f>E322+F322+G322+H322+I322</f>
        <v>1449.5031399999989</v>
      </c>
      <c r="E322" s="25">
        <f>17000-495.506-1112.928-13942.06286</f>
        <v>1449.5031399999989</v>
      </c>
      <c r="F322" s="25"/>
      <c r="G322" s="25"/>
      <c r="H322" s="25"/>
      <c r="I322" s="25"/>
      <c r="J322" s="53"/>
      <c r="K322" s="53"/>
      <c r="L322" s="53"/>
      <c r="M322" s="53"/>
      <c r="N322" s="53"/>
      <c r="O322" s="53"/>
      <c r="P322" s="53"/>
      <c r="Q322" s="57"/>
      <c r="R322" s="53"/>
      <c r="S322" s="53"/>
      <c r="T322" s="53"/>
      <c r="U322" s="53"/>
      <c r="V322" s="53"/>
    </row>
    <row r="323" spans="1:22" s="9" customFormat="1" x14ac:dyDescent="0.2">
      <c r="A323" s="48"/>
      <c r="B323" s="51" t="s">
        <v>2</v>
      </c>
      <c r="C323" s="51" t="s">
        <v>2</v>
      </c>
      <c r="D323" s="24">
        <f>E323+F323+G323+H323+I323</f>
        <v>0</v>
      </c>
      <c r="E323" s="25"/>
      <c r="F323" s="25"/>
      <c r="G323" s="25"/>
      <c r="H323" s="25"/>
      <c r="I323" s="25"/>
      <c r="J323" s="53"/>
      <c r="K323" s="53"/>
      <c r="L323" s="53"/>
      <c r="M323" s="53"/>
      <c r="N323" s="53"/>
      <c r="O323" s="53"/>
      <c r="P323" s="53"/>
      <c r="Q323" s="57"/>
      <c r="R323" s="53"/>
      <c r="S323" s="53"/>
      <c r="T323" s="53"/>
      <c r="U323" s="53"/>
      <c r="V323" s="53"/>
    </row>
    <row r="324" spans="1:22" s="9" customFormat="1" ht="21.75" customHeight="1" x14ac:dyDescent="0.2">
      <c r="A324" s="48"/>
      <c r="B324" s="51" t="s">
        <v>3</v>
      </c>
      <c r="C324" s="51" t="s">
        <v>3</v>
      </c>
      <c r="D324" s="24">
        <f>E324+F324+G324+H324+I324</f>
        <v>0</v>
      </c>
      <c r="E324" s="25"/>
      <c r="F324" s="25"/>
      <c r="G324" s="25"/>
      <c r="H324" s="25"/>
      <c r="I324" s="25"/>
      <c r="J324" s="53"/>
      <c r="K324" s="53"/>
      <c r="L324" s="53"/>
      <c r="M324" s="53"/>
      <c r="N324" s="53"/>
      <c r="O324" s="53"/>
      <c r="P324" s="53"/>
      <c r="Q324" s="57"/>
      <c r="R324" s="53"/>
      <c r="S324" s="53"/>
      <c r="T324" s="53"/>
      <c r="U324" s="53"/>
      <c r="V324" s="53"/>
    </row>
    <row r="325" spans="1:22" s="9" customFormat="1" ht="12.75" customHeight="1" x14ac:dyDescent="0.2">
      <c r="A325" s="48" t="s">
        <v>409</v>
      </c>
      <c r="B325" s="49" t="s">
        <v>221</v>
      </c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</row>
    <row r="326" spans="1:22" s="9" customFormat="1" ht="12.75" customHeight="1" x14ac:dyDescent="0.2">
      <c r="A326" s="48"/>
      <c r="B326" s="52" t="s">
        <v>452</v>
      </c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</row>
    <row r="327" spans="1:22" s="9" customFormat="1" ht="42.75" customHeight="1" x14ac:dyDescent="0.2">
      <c r="A327" s="48"/>
      <c r="B327" s="50" t="s">
        <v>405</v>
      </c>
      <c r="C327" s="50" t="s">
        <v>405</v>
      </c>
      <c r="D327" s="50"/>
      <c r="E327" s="50"/>
      <c r="F327" s="50"/>
      <c r="G327" s="50"/>
      <c r="H327" s="50"/>
      <c r="I327" s="50"/>
      <c r="J327" s="53"/>
      <c r="K327" s="53" t="s">
        <v>59</v>
      </c>
      <c r="L327" s="53" t="s">
        <v>549</v>
      </c>
      <c r="M327" s="53" t="s">
        <v>406</v>
      </c>
      <c r="N327" s="53" t="s">
        <v>649</v>
      </c>
      <c r="O327" s="53" t="s">
        <v>221</v>
      </c>
      <c r="P327" s="53" t="s">
        <v>649</v>
      </c>
      <c r="Q327" s="57" t="s">
        <v>408</v>
      </c>
      <c r="R327" s="53" t="s">
        <v>11</v>
      </c>
      <c r="S327" s="53" t="s">
        <v>12</v>
      </c>
      <c r="T327" s="53" t="s">
        <v>388</v>
      </c>
      <c r="U327" s="53"/>
      <c r="V327" s="53"/>
    </row>
    <row r="328" spans="1:22" s="9" customFormat="1" x14ac:dyDescent="0.2">
      <c r="A328" s="48"/>
      <c r="B328" s="51" t="s">
        <v>5</v>
      </c>
      <c r="C328" s="51" t="s">
        <v>5</v>
      </c>
      <c r="D328" s="24">
        <f>SUM(D329:D332)</f>
        <v>233.9</v>
      </c>
      <c r="E328" s="25">
        <f>SUM(E329:E332)</f>
        <v>233.9</v>
      </c>
      <c r="F328" s="25"/>
      <c r="G328" s="25"/>
      <c r="H328" s="25"/>
      <c r="I328" s="25"/>
      <c r="J328" s="53"/>
      <c r="K328" s="53"/>
      <c r="L328" s="53"/>
      <c r="M328" s="53"/>
      <c r="N328" s="53"/>
      <c r="O328" s="53"/>
      <c r="P328" s="53"/>
      <c r="Q328" s="57"/>
      <c r="R328" s="53"/>
      <c r="S328" s="53"/>
      <c r="T328" s="53"/>
      <c r="U328" s="53"/>
      <c r="V328" s="53"/>
    </row>
    <row r="329" spans="1:22" s="9" customFormat="1" x14ac:dyDescent="0.2">
      <c r="A329" s="48"/>
      <c r="B329" s="51" t="s">
        <v>0</v>
      </c>
      <c r="C329" s="51" t="s">
        <v>0</v>
      </c>
      <c r="D329" s="24">
        <f>E329+F329+G329+H329+I329</f>
        <v>0</v>
      </c>
      <c r="E329" s="25"/>
      <c r="F329" s="25"/>
      <c r="G329" s="25"/>
      <c r="H329" s="25"/>
      <c r="I329" s="25"/>
      <c r="J329" s="53"/>
      <c r="K329" s="53"/>
      <c r="L329" s="53"/>
      <c r="M329" s="53"/>
      <c r="N329" s="53"/>
      <c r="O329" s="53"/>
      <c r="P329" s="53"/>
      <c r="Q329" s="57"/>
      <c r="R329" s="53"/>
      <c r="S329" s="53"/>
      <c r="T329" s="53"/>
      <c r="U329" s="53"/>
      <c r="V329" s="53"/>
    </row>
    <row r="330" spans="1:22" s="9" customFormat="1" x14ac:dyDescent="0.2">
      <c r="A330" s="48"/>
      <c r="B330" s="51" t="s">
        <v>1</v>
      </c>
      <c r="C330" s="51" t="s">
        <v>1</v>
      </c>
      <c r="D330" s="24">
        <f>E330+F330+G330+H330+I330</f>
        <v>233.9</v>
      </c>
      <c r="E330" s="25">
        <f>94+139.9</f>
        <v>233.9</v>
      </c>
      <c r="F330" s="25"/>
      <c r="G330" s="25"/>
      <c r="H330" s="25"/>
      <c r="I330" s="25"/>
      <c r="J330" s="53"/>
      <c r="K330" s="53"/>
      <c r="L330" s="53"/>
      <c r="M330" s="53"/>
      <c r="N330" s="53"/>
      <c r="O330" s="53"/>
      <c r="P330" s="53"/>
      <c r="Q330" s="57"/>
      <c r="R330" s="53"/>
      <c r="S330" s="53"/>
      <c r="T330" s="53"/>
      <c r="U330" s="53"/>
      <c r="V330" s="53"/>
    </row>
    <row r="331" spans="1:22" s="9" customFormat="1" x14ac:dyDescent="0.2">
      <c r="A331" s="48"/>
      <c r="B331" s="51" t="s">
        <v>2</v>
      </c>
      <c r="C331" s="51" t="s">
        <v>2</v>
      </c>
      <c r="D331" s="24">
        <f>E331+F331+G331+H331+I331</f>
        <v>0</v>
      </c>
      <c r="E331" s="25"/>
      <c r="F331" s="25"/>
      <c r="G331" s="25"/>
      <c r="H331" s="25"/>
      <c r="I331" s="25"/>
      <c r="J331" s="53"/>
      <c r="K331" s="53"/>
      <c r="L331" s="53"/>
      <c r="M331" s="53"/>
      <c r="N331" s="53"/>
      <c r="O331" s="53"/>
      <c r="P331" s="53"/>
      <c r="Q331" s="57"/>
      <c r="R331" s="53"/>
      <c r="S331" s="53"/>
      <c r="T331" s="53"/>
      <c r="U331" s="53"/>
      <c r="V331" s="53"/>
    </row>
    <row r="332" spans="1:22" s="9" customFormat="1" ht="21.75" customHeight="1" x14ac:dyDescent="0.2">
      <c r="A332" s="48"/>
      <c r="B332" s="51" t="s">
        <v>3</v>
      </c>
      <c r="C332" s="51" t="s">
        <v>3</v>
      </c>
      <c r="D332" s="24">
        <f>E332+F332+G332+H332+I332</f>
        <v>0</v>
      </c>
      <c r="E332" s="25"/>
      <c r="F332" s="25"/>
      <c r="G332" s="25"/>
      <c r="H332" s="25"/>
      <c r="I332" s="25"/>
      <c r="J332" s="53"/>
      <c r="K332" s="53"/>
      <c r="L332" s="53"/>
      <c r="M332" s="53"/>
      <c r="N332" s="53"/>
      <c r="O332" s="53"/>
      <c r="P332" s="53"/>
      <c r="Q332" s="57"/>
      <c r="R332" s="53"/>
      <c r="S332" s="53"/>
      <c r="T332" s="53"/>
      <c r="U332" s="53"/>
      <c r="V332" s="53"/>
    </row>
    <row r="333" spans="1:22" s="9" customFormat="1" ht="12.75" customHeight="1" x14ac:dyDescent="0.2">
      <c r="A333" s="48" t="s">
        <v>413</v>
      </c>
      <c r="B333" s="49" t="s">
        <v>221</v>
      </c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</row>
    <row r="334" spans="1:22" s="9" customFormat="1" ht="12.75" customHeight="1" x14ac:dyDescent="0.2">
      <c r="A334" s="48"/>
      <c r="B334" s="52" t="s">
        <v>452</v>
      </c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</row>
    <row r="335" spans="1:22" s="9" customFormat="1" ht="45" customHeight="1" x14ac:dyDescent="0.2">
      <c r="A335" s="48"/>
      <c r="B335" s="50" t="s">
        <v>410</v>
      </c>
      <c r="C335" s="50" t="s">
        <v>410</v>
      </c>
      <c r="D335" s="50"/>
      <c r="E335" s="50"/>
      <c r="F335" s="50"/>
      <c r="G335" s="50"/>
      <c r="H335" s="50"/>
      <c r="I335" s="50"/>
      <c r="J335" s="53"/>
      <c r="K335" s="53" t="s">
        <v>59</v>
      </c>
      <c r="L335" s="53" t="s">
        <v>549</v>
      </c>
      <c r="M335" s="53" t="s">
        <v>411</v>
      </c>
      <c r="N335" s="53" t="s">
        <v>407</v>
      </c>
      <c r="O335" s="53" t="s">
        <v>221</v>
      </c>
      <c r="P335" s="53" t="s">
        <v>407</v>
      </c>
      <c r="Q335" s="57" t="s">
        <v>412</v>
      </c>
      <c r="R335" s="53" t="s">
        <v>11</v>
      </c>
      <c r="S335" s="53" t="s">
        <v>145</v>
      </c>
      <c r="T335" s="53" t="s">
        <v>388</v>
      </c>
      <c r="U335" s="53"/>
      <c r="V335" s="53"/>
    </row>
    <row r="336" spans="1:22" s="9" customFormat="1" x14ac:dyDescent="0.2">
      <c r="A336" s="48"/>
      <c r="B336" s="51" t="s">
        <v>5</v>
      </c>
      <c r="C336" s="51" t="s">
        <v>5</v>
      </c>
      <c r="D336" s="24">
        <f>SUM(D337:D340)</f>
        <v>825.34690000000001</v>
      </c>
      <c r="E336" s="25">
        <f t="shared" ref="E336" si="33">SUM(E337:E340)</f>
        <v>825.34690000000001</v>
      </c>
      <c r="F336" s="25"/>
      <c r="G336" s="25"/>
      <c r="H336" s="25"/>
      <c r="I336" s="25"/>
      <c r="J336" s="53"/>
      <c r="K336" s="53"/>
      <c r="L336" s="53"/>
      <c r="M336" s="53"/>
      <c r="N336" s="53"/>
      <c r="O336" s="53"/>
      <c r="P336" s="53"/>
      <c r="Q336" s="57"/>
      <c r="R336" s="53"/>
      <c r="S336" s="53"/>
      <c r="T336" s="53"/>
      <c r="U336" s="53"/>
      <c r="V336" s="53"/>
    </row>
    <row r="337" spans="1:22" s="9" customFormat="1" x14ac:dyDescent="0.2">
      <c r="A337" s="48"/>
      <c r="B337" s="51" t="s">
        <v>0</v>
      </c>
      <c r="C337" s="51" t="s">
        <v>0</v>
      </c>
      <c r="D337" s="24">
        <f>E337+F337+G337+H337+I337</f>
        <v>0</v>
      </c>
      <c r="E337" s="25"/>
      <c r="F337" s="25"/>
      <c r="G337" s="25"/>
      <c r="H337" s="25"/>
      <c r="I337" s="25"/>
      <c r="J337" s="53"/>
      <c r="K337" s="53"/>
      <c r="L337" s="53"/>
      <c r="M337" s="53"/>
      <c r="N337" s="53"/>
      <c r="O337" s="53"/>
      <c r="P337" s="53"/>
      <c r="Q337" s="57"/>
      <c r="R337" s="53"/>
      <c r="S337" s="53"/>
      <c r="T337" s="53"/>
      <c r="U337" s="53"/>
      <c r="V337" s="53"/>
    </row>
    <row r="338" spans="1:22" s="9" customFormat="1" x14ac:dyDescent="0.2">
      <c r="A338" s="48"/>
      <c r="B338" s="51" t="s">
        <v>1</v>
      </c>
      <c r="C338" s="51" t="s">
        <v>1</v>
      </c>
      <c r="D338" s="24">
        <f>E338+F338+G338+H338+I338</f>
        <v>825.34690000000001</v>
      </c>
      <c r="E338" s="25">
        <f>825.346+0.0009</f>
        <v>825.34690000000001</v>
      </c>
      <c r="F338" s="25"/>
      <c r="G338" s="25"/>
      <c r="H338" s="25"/>
      <c r="I338" s="25"/>
      <c r="J338" s="53"/>
      <c r="K338" s="53"/>
      <c r="L338" s="53"/>
      <c r="M338" s="53"/>
      <c r="N338" s="53"/>
      <c r="O338" s="53"/>
      <c r="P338" s="53"/>
      <c r="Q338" s="57"/>
      <c r="R338" s="53"/>
      <c r="S338" s="53"/>
      <c r="T338" s="53"/>
      <c r="U338" s="53"/>
      <c r="V338" s="53"/>
    </row>
    <row r="339" spans="1:22" s="9" customFormat="1" x14ac:dyDescent="0.2">
      <c r="A339" s="48"/>
      <c r="B339" s="51" t="s">
        <v>2</v>
      </c>
      <c r="C339" s="51" t="s">
        <v>2</v>
      </c>
      <c r="D339" s="24">
        <f>E339+F339+G339+H339+I339</f>
        <v>0</v>
      </c>
      <c r="E339" s="25"/>
      <c r="F339" s="25"/>
      <c r="G339" s="25"/>
      <c r="H339" s="25"/>
      <c r="I339" s="25"/>
      <c r="J339" s="53"/>
      <c r="K339" s="53"/>
      <c r="L339" s="53"/>
      <c r="M339" s="53"/>
      <c r="N339" s="53"/>
      <c r="O339" s="53"/>
      <c r="P339" s="53"/>
      <c r="Q339" s="57"/>
      <c r="R339" s="53"/>
      <c r="S339" s="53"/>
      <c r="T339" s="53"/>
      <c r="U339" s="53"/>
      <c r="V339" s="53"/>
    </row>
    <row r="340" spans="1:22" s="9" customFormat="1" ht="21.75" customHeight="1" x14ac:dyDescent="0.2">
      <c r="A340" s="48"/>
      <c r="B340" s="51" t="s">
        <v>3</v>
      </c>
      <c r="C340" s="51" t="s">
        <v>3</v>
      </c>
      <c r="D340" s="24">
        <f>E340+F340+G340+H340+I340</f>
        <v>0</v>
      </c>
      <c r="E340" s="25"/>
      <c r="F340" s="25"/>
      <c r="G340" s="25"/>
      <c r="H340" s="25"/>
      <c r="I340" s="25"/>
      <c r="J340" s="53"/>
      <c r="K340" s="53"/>
      <c r="L340" s="53"/>
      <c r="M340" s="53"/>
      <c r="N340" s="53"/>
      <c r="O340" s="53"/>
      <c r="P340" s="53"/>
      <c r="Q340" s="57"/>
      <c r="R340" s="53"/>
      <c r="S340" s="53"/>
      <c r="T340" s="53"/>
      <c r="U340" s="53"/>
      <c r="V340" s="53"/>
    </row>
    <row r="341" spans="1:22" s="9" customFormat="1" ht="12.75" customHeight="1" x14ac:dyDescent="0.2">
      <c r="A341" s="48" t="s">
        <v>417</v>
      </c>
      <c r="B341" s="49" t="s">
        <v>221</v>
      </c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</row>
    <row r="342" spans="1:22" s="9" customFormat="1" ht="12.75" customHeight="1" x14ac:dyDescent="0.2">
      <c r="A342" s="48"/>
      <c r="B342" s="52" t="s">
        <v>452</v>
      </c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</row>
    <row r="343" spans="1:22" s="9" customFormat="1" ht="40.5" customHeight="1" x14ac:dyDescent="0.2">
      <c r="A343" s="48"/>
      <c r="B343" s="50" t="s">
        <v>414</v>
      </c>
      <c r="C343" s="50" t="s">
        <v>414</v>
      </c>
      <c r="D343" s="50"/>
      <c r="E343" s="50"/>
      <c r="F343" s="50"/>
      <c r="G343" s="50"/>
      <c r="H343" s="50"/>
      <c r="I343" s="50"/>
      <c r="J343" s="53"/>
      <c r="K343" s="53" t="s">
        <v>59</v>
      </c>
      <c r="L343" s="53" t="s">
        <v>549</v>
      </c>
      <c r="M343" s="53" t="s">
        <v>415</v>
      </c>
      <c r="N343" s="53" t="s">
        <v>650</v>
      </c>
      <c r="O343" s="53" t="s">
        <v>221</v>
      </c>
      <c r="P343" s="53" t="s">
        <v>650</v>
      </c>
      <c r="Q343" s="57" t="s">
        <v>416</v>
      </c>
      <c r="R343" s="53" t="s">
        <v>11</v>
      </c>
      <c r="S343" s="53" t="s">
        <v>145</v>
      </c>
      <c r="T343" s="53" t="s">
        <v>388</v>
      </c>
      <c r="U343" s="53"/>
      <c r="V343" s="53"/>
    </row>
    <row r="344" spans="1:22" s="9" customFormat="1" x14ac:dyDescent="0.2">
      <c r="A344" s="48"/>
      <c r="B344" s="51" t="s">
        <v>5</v>
      </c>
      <c r="C344" s="51" t="s">
        <v>5</v>
      </c>
      <c r="D344" s="24">
        <f>SUM(D345:D348)</f>
        <v>942.98199999999997</v>
      </c>
      <c r="E344" s="25">
        <f>SUM(E345:E348)</f>
        <v>942.98199999999997</v>
      </c>
      <c r="F344" s="25"/>
      <c r="G344" s="25"/>
      <c r="H344" s="25"/>
      <c r="I344" s="25"/>
      <c r="J344" s="53"/>
      <c r="K344" s="53"/>
      <c r="L344" s="53"/>
      <c r="M344" s="53"/>
      <c r="N344" s="53"/>
      <c r="O344" s="53"/>
      <c r="P344" s="53"/>
      <c r="Q344" s="57"/>
      <c r="R344" s="53"/>
      <c r="S344" s="53"/>
      <c r="T344" s="53"/>
      <c r="U344" s="53"/>
      <c r="V344" s="53"/>
    </row>
    <row r="345" spans="1:22" s="9" customFormat="1" x14ac:dyDescent="0.2">
      <c r="A345" s="48"/>
      <c r="B345" s="51" t="s">
        <v>0</v>
      </c>
      <c r="C345" s="51" t="s">
        <v>0</v>
      </c>
      <c r="D345" s="24">
        <f>E345+F345+G345+H345+I345</f>
        <v>0</v>
      </c>
      <c r="E345" s="25"/>
      <c r="F345" s="25"/>
      <c r="G345" s="25"/>
      <c r="H345" s="25"/>
      <c r="I345" s="25"/>
      <c r="J345" s="53"/>
      <c r="K345" s="53"/>
      <c r="L345" s="53"/>
      <c r="M345" s="53"/>
      <c r="N345" s="53"/>
      <c r="O345" s="53"/>
      <c r="P345" s="53"/>
      <c r="Q345" s="57"/>
      <c r="R345" s="53"/>
      <c r="S345" s="53"/>
      <c r="T345" s="53"/>
      <c r="U345" s="53"/>
      <c r="V345" s="53"/>
    </row>
    <row r="346" spans="1:22" s="9" customFormat="1" x14ac:dyDescent="0.2">
      <c r="A346" s="48"/>
      <c r="B346" s="51" t="s">
        <v>1</v>
      </c>
      <c r="C346" s="51" t="s">
        <v>1</v>
      </c>
      <c r="D346" s="24">
        <f>E346+F346+G346+H346+I346</f>
        <v>942.98199999999997</v>
      </c>
      <c r="E346" s="25">
        <f>291.138+495.506+156.338</f>
        <v>942.98199999999997</v>
      </c>
      <c r="F346" s="25"/>
      <c r="G346" s="25"/>
      <c r="H346" s="25"/>
      <c r="I346" s="25"/>
      <c r="J346" s="53"/>
      <c r="K346" s="53"/>
      <c r="L346" s="53"/>
      <c r="M346" s="53"/>
      <c r="N346" s="53"/>
      <c r="O346" s="53"/>
      <c r="P346" s="53"/>
      <c r="Q346" s="57"/>
      <c r="R346" s="53"/>
      <c r="S346" s="53"/>
      <c r="T346" s="53"/>
      <c r="U346" s="53"/>
      <c r="V346" s="53"/>
    </row>
    <row r="347" spans="1:22" s="9" customFormat="1" x14ac:dyDescent="0.2">
      <c r="A347" s="48"/>
      <c r="B347" s="51" t="s">
        <v>2</v>
      </c>
      <c r="C347" s="51" t="s">
        <v>2</v>
      </c>
      <c r="D347" s="24">
        <f>E347+F347+G347+H347+I347</f>
        <v>0</v>
      </c>
      <c r="E347" s="25"/>
      <c r="F347" s="25"/>
      <c r="G347" s="25"/>
      <c r="H347" s="25"/>
      <c r="I347" s="25"/>
      <c r="J347" s="53"/>
      <c r="K347" s="53"/>
      <c r="L347" s="53"/>
      <c r="M347" s="53"/>
      <c r="N347" s="53"/>
      <c r="O347" s="53"/>
      <c r="P347" s="53"/>
      <c r="Q347" s="57"/>
      <c r="R347" s="53"/>
      <c r="S347" s="53"/>
      <c r="T347" s="53"/>
      <c r="U347" s="53"/>
      <c r="V347" s="53"/>
    </row>
    <row r="348" spans="1:22" s="9" customFormat="1" ht="21.75" customHeight="1" x14ac:dyDescent="0.2">
      <c r="A348" s="48"/>
      <c r="B348" s="51" t="s">
        <v>3</v>
      </c>
      <c r="C348" s="51" t="s">
        <v>3</v>
      </c>
      <c r="D348" s="24">
        <f>E348+F348+G348+H348+I348</f>
        <v>0</v>
      </c>
      <c r="E348" s="25"/>
      <c r="F348" s="25"/>
      <c r="G348" s="25"/>
      <c r="H348" s="25"/>
      <c r="I348" s="25"/>
      <c r="J348" s="53"/>
      <c r="K348" s="53"/>
      <c r="L348" s="53"/>
      <c r="M348" s="53"/>
      <c r="N348" s="53"/>
      <c r="O348" s="53"/>
      <c r="P348" s="53"/>
      <c r="Q348" s="57"/>
      <c r="R348" s="53"/>
      <c r="S348" s="53"/>
      <c r="T348" s="53"/>
      <c r="U348" s="53"/>
      <c r="V348" s="53"/>
    </row>
    <row r="349" spans="1:22" s="9" customFormat="1" ht="12.75" customHeight="1" x14ac:dyDescent="0.2">
      <c r="A349" s="48" t="s">
        <v>435</v>
      </c>
      <c r="B349" s="49" t="s">
        <v>221</v>
      </c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</row>
    <row r="350" spans="1:22" s="9" customFormat="1" ht="12.75" customHeight="1" x14ac:dyDescent="0.2">
      <c r="A350" s="48"/>
      <c r="B350" s="52" t="s">
        <v>452</v>
      </c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</row>
    <row r="351" spans="1:22" s="9" customFormat="1" ht="41.25" customHeight="1" x14ac:dyDescent="0.2">
      <c r="A351" s="48"/>
      <c r="B351" s="50" t="s">
        <v>433</v>
      </c>
      <c r="C351" s="50" t="s">
        <v>433</v>
      </c>
      <c r="D351" s="50"/>
      <c r="E351" s="50"/>
      <c r="F351" s="50"/>
      <c r="G351" s="50"/>
      <c r="H351" s="50"/>
      <c r="I351" s="50"/>
      <c r="J351" s="53" t="s">
        <v>60</v>
      </c>
      <c r="K351" s="53"/>
      <c r="L351" s="53" t="s">
        <v>549</v>
      </c>
      <c r="M351" s="53" t="s">
        <v>434</v>
      </c>
      <c r="N351" s="53" t="s">
        <v>651</v>
      </c>
      <c r="O351" s="53" t="s">
        <v>221</v>
      </c>
      <c r="P351" s="53" t="s">
        <v>651</v>
      </c>
      <c r="Q351" s="57"/>
      <c r="R351" s="53" t="s">
        <v>11</v>
      </c>
      <c r="S351" s="53" t="s">
        <v>10</v>
      </c>
      <c r="T351" s="53" t="s">
        <v>7</v>
      </c>
      <c r="U351" s="53"/>
      <c r="V351" s="53"/>
    </row>
    <row r="352" spans="1:22" s="9" customFormat="1" x14ac:dyDescent="0.2">
      <c r="A352" s="48"/>
      <c r="B352" s="51" t="s">
        <v>5</v>
      </c>
      <c r="C352" s="51" t="s">
        <v>5</v>
      </c>
      <c r="D352" s="24">
        <f>SUM(D353:D356)</f>
        <v>54496.26139</v>
      </c>
      <c r="E352" s="25">
        <f>SUM(E353:E356)</f>
        <v>54496.26139</v>
      </c>
      <c r="F352" s="25"/>
      <c r="G352" s="25"/>
      <c r="H352" s="25"/>
      <c r="I352" s="25"/>
      <c r="J352" s="53"/>
      <c r="K352" s="53"/>
      <c r="L352" s="53"/>
      <c r="M352" s="53"/>
      <c r="N352" s="53"/>
      <c r="O352" s="53"/>
      <c r="P352" s="53"/>
      <c r="Q352" s="57"/>
      <c r="R352" s="53"/>
      <c r="S352" s="53"/>
      <c r="T352" s="53"/>
      <c r="U352" s="53"/>
      <c r="V352" s="53"/>
    </row>
    <row r="353" spans="1:22" s="9" customFormat="1" x14ac:dyDescent="0.2">
      <c r="A353" s="48"/>
      <c r="B353" s="51" t="s">
        <v>0</v>
      </c>
      <c r="C353" s="51" t="s">
        <v>0</v>
      </c>
      <c r="D353" s="24">
        <f>E353+F353+G353+H353+I353</f>
        <v>0</v>
      </c>
      <c r="E353" s="25"/>
      <c r="F353" s="25"/>
      <c r="G353" s="25"/>
      <c r="H353" s="25"/>
      <c r="I353" s="25"/>
      <c r="J353" s="53"/>
      <c r="K353" s="53"/>
      <c r="L353" s="53"/>
      <c r="M353" s="53"/>
      <c r="N353" s="53"/>
      <c r="O353" s="53"/>
      <c r="P353" s="53"/>
      <c r="Q353" s="57"/>
      <c r="R353" s="53"/>
      <c r="S353" s="53"/>
      <c r="T353" s="53"/>
      <c r="U353" s="53"/>
      <c r="V353" s="53"/>
    </row>
    <row r="354" spans="1:22" s="9" customFormat="1" x14ac:dyDescent="0.2">
      <c r="A354" s="48"/>
      <c r="B354" s="51" t="s">
        <v>1</v>
      </c>
      <c r="C354" s="51" t="s">
        <v>1</v>
      </c>
      <c r="D354" s="24">
        <f>E354+F354+G354+H354+I354</f>
        <v>54496.26139</v>
      </c>
      <c r="E354" s="25">
        <f>69252-14755.73861</f>
        <v>54496.26139</v>
      </c>
      <c r="F354" s="25"/>
      <c r="G354" s="25"/>
      <c r="H354" s="25"/>
      <c r="I354" s="25"/>
      <c r="J354" s="53"/>
      <c r="K354" s="53"/>
      <c r="L354" s="53"/>
      <c r="M354" s="53"/>
      <c r="N354" s="53"/>
      <c r="O354" s="53"/>
      <c r="P354" s="53"/>
      <c r="Q354" s="57"/>
      <c r="R354" s="53"/>
      <c r="S354" s="53"/>
      <c r="T354" s="53"/>
      <c r="U354" s="53"/>
      <c r="V354" s="53"/>
    </row>
    <row r="355" spans="1:22" s="9" customFormat="1" x14ac:dyDescent="0.2">
      <c r="A355" s="48"/>
      <c r="B355" s="51" t="s">
        <v>2</v>
      </c>
      <c r="C355" s="51" t="s">
        <v>2</v>
      </c>
      <c r="D355" s="24">
        <f>E355+F355+G355+H355+I355</f>
        <v>0</v>
      </c>
      <c r="E355" s="25"/>
      <c r="F355" s="25"/>
      <c r="G355" s="25"/>
      <c r="H355" s="25"/>
      <c r="I355" s="25"/>
      <c r="J355" s="53"/>
      <c r="K355" s="53"/>
      <c r="L355" s="53"/>
      <c r="M355" s="53"/>
      <c r="N355" s="53"/>
      <c r="O355" s="53"/>
      <c r="P355" s="53"/>
      <c r="Q355" s="57"/>
      <c r="R355" s="53"/>
      <c r="S355" s="53"/>
      <c r="T355" s="53"/>
      <c r="U355" s="53"/>
      <c r="V355" s="53"/>
    </row>
    <row r="356" spans="1:22" s="9" customFormat="1" ht="21.75" customHeight="1" x14ac:dyDescent="0.2">
      <c r="A356" s="48"/>
      <c r="B356" s="51" t="s">
        <v>3</v>
      </c>
      <c r="C356" s="51" t="s">
        <v>3</v>
      </c>
      <c r="D356" s="24">
        <f>E356+F356+G356+H356+I356</f>
        <v>0</v>
      </c>
      <c r="E356" s="25"/>
      <c r="F356" s="25"/>
      <c r="G356" s="25"/>
      <c r="H356" s="25"/>
      <c r="I356" s="25"/>
      <c r="J356" s="53"/>
      <c r="K356" s="53"/>
      <c r="L356" s="53"/>
      <c r="M356" s="53"/>
      <c r="N356" s="53"/>
      <c r="O356" s="53"/>
      <c r="P356" s="53"/>
      <c r="Q356" s="57"/>
      <c r="R356" s="53"/>
      <c r="S356" s="53"/>
      <c r="T356" s="53"/>
      <c r="U356" s="53"/>
      <c r="V356" s="53"/>
    </row>
    <row r="357" spans="1:22" s="9" customFormat="1" ht="12.75" customHeight="1" x14ac:dyDescent="0.2">
      <c r="A357" s="54" t="s">
        <v>61</v>
      </c>
      <c r="B357" s="55" t="s">
        <v>123</v>
      </c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</row>
    <row r="358" spans="1:22" s="9" customFormat="1" ht="12.75" customHeight="1" x14ac:dyDescent="0.2">
      <c r="A358" s="54"/>
      <c r="B358" s="56" t="s">
        <v>5</v>
      </c>
      <c r="C358" s="56"/>
      <c r="D358" s="23">
        <f t="shared" ref="D358:I358" si="34">SUM(D359:D362)</f>
        <v>72394.528620000012</v>
      </c>
      <c r="E358" s="23">
        <f t="shared" si="34"/>
        <v>37637.728620000002</v>
      </c>
      <c r="F358" s="23">
        <f t="shared" si="34"/>
        <v>17027.400000000001</v>
      </c>
      <c r="G358" s="23">
        <f t="shared" si="34"/>
        <v>17729.400000000001</v>
      </c>
      <c r="H358" s="23">
        <f t="shared" si="34"/>
        <v>0</v>
      </c>
      <c r="I358" s="23">
        <f t="shared" si="34"/>
        <v>0</v>
      </c>
      <c r="J358" s="12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4"/>
    </row>
    <row r="359" spans="1:22" s="9" customFormat="1" x14ac:dyDescent="0.2">
      <c r="A359" s="54"/>
      <c r="B359" s="56" t="s">
        <v>0</v>
      </c>
      <c r="C359" s="56"/>
      <c r="D359" s="23">
        <f>E359+F359+G359+H359+I359</f>
        <v>34756.800000000003</v>
      </c>
      <c r="E359" s="23">
        <f>E367+E375+E383+E391+E399+E407+E415+E423</f>
        <v>0</v>
      </c>
      <c r="F359" s="23">
        <f t="shared" ref="F359:I359" si="35">F367+F375+F383+F391+F399+F407+F415+F423</f>
        <v>17027.400000000001</v>
      </c>
      <c r="G359" s="23">
        <f t="shared" si="35"/>
        <v>17729.400000000001</v>
      </c>
      <c r="H359" s="23">
        <f t="shared" si="35"/>
        <v>0</v>
      </c>
      <c r="I359" s="23">
        <f t="shared" si="35"/>
        <v>0</v>
      </c>
      <c r="J359" s="15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7"/>
    </row>
    <row r="360" spans="1:22" s="9" customFormat="1" ht="12.75" customHeight="1" x14ac:dyDescent="0.2">
      <c r="A360" s="54"/>
      <c r="B360" s="56" t="s">
        <v>1</v>
      </c>
      <c r="C360" s="56"/>
      <c r="D360" s="23">
        <f>E360+F360+G360+H360+I360</f>
        <v>36024.982620000002</v>
      </c>
      <c r="E360" s="23">
        <f t="shared" ref="E360:I360" si="36">E368+E376+E384+E392+E400+E408+E416+E424</f>
        <v>36024.982620000002</v>
      </c>
      <c r="F360" s="23">
        <f t="shared" si="36"/>
        <v>0</v>
      </c>
      <c r="G360" s="23">
        <f t="shared" si="36"/>
        <v>0</v>
      </c>
      <c r="H360" s="23">
        <f t="shared" si="36"/>
        <v>0</v>
      </c>
      <c r="I360" s="23">
        <f t="shared" si="36"/>
        <v>0</v>
      </c>
      <c r="J360" s="15"/>
      <c r="K360" s="18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7"/>
    </row>
    <row r="361" spans="1:22" s="9" customFormat="1" ht="12.75" customHeight="1" x14ac:dyDescent="0.2">
      <c r="A361" s="54"/>
      <c r="B361" s="56" t="s">
        <v>2</v>
      </c>
      <c r="C361" s="56"/>
      <c r="D361" s="23">
        <f>E361+F361+G361+H361+I361</f>
        <v>1612.7460000000001</v>
      </c>
      <c r="E361" s="23">
        <f t="shared" ref="E361:I361" si="37">E369+E377+E385+E393+E401+E409+E417+E425</f>
        <v>1612.7460000000001</v>
      </c>
      <c r="F361" s="23">
        <f t="shared" si="37"/>
        <v>0</v>
      </c>
      <c r="G361" s="23">
        <f t="shared" si="37"/>
        <v>0</v>
      </c>
      <c r="H361" s="23">
        <f t="shared" si="37"/>
        <v>0</v>
      </c>
      <c r="I361" s="23">
        <f t="shared" si="37"/>
        <v>0</v>
      </c>
      <c r="J361" s="15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7"/>
    </row>
    <row r="362" spans="1:22" s="9" customFormat="1" ht="21.75" customHeight="1" x14ac:dyDescent="0.2">
      <c r="A362" s="54"/>
      <c r="B362" s="56" t="s">
        <v>3</v>
      </c>
      <c r="C362" s="56"/>
      <c r="D362" s="23">
        <f>E362+F362+G362+H362+I362</f>
        <v>0</v>
      </c>
      <c r="E362" s="23">
        <f t="shared" ref="E362:I362" si="38">E370+E378+E386+E394+E402+E410+E418+E426</f>
        <v>0</v>
      </c>
      <c r="F362" s="23">
        <f t="shared" si="38"/>
        <v>0</v>
      </c>
      <c r="G362" s="23">
        <f t="shared" si="38"/>
        <v>0</v>
      </c>
      <c r="H362" s="23">
        <f t="shared" si="38"/>
        <v>0</v>
      </c>
      <c r="I362" s="23">
        <f t="shared" si="38"/>
        <v>0</v>
      </c>
      <c r="J362" s="19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1"/>
    </row>
    <row r="363" spans="1:22" s="9" customFormat="1" ht="12.75" customHeight="1" x14ac:dyDescent="0.2">
      <c r="A363" s="48" t="s">
        <v>62</v>
      </c>
      <c r="B363" s="49" t="s">
        <v>23</v>
      </c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</row>
    <row r="364" spans="1:22" s="9" customFormat="1" ht="22.5" customHeight="1" x14ac:dyDescent="0.2">
      <c r="A364" s="48"/>
      <c r="B364" s="52" t="s">
        <v>453</v>
      </c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</row>
    <row r="365" spans="1:22" s="9" customFormat="1" ht="42" customHeight="1" x14ac:dyDescent="0.2">
      <c r="A365" s="48"/>
      <c r="B365" s="50" t="s">
        <v>229</v>
      </c>
      <c r="C365" s="50" t="s">
        <v>229</v>
      </c>
      <c r="D365" s="50"/>
      <c r="E365" s="50"/>
      <c r="F365" s="50"/>
      <c r="G365" s="50"/>
      <c r="H365" s="50"/>
      <c r="I365" s="50"/>
      <c r="J365" s="53" t="s">
        <v>225</v>
      </c>
      <c r="K365" s="53"/>
      <c r="L365" s="53" t="s">
        <v>550</v>
      </c>
      <c r="M365" s="53"/>
      <c r="N365" s="53" t="s">
        <v>224</v>
      </c>
      <c r="O365" s="53" t="s">
        <v>23</v>
      </c>
      <c r="P365" s="53" t="s">
        <v>224</v>
      </c>
      <c r="Q365" s="57" t="s">
        <v>226</v>
      </c>
      <c r="R365" s="53" t="s">
        <v>11</v>
      </c>
      <c r="S365" s="53" t="s">
        <v>12</v>
      </c>
      <c r="T365" s="53" t="s">
        <v>18</v>
      </c>
      <c r="U365" s="53"/>
      <c r="V365" s="53" t="s">
        <v>652</v>
      </c>
    </row>
    <row r="366" spans="1:22" s="9" customFormat="1" x14ac:dyDescent="0.2">
      <c r="A366" s="48"/>
      <c r="B366" s="51" t="s">
        <v>5</v>
      </c>
      <c r="C366" s="51" t="s">
        <v>5</v>
      </c>
      <c r="D366" s="24">
        <f>SUM(D367:D370)</f>
        <v>4335.9165400000002</v>
      </c>
      <c r="E366" s="25">
        <f>SUM(E367:E370)</f>
        <v>4335.9165400000002</v>
      </c>
      <c r="F366" s="25"/>
      <c r="G366" s="25"/>
      <c r="H366" s="25"/>
      <c r="I366" s="25"/>
      <c r="J366" s="53"/>
      <c r="K366" s="53"/>
      <c r="L366" s="53"/>
      <c r="M366" s="53"/>
      <c r="N366" s="53"/>
      <c r="O366" s="53"/>
      <c r="P366" s="53"/>
      <c r="Q366" s="57"/>
      <c r="R366" s="53"/>
      <c r="S366" s="53"/>
      <c r="T366" s="53"/>
      <c r="U366" s="53"/>
      <c r="V366" s="53"/>
    </row>
    <row r="367" spans="1:22" s="9" customFormat="1" x14ac:dyDescent="0.2">
      <c r="A367" s="48"/>
      <c r="B367" s="51" t="s">
        <v>0</v>
      </c>
      <c r="C367" s="51" t="s">
        <v>0</v>
      </c>
      <c r="D367" s="24">
        <f>E367+F367+G367+H367+I367</f>
        <v>0</v>
      </c>
      <c r="E367" s="25"/>
      <c r="F367" s="25"/>
      <c r="G367" s="25"/>
      <c r="H367" s="25"/>
      <c r="I367" s="25"/>
      <c r="J367" s="53"/>
      <c r="K367" s="53"/>
      <c r="L367" s="53"/>
      <c r="M367" s="53"/>
      <c r="N367" s="53"/>
      <c r="O367" s="53"/>
      <c r="P367" s="53"/>
      <c r="Q367" s="57"/>
      <c r="R367" s="53"/>
      <c r="S367" s="53"/>
      <c r="T367" s="53"/>
      <c r="U367" s="53"/>
      <c r="V367" s="53"/>
    </row>
    <row r="368" spans="1:22" s="9" customFormat="1" x14ac:dyDescent="0.2">
      <c r="A368" s="48"/>
      <c r="B368" s="51" t="s">
        <v>1</v>
      </c>
      <c r="C368" s="51" t="s">
        <v>1</v>
      </c>
      <c r="D368" s="24">
        <f>E368+F368+G368+H368+I368</f>
        <v>4335.9165400000002</v>
      </c>
      <c r="E368" s="25">
        <f>4595.26-259.34346</f>
        <v>4335.9165400000002</v>
      </c>
      <c r="F368" s="25"/>
      <c r="G368" s="25"/>
      <c r="H368" s="25"/>
      <c r="I368" s="25"/>
      <c r="J368" s="53"/>
      <c r="K368" s="53"/>
      <c r="L368" s="53"/>
      <c r="M368" s="53"/>
      <c r="N368" s="53"/>
      <c r="O368" s="53"/>
      <c r="P368" s="53"/>
      <c r="Q368" s="57"/>
      <c r="R368" s="53"/>
      <c r="S368" s="53"/>
      <c r="T368" s="53"/>
      <c r="U368" s="53"/>
      <c r="V368" s="53"/>
    </row>
    <row r="369" spans="1:22" s="9" customFormat="1" x14ac:dyDescent="0.2">
      <c r="A369" s="48"/>
      <c r="B369" s="51" t="s">
        <v>2</v>
      </c>
      <c r="C369" s="51" t="s">
        <v>2</v>
      </c>
      <c r="D369" s="24">
        <f>E369+F369+G369+H369+I369</f>
        <v>0</v>
      </c>
      <c r="E369" s="25"/>
      <c r="F369" s="25"/>
      <c r="G369" s="25"/>
      <c r="H369" s="25"/>
      <c r="I369" s="25"/>
      <c r="J369" s="53"/>
      <c r="K369" s="53"/>
      <c r="L369" s="53"/>
      <c r="M369" s="53"/>
      <c r="N369" s="53"/>
      <c r="O369" s="53"/>
      <c r="P369" s="53"/>
      <c r="Q369" s="57"/>
      <c r="R369" s="53"/>
      <c r="S369" s="53"/>
      <c r="T369" s="53"/>
      <c r="U369" s="53"/>
      <c r="V369" s="53"/>
    </row>
    <row r="370" spans="1:22" s="9" customFormat="1" ht="21.75" customHeight="1" x14ac:dyDescent="0.2">
      <c r="A370" s="48"/>
      <c r="B370" s="51" t="s">
        <v>3</v>
      </c>
      <c r="C370" s="51" t="s">
        <v>3</v>
      </c>
      <c r="D370" s="24">
        <f>E370+F370+G370+H370+I370</f>
        <v>0</v>
      </c>
      <c r="E370" s="25"/>
      <c r="F370" s="25"/>
      <c r="G370" s="25"/>
      <c r="H370" s="25"/>
      <c r="I370" s="25"/>
      <c r="J370" s="53"/>
      <c r="K370" s="53"/>
      <c r="L370" s="53"/>
      <c r="M370" s="53"/>
      <c r="N370" s="53"/>
      <c r="O370" s="53"/>
      <c r="P370" s="53"/>
      <c r="Q370" s="57"/>
      <c r="R370" s="53"/>
      <c r="S370" s="53"/>
      <c r="T370" s="53"/>
      <c r="U370" s="53"/>
      <c r="V370" s="53"/>
    </row>
    <row r="371" spans="1:22" s="9" customFormat="1" ht="12.75" customHeight="1" x14ac:dyDescent="0.2">
      <c r="A371" s="48" t="s">
        <v>245</v>
      </c>
      <c r="B371" s="49" t="s">
        <v>23</v>
      </c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</row>
    <row r="372" spans="1:22" s="9" customFormat="1" ht="22.5" customHeight="1" x14ac:dyDescent="0.2">
      <c r="A372" s="48"/>
      <c r="B372" s="52" t="s">
        <v>453</v>
      </c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</row>
    <row r="373" spans="1:22" s="9" customFormat="1" ht="37.5" customHeight="1" x14ac:dyDescent="0.2">
      <c r="A373" s="48"/>
      <c r="B373" s="50" t="s">
        <v>561</v>
      </c>
      <c r="C373" s="50" t="s">
        <v>561</v>
      </c>
      <c r="D373" s="50"/>
      <c r="E373" s="50"/>
      <c r="F373" s="50"/>
      <c r="G373" s="50"/>
      <c r="H373" s="50"/>
      <c r="I373" s="50"/>
      <c r="J373" s="53" t="s">
        <v>225</v>
      </c>
      <c r="K373" s="53"/>
      <c r="L373" s="53" t="s">
        <v>686</v>
      </c>
      <c r="M373" s="53"/>
      <c r="N373" s="53" t="s">
        <v>563</v>
      </c>
      <c r="O373" s="53" t="s">
        <v>23</v>
      </c>
      <c r="P373" s="53" t="s">
        <v>563</v>
      </c>
      <c r="Q373" s="57" t="s">
        <v>564</v>
      </c>
      <c r="R373" s="53" t="s">
        <v>11</v>
      </c>
      <c r="S373" s="53" t="s">
        <v>13</v>
      </c>
      <c r="T373" s="53" t="s">
        <v>7</v>
      </c>
      <c r="U373" s="53"/>
      <c r="V373" s="53"/>
    </row>
    <row r="374" spans="1:22" s="9" customFormat="1" ht="12.75" customHeight="1" x14ac:dyDescent="0.2">
      <c r="A374" s="48"/>
      <c r="B374" s="51" t="s">
        <v>5</v>
      </c>
      <c r="C374" s="51" t="s">
        <v>5</v>
      </c>
      <c r="D374" s="24">
        <f>SUM(D375:D378)</f>
        <v>1500</v>
      </c>
      <c r="E374" s="25">
        <f>SUM(E375:E378)</f>
        <v>1500</v>
      </c>
      <c r="F374" s="25"/>
      <c r="G374" s="25"/>
      <c r="H374" s="25"/>
      <c r="I374" s="25"/>
      <c r="J374" s="53"/>
      <c r="K374" s="53"/>
      <c r="L374" s="53"/>
      <c r="M374" s="53"/>
      <c r="N374" s="53"/>
      <c r="O374" s="53"/>
      <c r="P374" s="53"/>
      <c r="Q374" s="57"/>
      <c r="R374" s="53"/>
      <c r="S374" s="53"/>
      <c r="T374" s="53"/>
      <c r="U374" s="53"/>
      <c r="V374" s="53"/>
    </row>
    <row r="375" spans="1:22" s="9" customFormat="1" ht="12.75" customHeight="1" x14ac:dyDescent="0.2">
      <c r="A375" s="48"/>
      <c r="B375" s="51" t="s">
        <v>0</v>
      </c>
      <c r="C375" s="51" t="s">
        <v>0</v>
      </c>
      <c r="D375" s="24">
        <f>E375+F375+G375+H375+I375</f>
        <v>0</v>
      </c>
      <c r="E375" s="25"/>
      <c r="F375" s="25"/>
      <c r="G375" s="25"/>
      <c r="H375" s="25"/>
      <c r="I375" s="25"/>
      <c r="J375" s="53"/>
      <c r="K375" s="53"/>
      <c r="L375" s="53"/>
      <c r="M375" s="53"/>
      <c r="N375" s="53"/>
      <c r="O375" s="53"/>
      <c r="P375" s="53"/>
      <c r="Q375" s="57"/>
      <c r="R375" s="53"/>
      <c r="S375" s="53"/>
      <c r="T375" s="53"/>
      <c r="U375" s="53"/>
      <c r="V375" s="53"/>
    </row>
    <row r="376" spans="1:22" s="9" customFormat="1" ht="12.75" customHeight="1" x14ac:dyDescent="0.2">
      <c r="A376" s="48"/>
      <c r="B376" s="51" t="s">
        <v>1</v>
      </c>
      <c r="C376" s="51" t="s">
        <v>1</v>
      </c>
      <c r="D376" s="24">
        <f>E376+F376+G376+H376+I376</f>
        <v>1500</v>
      </c>
      <c r="E376" s="25">
        <v>1500</v>
      </c>
      <c r="F376" s="25"/>
      <c r="G376" s="25"/>
      <c r="H376" s="25"/>
      <c r="I376" s="25"/>
      <c r="J376" s="53"/>
      <c r="K376" s="53"/>
      <c r="L376" s="53"/>
      <c r="M376" s="53"/>
      <c r="N376" s="53"/>
      <c r="O376" s="53"/>
      <c r="P376" s="53"/>
      <c r="Q376" s="57"/>
      <c r="R376" s="53"/>
      <c r="S376" s="53"/>
      <c r="T376" s="53"/>
      <c r="U376" s="53"/>
      <c r="V376" s="53"/>
    </row>
    <row r="377" spans="1:22" s="9" customFormat="1" ht="12.75" customHeight="1" x14ac:dyDescent="0.2">
      <c r="A377" s="48"/>
      <c r="B377" s="51" t="s">
        <v>2</v>
      </c>
      <c r="C377" s="51" t="s">
        <v>2</v>
      </c>
      <c r="D377" s="24">
        <f>E377+F377+G377+H377+I377</f>
        <v>0</v>
      </c>
      <c r="E377" s="25"/>
      <c r="F377" s="25"/>
      <c r="G377" s="25"/>
      <c r="H377" s="25"/>
      <c r="I377" s="25"/>
      <c r="J377" s="53"/>
      <c r="K377" s="53"/>
      <c r="L377" s="53"/>
      <c r="M377" s="53"/>
      <c r="N377" s="53"/>
      <c r="O377" s="53"/>
      <c r="P377" s="53"/>
      <c r="Q377" s="57"/>
      <c r="R377" s="53"/>
      <c r="S377" s="53"/>
      <c r="T377" s="53"/>
      <c r="U377" s="53"/>
      <c r="V377" s="53"/>
    </row>
    <row r="378" spans="1:22" s="9" customFormat="1" ht="21.75" customHeight="1" x14ac:dyDescent="0.2">
      <c r="A378" s="48"/>
      <c r="B378" s="51" t="s">
        <v>3</v>
      </c>
      <c r="C378" s="51" t="s">
        <v>3</v>
      </c>
      <c r="D378" s="24">
        <f>E378+F378+G378+H378+I378</f>
        <v>0</v>
      </c>
      <c r="E378" s="25"/>
      <c r="F378" s="25"/>
      <c r="G378" s="25"/>
      <c r="H378" s="25"/>
      <c r="I378" s="25"/>
      <c r="J378" s="53"/>
      <c r="K378" s="53"/>
      <c r="L378" s="53"/>
      <c r="M378" s="53"/>
      <c r="N378" s="53"/>
      <c r="O378" s="53"/>
      <c r="P378" s="53"/>
      <c r="Q378" s="57"/>
      <c r="R378" s="53"/>
      <c r="S378" s="53"/>
      <c r="T378" s="53"/>
      <c r="U378" s="53"/>
      <c r="V378" s="53"/>
    </row>
    <row r="379" spans="1:22" s="9" customFormat="1" ht="12.75" customHeight="1" x14ac:dyDescent="0.2">
      <c r="A379" s="48" t="s">
        <v>246</v>
      </c>
      <c r="B379" s="49" t="s">
        <v>23</v>
      </c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</row>
    <row r="380" spans="1:22" s="9" customFormat="1" ht="22.5" customHeight="1" x14ac:dyDescent="0.2">
      <c r="A380" s="48"/>
      <c r="B380" s="52" t="s">
        <v>453</v>
      </c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</row>
    <row r="381" spans="1:22" s="9" customFormat="1" ht="45" customHeight="1" x14ac:dyDescent="0.2">
      <c r="A381" s="48"/>
      <c r="B381" s="50" t="s">
        <v>562</v>
      </c>
      <c r="C381" s="50" t="s">
        <v>562</v>
      </c>
      <c r="D381" s="50"/>
      <c r="E381" s="50"/>
      <c r="F381" s="50"/>
      <c r="G381" s="50"/>
      <c r="H381" s="50"/>
      <c r="I381" s="50"/>
      <c r="J381" s="53" t="s">
        <v>225</v>
      </c>
      <c r="K381" s="53"/>
      <c r="L381" s="53" t="s">
        <v>550</v>
      </c>
      <c r="M381" s="53"/>
      <c r="N381" s="53" t="s">
        <v>565</v>
      </c>
      <c r="O381" s="53" t="s">
        <v>23</v>
      </c>
      <c r="P381" s="53" t="s">
        <v>565</v>
      </c>
      <c r="Q381" s="57" t="s">
        <v>566</v>
      </c>
      <c r="R381" s="53" t="s">
        <v>11</v>
      </c>
      <c r="S381" s="53" t="s">
        <v>155</v>
      </c>
      <c r="T381" s="53" t="s">
        <v>18</v>
      </c>
      <c r="U381" s="53"/>
      <c r="V381" s="53" t="s">
        <v>652</v>
      </c>
    </row>
    <row r="382" spans="1:22" s="9" customFormat="1" x14ac:dyDescent="0.2">
      <c r="A382" s="48"/>
      <c r="B382" s="51" t="s">
        <v>5</v>
      </c>
      <c r="C382" s="51" t="s">
        <v>5</v>
      </c>
      <c r="D382" s="24">
        <f>SUM(D383:D386)</f>
        <v>2056.779</v>
      </c>
      <c r="E382" s="25">
        <f>SUM(E383:E386)</f>
        <v>2056.779</v>
      </c>
      <c r="F382" s="25"/>
      <c r="G382" s="25"/>
      <c r="H382" s="25"/>
      <c r="I382" s="25"/>
      <c r="J382" s="53"/>
      <c r="K382" s="53"/>
      <c r="L382" s="53"/>
      <c r="M382" s="53"/>
      <c r="N382" s="53"/>
      <c r="O382" s="53"/>
      <c r="P382" s="53"/>
      <c r="Q382" s="57"/>
      <c r="R382" s="53"/>
      <c r="S382" s="53"/>
      <c r="T382" s="53"/>
      <c r="U382" s="53"/>
      <c r="V382" s="53"/>
    </row>
    <row r="383" spans="1:22" s="9" customFormat="1" x14ac:dyDescent="0.2">
      <c r="A383" s="48"/>
      <c r="B383" s="51" t="s">
        <v>0</v>
      </c>
      <c r="C383" s="51" t="s">
        <v>0</v>
      </c>
      <c r="D383" s="24">
        <f>E383+F383+G383+H383+I383</f>
        <v>0</v>
      </c>
      <c r="E383" s="25"/>
      <c r="F383" s="25"/>
      <c r="G383" s="25"/>
      <c r="H383" s="25"/>
      <c r="I383" s="25"/>
      <c r="J383" s="53"/>
      <c r="K383" s="53"/>
      <c r="L383" s="53"/>
      <c r="M383" s="53"/>
      <c r="N383" s="53"/>
      <c r="O383" s="53"/>
      <c r="P383" s="53"/>
      <c r="Q383" s="57"/>
      <c r="R383" s="53"/>
      <c r="S383" s="53"/>
      <c r="T383" s="53"/>
      <c r="U383" s="53"/>
      <c r="V383" s="53"/>
    </row>
    <row r="384" spans="1:22" s="9" customFormat="1" x14ac:dyDescent="0.2">
      <c r="A384" s="48"/>
      <c r="B384" s="51" t="s">
        <v>1</v>
      </c>
      <c r="C384" s="51" t="s">
        <v>1</v>
      </c>
      <c r="D384" s="24">
        <f>E384+F384+G384+H384+I384</f>
        <v>2056.779</v>
      </c>
      <c r="E384" s="25">
        <v>2056.779</v>
      </c>
      <c r="F384" s="25"/>
      <c r="G384" s="25"/>
      <c r="H384" s="25"/>
      <c r="I384" s="25"/>
      <c r="J384" s="53"/>
      <c r="K384" s="53"/>
      <c r="L384" s="53"/>
      <c r="M384" s="53"/>
      <c r="N384" s="53"/>
      <c r="O384" s="53"/>
      <c r="P384" s="53"/>
      <c r="Q384" s="57"/>
      <c r="R384" s="53"/>
      <c r="S384" s="53"/>
      <c r="T384" s="53"/>
      <c r="U384" s="53"/>
      <c r="V384" s="53"/>
    </row>
    <row r="385" spans="1:22" s="9" customFormat="1" x14ac:dyDescent="0.2">
      <c r="A385" s="48"/>
      <c r="B385" s="51" t="s">
        <v>2</v>
      </c>
      <c r="C385" s="51" t="s">
        <v>2</v>
      </c>
      <c r="D385" s="24">
        <f>E385+F385+G385+H385+I385</f>
        <v>0</v>
      </c>
      <c r="E385" s="25"/>
      <c r="F385" s="25"/>
      <c r="G385" s="25"/>
      <c r="H385" s="25"/>
      <c r="I385" s="25"/>
      <c r="J385" s="53"/>
      <c r="K385" s="53"/>
      <c r="L385" s="53"/>
      <c r="M385" s="53"/>
      <c r="N385" s="53"/>
      <c r="O385" s="53"/>
      <c r="P385" s="53"/>
      <c r="Q385" s="57"/>
      <c r="R385" s="53"/>
      <c r="S385" s="53"/>
      <c r="T385" s="53"/>
      <c r="U385" s="53"/>
      <c r="V385" s="53"/>
    </row>
    <row r="386" spans="1:22" s="9" customFormat="1" ht="21.75" customHeight="1" x14ac:dyDescent="0.2">
      <c r="A386" s="48"/>
      <c r="B386" s="51" t="s">
        <v>3</v>
      </c>
      <c r="C386" s="51" t="s">
        <v>3</v>
      </c>
      <c r="D386" s="24">
        <f>E386+F386+G386+H386+I386</f>
        <v>0</v>
      </c>
      <c r="E386" s="25"/>
      <c r="F386" s="25"/>
      <c r="G386" s="25"/>
      <c r="H386" s="25"/>
      <c r="I386" s="25"/>
      <c r="J386" s="53"/>
      <c r="K386" s="53"/>
      <c r="L386" s="53"/>
      <c r="M386" s="53"/>
      <c r="N386" s="53"/>
      <c r="O386" s="53"/>
      <c r="P386" s="53"/>
      <c r="Q386" s="57"/>
      <c r="R386" s="53"/>
      <c r="S386" s="53"/>
      <c r="T386" s="53"/>
      <c r="U386" s="53"/>
      <c r="V386" s="53"/>
    </row>
    <row r="387" spans="1:22" s="9" customFormat="1" ht="12.75" customHeight="1" x14ac:dyDescent="0.2">
      <c r="A387" s="48" t="s">
        <v>247</v>
      </c>
      <c r="B387" s="49" t="s">
        <v>23</v>
      </c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</row>
    <row r="388" spans="1:22" s="9" customFormat="1" ht="21.75" customHeight="1" x14ac:dyDescent="0.2">
      <c r="A388" s="48"/>
      <c r="B388" s="52" t="s">
        <v>453</v>
      </c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</row>
    <row r="389" spans="1:22" s="9" customFormat="1" ht="42.75" customHeight="1" x14ac:dyDescent="0.2">
      <c r="A389" s="48"/>
      <c r="B389" s="50" t="s">
        <v>332</v>
      </c>
      <c r="C389" s="50" t="s">
        <v>332</v>
      </c>
      <c r="D389" s="50"/>
      <c r="E389" s="50"/>
      <c r="F389" s="50"/>
      <c r="G389" s="50"/>
      <c r="H389" s="50"/>
      <c r="I389" s="50"/>
      <c r="J389" s="53" t="s">
        <v>225</v>
      </c>
      <c r="K389" s="53"/>
      <c r="L389" s="53" t="s">
        <v>686</v>
      </c>
      <c r="M389" s="53"/>
      <c r="N389" s="53" t="s">
        <v>228</v>
      </c>
      <c r="O389" s="53" t="s">
        <v>23</v>
      </c>
      <c r="P389" s="53" t="s">
        <v>228</v>
      </c>
      <c r="Q389" s="57"/>
      <c r="R389" s="53" t="s">
        <v>11</v>
      </c>
      <c r="S389" s="53" t="s">
        <v>10</v>
      </c>
      <c r="T389" s="53" t="s">
        <v>101</v>
      </c>
      <c r="U389" s="53"/>
      <c r="V389" s="53"/>
    </row>
    <row r="390" spans="1:22" s="9" customFormat="1" x14ac:dyDescent="0.2">
      <c r="A390" s="48"/>
      <c r="B390" s="51" t="s">
        <v>5</v>
      </c>
      <c r="C390" s="51" t="s">
        <v>5</v>
      </c>
      <c r="D390" s="24">
        <f>SUM(D391:D394)</f>
        <v>3000</v>
      </c>
      <c r="E390" s="25">
        <f>SUM(E391:E394)</f>
        <v>3000</v>
      </c>
      <c r="F390" s="25"/>
      <c r="G390" s="25"/>
      <c r="H390" s="25"/>
      <c r="I390" s="25"/>
      <c r="J390" s="53"/>
      <c r="K390" s="53"/>
      <c r="L390" s="53"/>
      <c r="M390" s="53"/>
      <c r="N390" s="53"/>
      <c r="O390" s="53"/>
      <c r="P390" s="53"/>
      <c r="Q390" s="57"/>
      <c r="R390" s="53"/>
      <c r="S390" s="53"/>
      <c r="T390" s="53"/>
      <c r="U390" s="53"/>
      <c r="V390" s="53"/>
    </row>
    <row r="391" spans="1:22" s="9" customFormat="1" x14ac:dyDescent="0.2">
      <c r="A391" s="48"/>
      <c r="B391" s="51" t="s">
        <v>0</v>
      </c>
      <c r="C391" s="51" t="s">
        <v>0</v>
      </c>
      <c r="D391" s="24">
        <f>E391+F391+G391+H391+I391</f>
        <v>0</v>
      </c>
      <c r="E391" s="25"/>
      <c r="F391" s="25"/>
      <c r="G391" s="25"/>
      <c r="H391" s="25"/>
      <c r="I391" s="25"/>
      <c r="J391" s="53"/>
      <c r="K391" s="53"/>
      <c r="L391" s="53"/>
      <c r="M391" s="53"/>
      <c r="N391" s="53"/>
      <c r="O391" s="53"/>
      <c r="P391" s="53"/>
      <c r="Q391" s="57"/>
      <c r="R391" s="53"/>
      <c r="S391" s="53"/>
      <c r="T391" s="53"/>
      <c r="U391" s="53"/>
      <c r="V391" s="53"/>
    </row>
    <row r="392" spans="1:22" s="9" customFormat="1" x14ac:dyDescent="0.2">
      <c r="A392" s="48"/>
      <c r="B392" s="51" t="s">
        <v>1</v>
      </c>
      <c r="C392" s="51" t="s">
        <v>1</v>
      </c>
      <c r="D392" s="24">
        <f>E392+F392+G392+H392+I392</f>
        <v>3000</v>
      </c>
      <c r="E392" s="25">
        <v>3000</v>
      </c>
      <c r="F392" s="25"/>
      <c r="G392" s="25"/>
      <c r="H392" s="25"/>
      <c r="I392" s="25"/>
      <c r="J392" s="53"/>
      <c r="K392" s="53"/>
      <c r="L392" s="53"/>
      <c r="M392" s="53"/>
      <c r="N392" s="53"/>
      <c r="O392" s="53"/>
      <c r="P392" s="53"/>
      <c r="Q392" s="57"/>
      <c r="R392" s="53"/>
      <c r="S392" s="53"/>
      <c r="T392" s="53"/>
      <c r="U392" s="53"/>
      <c r="V392" s="53"/>
    </row>
    <row r="393" spans="1:22" s="9" customFormat="1" x14ac:dyDescent="0.2">
      <c r="A393" s="48"/>
      <c r="B393" s="51" t="s">
        <v>2</v>
      </c>
      <c r="C393" s="51" t="s">
        <v>2</v>
      </c>
      <c r="D393" s="24">
        <f>E393+F393+G393+H393+I393</f>
        <v>0</v>
      </c>
      <c r="E393" s="25"/>
      <c r="F393" s="25"/>
      <c r="G393" s="25"/>
      <c r="H393" s="25"/>
      <c r="I393" s="25"/>
      <c r="J393" s="53"/>
      <c r="K393" s="53"/>
      <c r="L393" s="53"/>
      <c r="M393" s="53"/>
      <c r="N393" s="53"/>
      <c r="O393" s="53"/>
      <c r="P393" s="53"/>
      <c r="Q393" s="57"/>
      <c r="R393" s="53"/>
      <c r="S393" s="53"/>
      <c r="T393" s="53"/>
      <c r="U393" s="53"/>
      <c r="V393" s="53"/>
    </row>
    <row r="394" spans="1:22" s="9" customFormat="1" ht="21.75" customHeight="1" x14ac:dyDescent="0.2">
      <c r="A394" s="48"/>
      <c r="B394" s="51" t="s">
        <v>3</v>
      </c>
      <c r="C394" s="51" t="s">
        <v>3</v>
      </c>
      <c r="D394" s="24">
        <f>E394+F394+G394+H394+I394</f>
        <v>0</v>
      </c>
      <c r="E394" s="25"/>
      <c r="F394" s="25"/>
      <c r="G394" s="25"/>
      <c r="H394" s="25"/>
      <c r="I394" s="25"/>
      <c r="J394" s="53"/>
      <c r="K394" s="53"/>
      <c r="L394" s="53"/>
      <c r="M394" s="53"/>
      <c r="N394" s="53"/>
      <c r="O394" s="53"/>
      <c r="P394" s="53"/>
      <c r="Q394" s="57"/>
      <c r="R394" s="53"/>
      <c r="S394" s="53"/>
      <c r="T394" s="53"/>
      <c r="U394" s="53"/>
      <c r="V394" s="53"/>
    </row>
    <row r="395" spans="1:22" s="9" customFormat="1" ht="12.75" customHeight="1" x14ac:dyDescent="0.2">
      <c r="A395" s="48" t="s">
        <v>248</v>
      </c>
      <c r="B395" s="49" t="s">
        <v>23</v>
      </c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</row>
    <row r="396" spans="1:22" s="9" customFormat="1" ht="21.75" customHeight="1" x14ac:dyDescent="0.2">
      <c r="A396" s="48"/>
      <c r="B396" s="52" t="s">
        <v>453</v>
      </c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</row>
    <row r="397" spans="1:22" s="9" customFormat="1" ht="45.75" customHeight="1" x14ac:dyDescent="0.2">
      <c r="A397" s="48"/>
      <c r="B397" s="50" t="s">
        <v>230</v>
      </c>
      <c r="C397" s="50" t="s">
        <v>230</v>
      </c>
      <c r="D397" s="50"/>
      <c r="E397" s="50"/>
      <c r="F397" s="50"/>
      <c r="G397" s="50"/>
      <c r="H397" s="50"/>
      <c r="I397" s="50"/>
      <c r="J397" s="53" t="s">
        <v>225</v>
      </c>
      <c r="K397" s="53"/>
      <c r="L397" s="53" t="s">
        <v>686</v>
      </c>
      <c r="M397" s="53"/>
      <c r="N397" s="53" t="s">
        <v>227</v>
      </c>
      <c r="O397" s="53" t="s">
        <v>23</v>
      </c>
      <c r="P397" s="53" t="s">
        <v>227</v>
      </c>
      <c r="Q397" s="57"/>
      <c r="R397" s="53" t="s">
        <v>11</v>
      </c>
      <c r="S397" s="53" t="s">
        <v>15</v>
      </c>
      <c r="T397" s="53" t="s">
        <v>101</v>
      </c>
      <c r="U397" s="53"/>
      <c r="V397" s="53"/>
    </row>
    <row r="398" spans="1:22" s="9" customFormat="1" x14ac:dyDescent="0.2">
      <c r="A398" s="48"/>
      <c r="B398" s="51" t="s">
        <v>5</v>
      </c>
      <c r="C398" s="51" t="s">
        <v>5</v>
      </c>
      <c r="D398" s="24">
        <f>SUM(D399:D402)</f>
        <v>1500</v>
      </c>
      <c r="E398" s="25">
        <f>SUM(E399:E402)</f>
        <v>1500</v>
      </c>
      <c r="F398" s="25"/>
      <c r="G398" s="25"/>
      <c r="H398" s="25"/>
      <c r="I398" s="25"/>
      <c r="J398" s="53"/>
      <c r="K398" s="53"/>
      <c r="L398" s="53"/>
      <c r="M398" s="53"/>
      <c r="N398" s="53"/>
      <c r="O398" s="53"/>
      <c r="P398" s="53"/>
      <c r="Q398" s="57"/>
      <c r="R398" s="53"/>
      <c r="S398" s="53"/>
      <c r="T398" s="53"/>
      <c r="U398" s="53"/>
      <c r="V398" s="53"/>
    </row>
    <row r="399" spans="1:22" s="9" customFormat="1" x14ac:dyDescent="0.2">
      <c r="A399" s="48"/>
      <c r="B399" s="51" t="s">
        <v>0</v>
      </c>
      <c r="C399" s="51" t="s">
        <v>0</v>
      </c>
      <c r="D399" s="24">
        <f>E399+F399+G399+H399+I399</f>
        <v>0</v>
      </c>
      <c r="E399" s="25"/>
      <c r="F399" s="25"/>
      <c r="G399" s="25"/>
      <c r="H399" s="25"/>
      <c r="I399" s="25"/>
      <c r="J399" s="53"/>
      <c r="K399" s="53"/>
      <c r="L399" s="53"/>
      <c r="M399" s="53"/>
      <c r="N399" s="53"/>
      <c r="O399" s="53"/>
      <c r="P399" s="53"/>
      <c r="Q399" s="57"/>
      <c r="R399" s="53"/>
      <c r="S399" s="53"/>
      <c r="T399" s="53"/>
      <c r="U399" s="53"/>
      <c r="V399" s="53"/>
    </row>
    <row r="400" spans="1:22" s="9" customFormat="1" x14ac:dyDescent="0.2">
      <c r="A400" s="48"/>
      <c r="B400" s="51" t="s">
        <v>1</v>
      </c>
      <c r="C400" s="51" t="s">
        <v>1</v>
      </c>
      <c r="D400" s="24">
        <f>E400+F400+G400+H400+I400</f>
        <v>1500</v>
      </c>
      <c r="E400" s="25">
        <v>1500</v>
      </c>
      <c r="F400" s="25"/>
      <c r="G400" s="25"/>
      <c r="H400" s="25"/>
      <c r="I400" s="25"/>
      <c r="J400" s="53"/>
      <c r="K400" s="53"/>
      <c r="L400" s="53"/>
      <c r="M400" s="53"/>
      <c r="N400" s="53"/>
      <c r="O400" s="53"/>
      <c r="P400" s="53"/>
      <c r="Q400" s="57"/>
      <c r="R400" s="53"/>
      <c r="S400" s="53"/>
      <c r="T400" s="53"/>
      <c r="U400" s="53"/>
      <c r="V400" s="53"/>
    </row>
    <row r="401" spans="1:22" s="9" customFormat="1" x14ac:dyDescent="0.2">
      <c r="A401" s="48"/>
      <c r="B401" s="51" t="s">
        <v>2</v>
      </c>
      <c r="C401" s="51" t="s">
        <v>2</v>
      </c>
      <c r="D401" s="24">
        <f>E401+F401+G401+H401+I401</f>
        <v>0</v>
      </c>
      <c r="E401" s="25"/>
      <c r="F401" s="25"/>
      <c r="G401" s="25"/>
      <c r="H401" s="25"/>
      <c r="I401" s="25"/>
      <c r="J401" s="53"/>
      <c r="K401" s="53"/>
      <c r="L401" s="53"/>
      <c r="M401" s="53"/>
      <c r="N401" s="53"/>
      <c r="O401" s="53"/>
      <c r="P401" s="53"/>
      <c r="Q401" s="57"/>
      <c r="R401" s="53"/>
      <c r="S401" s="53"/>
      <c r="T401" s="53"/>
      <c r="U401" s="53"/>
      <c r="V401" s="53"/>
    </row>
    <row r="402" spans="1:22" s="9" customFormat="1" ht="21.75" customHeight="1" x14ac:dyDescent="0.2">
      <c r="A402" s="48"/>
      <c r="B402" s="51" t="s">
        <v>3</v>
      </c>
      <c r="C402" s="51" t="s">
        <v>3</v>
      </c>
      <c r="D402" s="24">
        <f>E402+F402+G402+H402+I402</f>
        <v>0</v>
      </c>
      <c r="E402" s="25"/>
      <c r="F402" s="25"/>
      <c r="G402" s="25"/>
      <c r="H402" s="25"/>
      <c r="I402" s="25"/>
      <c r="J402" s="53"/>
      <c r="K402" s="53"/>
      <c r="L402" s="53"/>
      <c r="M402" s="53"/>
      <c r="N402" s="53"/>
      <c r="O402" s="53"/>
      <c r="P402" s="53"/>
      <c r="Q402" s="57"/>
      <c r="R402" s="53"/>
      <c r="S402" s="53"/>
      <c r="T402" s="53"/>
      <c r="U402" s="53"/>
      <c r="V402" s="53"/>
    </row>
    <row r="403" spans="1:22" ht="12.75" customHeight="1" x14ac:dyDescent="0.2">
      <c r="A403" s="48" t="s">
        <v>249</v>
      </c>
      <c r="B403" s="49" t="s">
        <v>22</v>
      </c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</row>
    <row r="404" spans="1:22" ht="12.75" customHeight="1" x14ac:dyDescent="0.2">
      <c r="A404" s="48"/>
      <c r="B404" s="52" t="s">
        <v>454</v>
      </c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</row>
    <row r="405" spans="1:22" ht="44.25" customHeight="1" x14ac:dyDescent="0.2">
      <c r="A405" s="48"/>
      <c r="B405" s="50" t="s">
        <v>177</v>
      </c>
      <c r="C405" s="50" t="s">
        <v>177</v>
      </c>
      <c r="D405" s="50"/>
      <c r="E405" s="50"/>
      <c r="F405" s="50"/>
      <c r="G405" s="50"/>
      <c r="H405" s="50"/>
      <c r="I405" s="50"/>
      <c r="J405" s="53" t="s">
        <v>60</v>
      </c>
      <c r="K405" s="53"/>
      <c r="L405" s="53" t="s">
        <v>72</v>
      </c>
      <c r="M405" s="53" t="s">
        <v>178</v>
      </c>
      <c r="N405" s="53" t="s">
        <v>298</v>
      </c>
      <c r="O405" s="53" t="s">
        <v>179</v>
      </c>
      <c r="P405" s="53" t="s">
        <v>179</v>
      </c>
      <c r="Q405" s="57" t="s">
        <v>180</v>
      </c>
      <c r="R405" s="53" t="s">
        <v>9</v>
      </c>
      <c r="S405" s="53" t="s">
        <v>298</v>
      </c>
      <c r="T405" s="53" t="s">
        <v>18</v>
      </c>
      <c r="U405" s="53"/>
      <c r="V405" s="53" t="s">
        <v>653</v>
      </c>
    </row>
    <row r="406" spans="1:22" x14ac:dyDescent="0.2">
      <c r="A406" s="48"/>
      <c r="B406" s="51" t="s">
        <v>5</v>
      </c>
      <c r="C406" s="51" t="s">
        <v>5</v>
      </c>
      <c r="D406" s="24">
        <f>SUM(D407:D410)</f>
        <v>17757.38308</v>
      </c>
      <c r="E406" s="25">
        <f>SUM(E407:E410)</f>
        <v>17757.38308</v>
      </c>
      <c r="F406" s="25"/>
      <c r="G406" s="25"/>
      <c r="H406" s="25"/>
      <c r="I406" s="25"/>
      <c r="J406" s="53"/>
      <c r="K406" s="53"/>
      <c r="L406" s="53"/>
      <c r="M406" s="53"/>
      <c r="N406" s="53"/>
      <c r="O406" s="53"/>
      <c r="P406" s="53"/>
      <c r="Q406" s="57"/>
      <c r="R406" s="53"/>
      <c r="S406" s="53"/>
      <c r="T406" s="53"/>
      <c r="U406" s="53"/>
      <c r="V406" s="53"/>
    </row>
    <row r="407" spans="1:22" x14ac:dyDescent="0.2">
      <c r="A407" s="48"/>
      <c r="B407" s="51" t="s">
        <v>0</v>
      </c>
      <c r="C407" s="51" t="s">
        <v>0</v>
      </c>
      <c r="D407" s="24">
        <f>E407+F407+G407+H407+I407</f>
        <v>0</v>
      </c>
      <c r="E407" s="25"/>
      <c r="F407" s="25"/>
      <c r="G407" s="25"/>
      <c r="H407" s="25"/>
      <c r="I407" s="25"/>
      <c r="J407" s="53"/>
      <c r="K407" s="53"/>
      <c r="L407" s="53"/>
      <c r="M407" s="53"/>
      <c r="N407" s="53"/>
      <c r="O407" s="53"/>
      <c r="P407" s="53"/>
      <c r="Q407" s="57"/>
      <c r="R407" s="53"/>
      <c r="S407" s="53"/>
      <c r="T407" s="53"/>
      <c r="U407" s="53"/>
      <c r="V407" s="53"/>
    </row>
    <row r="408" spans="1:22" x14ac:dyDescent="0.2">
      <c r="A408" s="48"/>
      <c r="B408" s="51" t="s">
        <v>1</v>
      </c>
      <c r="C408" s="51" t="s">
        <v>1</v>
      </c>
      <c r="D408" s="24">
        <f>E408+F408+G408+H408+I408</f>
        <v>16519.63708</v>
      </c>
      <c r="E408" s="25">
        <f>23517.174-6997.53692</f>
        <v>16519.63708</v>
      </c>
      <c r="F408" s="25"/>
      <c r="G408" s="25"/>
      <c r="H408" s="25"/>
      <c r="I408" s="25"/>
      <c r="J408" s="53"/>
      <c r="K408" s="53"/>
      <c r="L408" s="53"/>
      <c r="M408" s="53"/>
      <c r="N408" s="53"/>
      <c r="O408" s="53"/>
      <c r="P408" s="53"/>
      <c r="Q408" s="57"/>
      <c r="R408" s="53"/>
      <c r="S408" s="53"/>
      <c r="T408" s="53"/>
      <c r="U408" s="53"/>
      <c r="V408" s="53"/>
    </row>
    <row r="409" spans="1:22" x14ac:dyDescent="0.2">
      <c r="A409" s="48"/>
      <c r="B409" s="51" t="s">
        <v>2</v>
      </c>
      <c r="C409" s="51" t="s">
        <v>2</v>
      </c>
      <c r="D409" s="24">
        <f>E409+F409+G409+H409+I409</f>
        <v>1237.7460000000001</v>
      </c>
      <c r="E409" s="25">
        <v>1237.7460000000001</v>
      </c>
      <c r="F409" s="25"/>
      <c r="G409" s="25"/>
      <c r="H409" s="25"/>
      <c r="I409" s="25"/>
      <c r="J409" s="53"/>
      <c r="K409" s="53"/>
      <c r="L409" s="53"/>
      <c r="M409" s="53"/>
      <c r="N409" s="53"/>
      <c r="O409" s="53"/>
      <c r="P409" s="53"/>
      <c r="Q409" s="57"/>
      <c r="R409" s="53"/>
      <c r="S409" s="53"/>
      <c r="T409" s="53"/>
      <c r="U409" s="53"/>
      <c r="V409" s="53"/>
    </row>
    <row r="410" spans="1:22" s="9" customFormat="1" ht="21.75" customHeight="1" x14ac:dyDescent="0.2">
      <c r="A410" s="48"/>
      <c r="B410" s="51" t="s">
        <v>3</v>
      </c>
      <c r="C410" s="51" t="s">
        <v>3</v>
      </c>
      <c r="D410" s="24">
        <f>E410+F410+G410+H410+I410</f>
        <v>0</v>
      </c>
      <c r="E410" s="25"/>
      <c r="F410" s="25"/>
      <c r="G410" s="25"/>
      <c r="H410" s="25"/>
      <c r="I410" s="25"/>
      <c r="J410" s="53"/>
      <c r="K410" s="53"/>
      <c r="L410" s="53"/>
      <c r="M410" s="53"/>
      <c r="N410" s="53"/>
      <c r="O410" s="53"/>
      <c r="P410" s="53"/>
      <c r="Q410" s="57"/>
      <c r="R410" s="53"/>
      <c r="S410" s="53"/>
      <c r="T410" s="53"/>
      <c r="U410" s="53"/>
      <c r="V410" s="53"/>
    </row>
    <row r="411" spans="1:22" s="9" customFormat="1" ht="12.75" customHeight="1" x14ac:dyDescent="0.2">
      <c r="A411" s="48" t="s">
        <v>250</v>
      </c>
      <c r="B411" s="49" t="s">
        <v>22</v>
      </c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</row>
    <row r="412" spans="1:22" s="9" customFormat="1" ht="12.75" customHeight="1" x14ac:dyDescent="0.2">
      <c r="A412" s="48"/>
      <c r="B412" s="52" t="s">
        <v>454</v>
      </c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</row>
    <row r="413" spans="1:22" s="9" customFormat="1" ht="45.75" customHeight="1" x14ac:dyDescent="0.2">
      <c r="A413" s="48"/>
      <c r="B413" s="50" t="s">
        <v>301</v>
      </c>
      <c r="C413" s="50" t="s">
        <v>301</v>
      </c>
      <c r="D413" s="50"/>
      <c r="E413" s="50"/>
      <c r="F413" s="50"/>
      <c r="G413" s="50"/>
      <c r="H413" s="50"/>
      <c r="I413" s="50"/>
      <c r="J413" s="53"/>
      <c r="K413" s="53" t="s">
        <v>60</v>
      </c>
      <c r="L413" s="53" t="s">
        <v>72</v>
      </c>
      <c r="M413" s="53" t="s">
        <v>175</v>
      </c>
      <c r="N413" s="53" t="s">
        <v>315</v>
      </c>
      <c r="O413" s="53" t="s">
        <v>176</v>
      </c>
      <c r="P413" s="53" t="s">
        <v>176</v>
      </c>
      <c r="Q413" s="57"/>
      <c r="R413" s="53" t="s">
        <v>9</v>
      </c>
      <c r="S413" s="53" t="s">
        <v>203</v>
      </c>
      <c r="T413" s="53" t="s">
        <v>85</v>
      </c>
      <c r="U413" s="53"/>
      <c r="V413" s="53"/>
    </row>
    <row r="414" spans="1:22" s="9" customFormat="1" x14ac:dyDescent="0.2">
      <c r="A414" s="48"/>
      <c r="B414" s="51" t="s">
        <v>5</v>
      </c>
      <c r="C414" s="51" t="s">
        <v>5</v>
      </c>
      <c r="D414" s="24">
        <f>SUM(D415:D418)</f>
        <v>7487.65</v>
      </c>
      <c r="E414" s="25">
        <f>SUM(E415:E418)</f>
        <v>7487.65</v>
      </c>
      <c r="F414" s="25"/>
      <c r="G414" s="25"/>
      <c r="H414" s="25"/>
      <c r="I414" s="25"/>
      <c r="J414" s="53"/>
      <c r="K414" s="53"/>
      <c r="L414" s="53"/>
      <c r="M414" s="53"/>
      <c r="N414" s="53"/>
      <c r="O414" s="53"/>
      <c r="P414" s="53"/>
      <c r="Q414" s="57"/>
      <c r="R414" s="53"/>
      <c r="S414" s="53"/>
      <c r="T414" s="53"/>
      <c r="U414" s="53"/>
      <c r="V414" s="53"/>
    </row>
    <row r="415" spans="1:22" s="9" customFormat="1" x14ac:dyDescent="0.2">
      <c r="A415" s="48"/>
      <c r="B415" s="51" t="s">
        <v>0</v>
      </c>
      <c r="C415" s="51" t="s">
        <v>0</v>
      </c>
      <c r="D415" s="24">
        <f>E415+F415+G415+H415+I415</f>
        <v>0</v>
      </c>
      <c r="E415" s="25"/>
      <c r="F415" s="25"/>
      <c r="G415" s="25"/>
      <c r="H415" s="25"/>
      <c r="I415" s="25"/>
      <c r="J415" s="53"/>
      <c r="K415" s="53"/>
      <c r="L415" s="53"/>
      <c r="M415" s="53"/>
      <c r="N415" s="53"/>
      <c r="O415" s="53"/>
      <c r="P415" s="53"/>
      <c r="Q415" s="57"/>
      <c r="R415" s="53"/>
      <c r="S415" s="53"/>
      <c r="T415" s="53"/>
      <c r="U415" s="53"/>
      <c r="V415" s="53"/>
    </row>
    <row r="416" spans="1:22" s="9" customFormat="1" x14ac:dyDescent="0.2">
      <c r="A416" s="48"/>
      <c r="B416" s="51" t="s">
        <v>1</v>
      </c>
      <c r="C416" s="51" t="s">
        <v>1</v>
      </c>
      <c r="D416" s="24">
        <f>E416+F416+G416+H416+I416</f>
        <v>7112.65</v>
      </c>
      <c r="E416" s="25">
        <f>7125-12.35</f>
        <v>7112.65</v>
      </c>
      <c r="F416" s="25"/>
      <c r="G416" s="25"/>
      <c r="H416" s="25"/>
      <c r="I416" s="25"/>
      <c r="J416" s="53"/>
      <c r="K416" s="53"/>
      <c r="L416" s="53"/>
      <c r="M416" s="53"/>
      <c r="N416" s="53"/>
      <c r="O416" s="53"/>
      <c r="P416" s="53"/>
      <c r="Q416" s="57"/>
      <c r="R416" s="53"/>
      <c r="S416" s="53"/>
      <c r="T416" s="53"/>
      <c r="U416" s="53"/>
      <c r="V416" s="53"/>
    </row>
    <row r="417" spans="1:22" x14ac:dyDescent="0.2">
      <c r="A417" s="48"/>
      <c r="B417" s="51" t="s">
        <v>2</v>
      </c>
      <c r="C417" s="51" t="s">
        <v>2</v>
      </c>
      <c r="D417" s="24">
        <f>E417+F417+G417+H417+I417</f>
        <v>375</v>
      </c>
      <c r="E417" s="25">
        <v>375</v>
      </c>
      <c r="F417" s="25"/>
      <c r="G417" s="25"/>
      <c r="H417" s="25"/>
      <c r="I417" s="25"/>
      <c r="J417" s="53"/>
      <c r="K417" s="53"/>
      <c r="L417" s="53"/>
      <c r="M417" s="53"/>
      <c r="N417" s="53"/>
      <c r="O417" s="53"/>
      <c r="P417" s="53"/>
      <c r="Q417" s="57"/>
      <c r="R417" s="53"/>
      <c r="S417" s="53"/>
      <c r="T417" s="53"/>
      <c r="U417" s="53"/>
      <c r="V417" s="53"/>
    </row>
    <row r="418" spans="1:22" s="9" customFormat="1" ht="21.75" customHeight="1" x14ac:dyDescent="0.2">
      <c r="A418" s="48"/>
      <c r="B418" s="51" t="s">
        <v>3</v>
      </c>
      <c r="C418" s="51" t="s">
        <v>3</v>
      </c>
      <c r="D418" s="24">
        <f>E418+F418+G418+H418+I418</f>
        <v>0</v>
      </c>
      <c r="E418" s="25"/>
      <c r="F418" s="25"/>
      <c r="G418" s="25"/>
      <c r="H418" s="25"/>
      <c r="I418" s="25"/>
      <c r="J418" s="53"/>
      <c r="K418" s="53"/>
      <c r="L418" s="53"/>
      <c r="M418" s="53"/>
      <c r="N418" s="53"/>
      <c r="O418" s="53"/>
      <c r="P418" s="53"/>
      <c r="Q418" s="57"/>
      <c r="R418" s="53"/>
      <c r="S418" s="53"/>
      <c r="T418" s="53"/>
      <c r="U418" s="53"/>
      <c r="V418" s="53"/>
    </row>
    <row r="419" spans="1:22" s="9" customFormat="1" ht="12.75" customHeight="1" x14ac:dyDescent="0.2">
      <c r="A419" s="48" t="s">
        <v>313</v>
      </c>
      <c r="B419" s="49" t="s">
        <v>19</v>
      </c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</row>
    <row r="420" spans="1:22" s="9" customFormat="1" ht="12.75" customHeight="1" x14ac:dyDescent="0.2">
      <c r="A420" s="48"/>
      <c r="B420" s="52" t="s">
        <v>454</v>
      </c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</row>
    <row r="421" spans="1:22" s="9" customFormat="1" ht="43.5" customHeight="1" x14ac:dyDescent="0.2">
      <c r="A421" s="48"/>
      <c r="B421" s="50" t="s">
        <v>312</v>
      </c>
      <c r="C421" s="50" t="s">
        <v>312</v>
      </c>
      <c r="D421" s="50"/>
      <c r="E421" s="50"/>
      <c r="F421" s="50"/>
      <c r="G421" s="50"/>
      <c r="H421" s="50"/>
      <c r="I421" s="50"/>
      <c r="J421" s="53"/>
      <c r="K421" s="53" t="s">
        <v>76</v>
      </c>
      <c r="L421" s="53" t="s">
        <v>72</v>
      </c>
      <c r="M421" s="53"/>
      <c r="N421" s="53" t="s">
        <v>68</v>
      </c>
      <c r="O421" s="53"/>
      <c r="P421" s="53" t="s">
        <v>74</v>
      </c>
      <c r="Q421" s="57"/>
      <c r="R421" s="53" t="s">
        <v>9</v>
      </c>
      <c r="S421" s="53" t="s">
        <v>68</v>
      </c>
      <c r="T421" s="53" t="s">
        <v>18</v>
      </c>
      <c r="U421" s="53"/>
      <c r="V421" s="53"/>
    </row>
    <row r="422" spans="1:22" s="9" customFormat="1" x14ac:dyDescent="0.2">
      <c r="A422" s="48"/>
      <c r="B422" s="51" t="s">
        <v>5</v>
      </c>
      <c r="C422" s="51" t="s">
        <v>5</v>
      </c>
      <c r="D422" s="24">
        <f>SUM(D423:D426)</f>
        <v>34756.800000000003</v>
      </c>
      <c r="E422" s="25">
        <f>SUM(E423:E426)</f>
        <v>0</v>
      </c>
      <c r="F422" s="25">
        <f t="shared" ref="F422:G422" si="39">SUM(F423:F426)</f>
        <v>17027.400000000001</v>
      </c>
      <c r="G422" s="25">
        <f t="shared" si="39"/>
        <v>17729.400000000001</v>
      </c>
      <c r="H422" s="25"/>
      <c r="I422" s="25"/>
      <c r="J422" s="53"/>
      <c r="K422" s="53"/>
      <c r="L422" s="53"/>
      <c r="M422" s="53"/>
      <c r="N422" s="53"/>
      <c r="O422" s="53"/>
      <c r="P422" s="53"/>
      <c r="Q422" s="57"/>
      <c r="R422" s="53"/>
      <c r="S422" s="53"/>
      <c r="T422" s="53"/>
      <c r="U422" s="53"/>
      <c r="V422" s="53"/>
    </row>
    <row r="423" spans="1:22" s="9" customFormat="1" x14ac:dyDescent="0.2">
      <c r="A423" s="48"/>
      <c r="B423" s="51" t="s">
        <v>0</v>
      </c>
      <c r="C423" s="51" t="s">
        <v>0</v>
      </c>
      <c r="D423" s="24">
        <f>E423+F423+G423+H423+I423</f>
        <v>34756.800000000003</v>
      </c>
      <c r="E423" s="25">
        <v>0</v>
      </c>
      <c r="F423" s="25">
        <f>17027.4</f>
        <v>17027.400000000001</v>
      </c>
      <c r="G423" s="25">
        <f>17729.4</f>
        <v>17729.400000000001</v>
      </c>
      <c r="H423" s="25"/>
      <c r="I423" s="25"/>
      <c r="J423" s="53"/>
      <c r="K423" s="53"/>
      <c r="L423" s="53"/>
      <c r="M423" s="53"/>
      <c r="N423" s="53"/>
      <c r="O423" s="53"/>
      <c r="P423" s="53"/>
      <c r="Q423" s="57"/>
      <c r="R423" s="53"/>
      <c r="S423" s="53"/>
      <c r="T423" s="53"/>
      <c r="U423" s="53"/>
      <c r="V423" s="53"/>
    </row>
    <row r="424" spans="1:22" s="9" customFormat="1" x14ac:dyDescent="0.2">
      <c r="A424" s="48"/>
      <c r="B424" s="51" t="s">
        <v>1</v>
      </c>
      <c r="C424" s="51" t="s">
        <v>1</v>
      </c>
      <c r="D424" s="24">
        <f>E424+F424+G424+H424+I424</f>
        <v>0</v>
      </c>
      <c r="E424" s="25"/>
      <c r="F424" s="25"/>
      <c r="G424" s="25"/>
      <c r="H424" s="25"/>
      <c r="I424" s="25"/>
      <c r="J424" s="53"/>
      <c r="K424" s="53"/>
      <c r="L424" s="53"/>
      <c r="M424" s="53"/>
      <c r="N424" s="53"/>
      <c r="O424" s="53"/>
      <c r="P424" s="53"/>
      <c r="Q424" s="57"/>
      <c r="R424" s="53"/>
      <c r="S424" s="53"/>
      <c r="T424" s="53"/>
      <c r="U424" s="53"/>
      <c r="V424" s="53"/>
    </row>
    <row r="425" spans="1:22" x14ac:dyDescent="0.2">
      <c r="A425" s="48"/>
      <c r="B425" s="51" t="s">
        <v>2</v>
      </c>
      <c r="C425" s="51" t="s">
        <v>2</v>
      </c>
      <c r="D425" s="24">
        <f>E425+F425+G425+H425+I425</f>
        <v>0</v>
      </c>
      <c r="E425" s="25"/>
      <c r="F425" s="25"/>
      <c r="G425" s="25"/>
      <c r="H425" s="25"/>
      <c r="I425" s="25"/>
      <c r="J425" s="53"/>
      <c r="K425" s="53"/>
      <c r="L425" s="53"/>
      <c r="M425" s="53"/>
      <c r="N425" s="53"/>
      <c r="O425" s="53"/>
      <c r="P425" s="53"/>
      <c r="Q425" s="57"/>
      <c r="R425" s="53"/>
      <c r="S425" s="53"/>
      <c r="T425" s="53"/>
      <c r="U425" s="53"/>
      <c r="V425" s="53"/>
    </row>
    <row r="426" spans="1:22" s="9" customFormat="1" ht="21.75" customHeight="1" x14ac:dyDescent="0.2">
      <c r="A426" s="48"/>
      <c r="B426" s="51" t="s">
        <v>3</v>
      </c>
      <c r="C426" s="51" t="s">
        <v>3</v>
      </c>
      <c r="D426" s="24">
        <f>E426+F426+G426+H426+I426</f>
        <v>0</v>
      </c>
      <c r="E426" s="25"/>
      <c r="F426" s="25"/>
      <c r="G426" s="25"/>
      <c r="H426" s="25"/>
      <c r="I426" s="25"/>
      <c r="J426" s="53"/>
      <c r="K426" s="53"/>
      <c r="L426" s="53"/>
      <c r="M426" s="53"/>
      <c r="N426" s="53"/>
      <c r="O426" s="53"/>
      <c r="P426" s="53"/>
      <c r="Q426" s="57"/>
      <c r="R426" s="53"/>
      <c r="S426" s="53"/>
      <c r="T426" s="53"/>
      <c r="U426" s="53"/>
      <c r="V426" s="53"/>
    </row>
    <row r="427" spans="1:22" s="9" customFormat="1" ht="12.75" customHeight="1" x14ac:dyDescent="0.2">
      <c r="A427" s="54" t="s">
        <v>63</v>
      </c>
      <c r="B427" s="55" t="s">
        <v>117</v>
      </c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</row>
    <row r="428" spans="1:22" s="9" customFormat="1" ht="12.75" customHeight="1" x14ac:dyDescent="0.2">
      <c r="A428" s="54"/>
      <c r="B428" s="56" t="s">
        <v>5</v>
      </c>
      <c r="C428" s="56"/>
      <c r="D428" s="23">
        <f>SUM(D429:D432)</f>
        <v>2605539.69301</v>
      </c>
      <c r="E428" s="23">
        <f>SUM(E429:E432)</f>
        <v>1530633.5425100003</v>
      </c>
      <c r="F428" s="23">
        <f t="shared" ref="F428:I428" si="40">SUM(F429:F432)</f>
        <v>757470.15049999999</v>
      </c>
      <c r="G428" s="23">
        <f t="shared" si="40"/>
        <v>317436</v>
      </c>
      <c r="H428" s="23">
        <f t="shared" si="40"/>
        <v>0</v>
      </c>
      <c r="I428" s="23">
        <f t="shared" si="40"/>
        <v>0</v>
      </c>
      <c r="J428" s="12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4"/>
    </row>
    <row r="429" spans="1:22" s="9" customFormat="1" x14ac:dyDescent="0.2">
      <c r="A429" s="54"/>
      <c r="B429" s="56" t="s">
        <v>0</v>
      </c>
      <c r="C429" s="56"/>
      <c r="D429" s="23">
        <f>E429+F429+G429+H429+I429</f>
        <v>598367.50000000012</v>
      </c>
      <c r="E429" s="23">
        <f t="shared" ref="E429:I429" si="41">E437+E445+E453+E461+E469+E477+E485+E493+E501+E509+E517+E525+E533+E541</f>
        <v>598367.50000000012</v>
      </c>
      <c r="F429" s="23">
        <f t="shared" si="41"/>
        <v>0</v>
      </c>
      <c r="G429" s="23">
        <f t="shared" si="41"/>
        <v>0</v>
      </c>
      <c r="H429" s="23">
        <f t="shared" si="41"/>
        <v>0</v>
      </c>
      <c r="I429" s="23">
        <f t="shared" si="41"/>
        <v>0</v>
      </c>
      <c r="J429" s="15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7"/>
    </row>
    <row r="430" spans="1:22" s="9" customFormat="1" ht="12.75" customHeight="1" x14ac:dyDescent="0.2">
      <c r="A430" s="54"/>
      <c r="B430" s="56" t="s">
        <v>1</v>
      </c>
      <c r="C430" s="56"/>
      <c r="D430" s="23">
        <f>E430+F430+G430+H430+I430</f>
        <v>2001520.92943</v>
      </c>
      <c r="E430" s="23">
        <f t="shared" ref="E430" si="42">E438+E446+E454+E462+E470+E478+E486+E494+E502+E510+E518+E526+E534+E542</f>
        <v>927049.10843000014</v>
      </c>
      <c r="F430" s="23">
        <f>F438+F446+F454+F462+F470+F478+F486+F494+F502+F510+F518+F526+F534+F542</f>
        <v>757035.821</v>
      </c>
      <c r="G430" s="23">
        <f t="shared" ref="G430:I430" si="43">G438+G446+G454+G462+G470+G478+G486+G494+G502+G510+G518+G526+G534+G542</f>
        <v>317436</v>
      </c>
      <c r="H430" s="23">
        <f t="shared" si="43"/>
        <v>0</v>
      </c>
      <c r="I430" s="23">
        <f t="shared" si="43"/>
        <v>0</v>
      </c>
      <c r="J430" s="15"/>
      <c r="K430" s="18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7"/>
    </row>
    <row r="431" spans="1:22" s="9" customFormat="1" ht="12.75" customHeight="1" x14ac:dyDescent="0.2">
      <c r="A431" s="54"/>
      <c r="B431" s="56" t="s">
        <v>2</v>
      </c>
      <c r="C431" s="56"/>
      <c r="D431" s="23">
        <f>E431+F431+G431+H431+I431</f>
        <v>5651.2635799999998</v>
      </c>
      <c r="E431" s="23">
        <f t="shared" ref="E431:I431" si="44">E439+E447+E455+E463+E471+E479+E487+E495+E503+E511+E519+E527+E535+E543</f>
        <v>5216.93408</v>
      </c>
      <c r="F431" s="23">
        <f t="shared" si="44"/>
        <v>434.32950000000005</v>
      </c>
      <c r="G431" s="23">
        <f t="shared" si="44"/>
        <v>0</v>
      </c>
      <c r="H431" s="23">
        <f t="shared" si="44"/>
        <v>0</v>
      </c>
      <c r="I431" s="23">
        <f t="shared" si="44"/>
        <v>0</v>
      </c>
      <c r="J431" s="15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7"/>
    </row>
    <row r="432" spans="1:22" s="9" customFormat="1" ht="21.75" customHeight="1" x14ac:dyDescent="0.2">
      <c r="A432" s="54"/>
      <c r="B432" s="56" t="s">
        <v>3</v>
      </c>
      <c r="C432" s="56"/>
      <c r="D432" s="23">
        <f>E432+F432+G432+H432+I432</f>
        <v>0</v>
      </c>
      <c r="E432" s="23">
        <f t="shared" ref="E432:I432" si="45">E440+E448+E456+E464+E472+E480+E488+E496+E504+E512+E520+E528+E536+E544</f>
        <v>0</v>
      </c>
      <c r="F432" s="23">
        <f t="shared" si="45"/>
        <v>0</v>
      </c>
      <c r="G432" s="23">
        <f t="shared" si="45"/>
        <v>0</v>
      </c>
      <c r="H432" s="23">
        <f t="shared" si="45"/>
        <v>0</v>
      </c>
      <c r="I432" s="23">
        <f t="shared" si="45"/>
        <v>0</v>
      </c>
      <c r="J432" s="19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1"/>
    </row>
    <row r="433" spans="1:22" ht="12.75" customHeight="1" x14ac:dyDescent="0.2">
      <c r="A433" s="48" t="s">
        <v>64</v>
      </c>
      <c r="B433" s="49" t="s">
        <v>16</v>
      </c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</row>
    <row r="434" spans="1:22" s="9" customFormat="1" ht="12.75" customHeight="1" x14ac:dyDescent="0.2">
      <c r="A434" s="48"/>
      <c r="B434" s="52" t="s">
        <v>455</v>
      </c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</row>
    <row r="435" spans="1:22" s="9" customFormat="1" ht="43.5" customHeight="1" x14ac:dyDescent="0.2">
      <c r="A435" s="48"/>
      <c r="B435" s="50" t="s">
        <v>77</v>
      </c>
      <c r="C435" s="50" t="s">
        <v>77</v>
      </c>
      <c r="D435" s="50"/>
      <c r="E435" s="50"/>
      <c r="F435" s="50"/>
      <c r="G435" s="50"/>
      <c r="H435" s="50"/>
      <c r="I435" s="50"/>
      <c r="J435" s="53" t="s">
        <v>76</v>
      </c>
      <c r="K435" s="53"/>
      <c r="L435" s="53" t="s">
        <v>71</v>
      </c>
      <c r="M435" s="53"/>
      <c r="N435" s="53" t="s">
        <v>68</v>
      </c>
      <c r="O435" s="53"/>
      <c r="P435" s="53" t="s">
        <v>74</v>
      </c>
      <c r="Q435" s="57"/>
      <c r="R435" s="53" t="s">
        <v>9</v>
      </c>
      <c r="S435" s="53" t="s">
        <v>68</v>
      </c>
      <c r="T435" s="53" t="s">
        <v>7</v>
      </c>
      <c r="U435" s="53"/>
      <c r="V435" s="53"/>
    </row>
    <row r="436" spans="1:22" s="9" customFormat="1" x14ac:dyDescent="0.2">
      <c r="A436" s="48"/>
      <c r="B436" s="51" t="s">
        <v>5</v>
      </c>
      <c r="C436" s="51" t="s">
        <v>5</v>
      </c>
      <c r="D436" s="24">
        <f>SUM(D437:D440)</f>
        <v>503571.40755999996</v>
      </c>
      <c r="E436" s="25">
        <f>SUM(E437:E440)</f>
        <v>503571.40755999996</v>
      </c>
      <c r="F436" s="25"/>
      <c r="G436" s="25"/>
      <c r="H436" s="25"/>
      <c r="I436" s="25"/>
      <c r="J436" s="53"/>
      <c r="K436" s="53"/>
      <c r="L436" s="53"/>
      <c r="M436" s="53"/>
      <c r="N436" s="53"/>
      <c r="O436" s="53"/>
      <c r="P436" s="53"/>
      <c r="Q436" s="57"/>
      <c r="R436" s="53"/>
      <c r="S436" s="53"/>
      <c r="T436" s="53"/>
      <c r="U436" s="53"/>
      <c r="V436" s="53"/>
    </row>
    <row r="437" spans="1:22" s="9" customFormat="1" x14ac:dyDescent="0.2">
      <c r="A437" s="48"/>
      <c r="B437" s="51" t="s">
        <v>0</v>
      </c>
      <c r="C437" s="51" t="s">
        <v>0</v>
      </c>
      <c r="D437" s="24">
        <f>E437+F437+G437+H437+I437</f>
        <v>0</v>
      </c>
      <c r="E437" s="25"/>
      <c r="F437" s="25"/>
      <c r="G437" s="25"/>
      <c r="H437" s="25"/>
      <c r="I437" s="25"/>
      <c r="J437" s="53"/>
      <c r="K437" s="53"/>
      <c r="L437" s="53"/>
      <c r="M437" s="53"/>
      <c r="N437" s="53"/>
      <c r="O437" s="53"/>
      <c r="P437" s="53"/>
      <c r="Q437" s="57"/>
      <c r="R437" s="53"/>
      <c r="S437" s="53"/>
      <c r="T437" s="53"/>
      <c r="U437" s="53"/>
      <c r="V437" s="53"/>
    </row>
    <row r="438" spans="1:22" s="9" customFormat="1" x14ac:dyDescent="0.2">
      <c r="A438" s="48"/>
      <c r="B438" s="51" t="s">
        <v>1</v>
      </c>
      <c r="C438" s="51" t="s">
        <v>1</v>
      </c>
      <c r="D438" s="24">
        <f>E438+F438+G438+H438+I438</f>
        <v>498535.69347999996</v>
      </c>
      <c r="E438" s="25">
        <f>219062.076+99260.08513+15000+55889.041+34000+87836.909+4000-10041.95398-6470.46367</f>
        <v>498535.69347999996</v>
      </c>
      <c r="F438" s="25"/>
      <c r="G438" s="25"/>
      <c r="H438" s="25"/>
      <c r="I438" s="25"/>
      <c r="J438" s="53"/>
      <c r="K438" s="53"/>
      <c r="L438" s="53"/>
      <c r="M438" s="53"/>
      <c r="N438" s="53"/>
      <c r="O438" s="53"/>
      <c r="P438" s="53"/>
      <c r="Q438" s="57"/>
      <c r="R438" s="53"/>
      <c r="S438" s="53"/>
      <c r="T438" s="53"/>
      <c r="U438" s="53"/>
      <c r="V438" s="53"/>
    </row>
    <row r="439" spans="1:22" s="9" customFormat="1" x14ac:dyDescent="0.2">
      <c r="A439" s="48"/>
      <c r="B439" s="51" t="s">
        <v>2</v>
      </c>
      <c r="C439" s="51" t="s">
        <v>2</v>
      </c>
      <c r="D439" s="24">
        <f>E439+F439+G439+H439+I439</f>
        <v>5035.7140799999997</v>
      </c>
      <c r="E439" s="25">
        <v>5035.7140799999997</v>
      </c>
      <c r="F439" s="25"/>
      <c r="G439" s="25"/>
      <c r="H439" s="25"/>
      <c r="I439" s="25"/>
      <c r="J439" s="53"/>
      <c r="K439" s="53"/>
      <c r="L439" s="53"/>
      <c r="M439" s="53"/>
      <c r="N439" s="53"/>
      <c r="O439" s="53"/>
      <c r="P439" s="53"/>
      <c r="Q439" s="57"/>
      <c r="R439" s="53"/>
      <c r="S439" s="53"/>
      <c r="T439" s="53"/>
      <c r="U439" s="53"/>
      <c r="V439" s="53"/>
    </row>
    <row r="440" spans="1:22" s="9" customFormat="1" ht="21.75" customHeight="1" x14ac:dyDescent="0.2">
      <c r="A440" s="48"/>
      <c r="B440" s="51" t="s">
        <v>3</v>
      </c>
      <c r="C440" s="51" t="s">
        <v>3</v>
      </c>
      <c r="D440" s="24">
        <f>E440+F440+G440+H440+I440</f>
        <v>0</v>
      </c>
      <c r="E440" s="25"/>
      <c r="F440" s="25"/>
      <c r="G440" s="25"/>
      <c r="H440" s="25"/>
      <c r="I440" s="25"/>
      <c r="J440" s="53"/>
      <c r="K440" s="53"/>
      <c r="L440" s="53"/>
      <c r="M440" s="53"/>
      <c r="N440" s="53"/>
      <c r="O440" s="53"/>
      <c r="P440" s="53"/>
      <c r="Q440" s="57"/>
      <c r="R440" s="53"/>
      <c r="S440" s="53"/>
      <c r="T440" s="53"/>
      <c r="U440" s="53"/>
      <c r="V440" s="53"/>
    </row>
    <row r="441" spans="1:22" ht="12.75" customHeight="1" x14ac:dyDescent="0.2">
      <c r="A441" s="48" t="s">
        <v>251</v>
      </c>
      <c r="B441" s="49" t="s">
        <v>16</v>
      </c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</row>
    <row r="442" spans="1:22" s="9" customFormat="1" ht="24.75" customHeight="1" x14ac:dyDescent="0.2">
      <c r="A442" s="48"/>
      <c r="B442" s="52" t="s">
        <v>456</v>
      </c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</row>
    <row r="443" spans="1:22" s="9" customFormat="1" ht="40.5" customHeight="1" x14ac:dyDescent="0.2">
      <c r="A443" s="48"/>
      <c r="B443" s="50" t="s">
        <v>102</v>
      </c>
      <c r="C443" s="50" t="s">
        <v>102</v>
      </c>
      <c r="D443" s="50"/>
      <c r="E443" s="50"/>
      <c r="F443" s="50"/>
      <c r="G443" s="50"/>
      <c r="H443" s="50"/>
      <c r="I443" s="50"/>
      <c r="J443" s="53" t="s">
        <v>118</v>
      </c>
      <c r="K443" s="53"/>
      <c r="L443" s="53" t="s">
        <v>70</v>
      </c>
      <c r="M443" s="53" t="s">
        <v>97</v>
      </c>
      <c r="N443" s="53" t="s">
        <v>103</v>
      </c>
      <c r="O443" s="53" t="s">
        <v>16</v>
      </c>
      <c r="P443" s="53" t="s">
        <v>103</v>
      </c>
      <c r="Q443" s="57" t="s">
        <v>341</v>
      </c>
      <c r="R443" s="53" t="s">
        <v>11</v>
      </c>
      <c r="S443" s="53" t="s">
        <v>12</v>
      </c>
      <c r="T443" s="53" t="s">
        <v>7</v>
      </c>
      <c r="U443" s="53"/>
      <c r="V443" s="53" t="s">
        <v>654</v>
      </c>
    </row>
    <row r="444" spans="1:22" s="9" customFormat="1" x14ac:dyDescent="0.2">
      <c r="A444" s="48"/>
      <c r="B444" s="51" t="s">
        <v>5</v>
      </c>
      <c r="C444" s="51" t="s">
        <v>5</v>
      </c>
      <c r="D444" s="24">
        <f>SUM(D445:D448)</f>
        <v>199458.77809999997</v>
      </c>
      <c r="E444" s="25">
        <f>SUM(E445:E448)</f>
        <v>199458.77809999997</v>
      </c>
      <c r="F444" s="25">
        <f>SUM(F445:F448)</f>
        <v>0</v>
      </c>
      <c r="G444" s="25">
        <f>SUM(G445:G448)</f>
        <v>0</v>
      </c>
      <c r="H444" s="25"/>
      <c r="I444" s="25"/>
      <c r="J444" s="53"/>
      <c r="K444" s="53"/>
      <c r="L444" s="53"/>
      <c r="M444" s="53"/>
      <c r="N444" s="53"/>
      <c r="O444" s="53"/>
      <c r="P444" s="53"/>
      <c r="Q444" s="57"/>
      <c r="R444" s="53"/>
      <c r="S444" s="53"/>
      <c r="T444" s="53"/>
      <c r="U444" s="53"/>
      <c r="V444" s="53"/>
    </row>
    <row r="445" spans="1:22" s="9" customFormat="1" x14ac:dyDescent="0.2">
      <c r="A445" s="48"/>
      <c r="B445" s="51" t="s">
        <v>0</v>
      </c>
      <c r="C445" s="51" t="s">
        <v>0</v>
      </c>
      <c r="D445" s="24">
        <f>E445+F445+G445+H445+I445</f>
        <v>187986.24246999997</v>
      </c>
      <c r="E445" s="25">
        <f>274446.6-40000-46460.35753</f>
        <v>187986.24246999997</v>
      </c>
      <c r="F445" s="25"/>
      <c r="G445" s="25"/>
      <c r="H445" s="25"/>
      <c r="I445" s="25"/>
      <c r="J445" s="53"/>
      <c r="K445" s="53"/>
      <c r="L445" s="53"/>
      <c r="M445" s="53"/>
      <c r="N445" s="53"/>
      <c r="O445" s="53"/>
      <c r="P445" s="53"/>
      <c r="Q445" s="57"/>
      <c r="R445" s="53"/>
      <c r="S445" s="53"/>
      <c r="T445" s="53"/>
      <c r="U445" s="53"/>
      <c r="V445" s="53"/>
    </row>
    <row r="446" spans="1:22" s="9" customFormat="1" x14ac:dyDescent="0.2">
      <c r="A446" s="48"/>
      <c r="B446" s="51" t="s">
        <v>1</v>
      </c>
      <c r="C446" s="51" t="s">
        <v>1</v>
      </c>
      <c r="D446" s="24">
        <f>E446+F446+G446+H446+I446</f>
        <v>11472.53563</v>
      </c>
      <c r="E446" s="25">
        <f>34500-20000+2000-3127.45011-1900.01426</f>
        <v>11472.53563</v>
      </c>
      <c r="F446" s="25">
        <f>146225-146225</f>
        <v>0</v>
      </c>
      <c r="G446" s="25">
        <f>135290-135290</f>
        <v>0</v>
      </c>
      <c r="H446" s="25"/>
      <c r="I446" s="25"/>
      <c r="J446" s="53"/>
      <c r="K446" s="53"/>
      <c r="L446" s="53"/>
      <c r="M446" s="53"/>
      <c r="N446" s="53"/>
      <c r="O446" s="53"/>
      <c r="P446" s="53"/>
      <c r="Q446" s="57"/>
      <c r="R446" s="53"/>
      <c r="S446" s="53"/>
      <c r="T446" s="53"/>
      <c r="U446" s="53"/>
      <c r="V446" s="53"/>
    </row>
    <row r="447" spans="1:22" s="9" customFormat="1" x14ac:dyDescent="0.2">
      <c r="A447" s="48"/>
      <c r="B447" s="51" t="s">
        <v>2</v>
      </c>
      <c r="C447" s="51" t="s">
        <v>2</v>
      </c>
      <c r="D447" s="24">
        <f>E447+F447+G447+H447+I447</f>
        <v>0</v>
      </c>
      <c r="E447" s="25"/>
      <c r="F447" s="25"/>
      <c r="G447" s="25"/>
      <c r="H447" s="25"/>
      <c r="I447" s="25"/>
      <c r="J447" s="53"/>
      <c r="K447" s="53"/>
      <c r="L447" s="53"/>
      <c r="M447" s="53"/>
      <c r="N447" s="53"/>
      <c r="O447" s="53"/>
      <c r="P447" s="53"/>
      <c r="Q447" s="57"/>
      <c r="R447" s="53"/>
      <c r="S447" s="53"/>
      <c r="T447" s="53"/>
      <c r="U447" s="53"/>
      <c r="V447" s="53"/>
    </row>
    <row r="448" spans="1:22" s="9" customFormat="1" ht="21.75" customHeight="1" x14ac:dyDescent="0.2">
      <c r="A448" s="48"/>
      <c r="B448" s="51" t="s">
        <v>3</v>
      </c>
      <c r="C448" s="51" t="s">
        <v>3</v>
      </c>
      <c r="D448" s="24">
        <f>E448+F448+G448+H448+I448</f>
        <v>0</v>
      </c>
      <c r="E448" s="25"/>
      <c r="F448" s="25"/>
      <c r="G448" s="25"/>
      <c r="H448" s="25"/>
      <c r="I448" s="25"/>
      <c r="J448" s="53"/>
      <c r="K448" s="53"/>
      <c r="L448" s="53"/>
      <c r="M448" s="53"/>
      <c r="N448" s="53"/>
      <c r="O448" s="53"/>
      <c r="P448" s="53"/>
      <c r="Q448" s="57"/>
      <c r="R448" s="53"/>
      <c r="S448" s="53"/>
      <c r="T448" s="53"/>
      <c r="U448" s="53"/>
      <c r="V448" s="53"/>
    </row>
    <row r="449" spans="1:22" s="9" customFormat="1" ht="12.75" customHeight="1" x14ac:dyDescent="0.2">
      <c r="A449" s="48" t="s">
        <v>252</v>
      </c>
      <c r="B449" s="49" t="s">
        <v>16</v>
      </c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</row>
    <row r="450" spans="1:22" s="9" customFormat="1" ht="12.75" customHeight="1" x14ac:dyDescent="0.2">
      <c r="A450" s="48"/>
      <c r="B450" s="52" t="s">
        <v>458</v>
      </c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</row>
    <row r="451" spans="1:22" s="9" customFormat="1" ht="40.5" customHeight="1" x14ac:dyDescent="0.2">
      <c r="A451" s="48"/>
      <c r="B451" s="50" t="s">
        <v>368</v>
      </c>
      <c r="C451" s="50" t="s">
        <v>368</v>
      </c>
      <c r="D451" s="50"/>
      <c r="E451" s="50"/>
      <c r="F451" s="50"/>
      <c r="G451" s="50"/>
      <c r="H451" s="50"/>
      <c r="I451" s="50"/>
      <c r="J451" s="53" t="s">
        <v>76</v>
      </c>
      <c r="K451" s="53"/>
      <c r="L451" s="53" t="s">
        <v>72</v>
      </c>
      <c r="M451" s="53" t="s">
        <v>198</v>
      </c>
      <c r="N451" s="53" t="s">
        <v>10</v>
      </c>
      <c r="O451" s="53" t="s">
        <v>190</v>
      </c>
      <c r="P451" s="53" t="s">
        <v>190</v>
      </c>
      <c r="Q451" s="57" t="s">
        <v>342</v>
      </c>
      <c r="R451" s="53" t="s">
        <v>9</v>
      </c>
      <c r="S451" s="53" t="s">
        <v>10</v>
      </c>
      <c r="T451" s="53" t="s">
        <v>18</v>
      </c>
      <c r="U451" s="53"/>
      <c r="V451" s="53" t="s">
        <v>655</v>
      </c>
    </row>
    <row r="452" spans="1:22" s="9" customFormat="1" x14ac:dyDescent="0.2">
      <c r="A452" s="48"/>
      <c r="B452" s="51" t="s">
        <v>5</v>
      </c>
      <c r="C452" s="51" t="s">
        <v>5</v>
      </c>
      <c r="D452" s="24">
        <f>SUM(D453:D456)</f>
        <v>43613.570500000002</v>
      </c>
      <c r="E452" s="25">
        <f>SUM(E453:E456)</f>
        <v>181.22</v>
      </c>
      <c r="F452" s="25">
        <f>SUM(F453:F456)</f>
        <v>43432.3505</v>
      </c>
      <c r="G452" s="25"/>
      <c r="H452" s="25"/>
      <c r="I452" s="25"/>
      <c r="J452" s="53"/>
      <c r="K452" s="53"/>
      <c r="L452" s="53"/>
      <c r="M452" s="53"/>
      <c r="N452" s="53"/>
      <c r="O452" s="53"/>
      <c r="P452" s="53"/>
      <c r="Q452" s="57"/>
      <c r="R452" s="53"/>
      <c r="S452" s="53"/>
      <c r="T452" s="53"/>
      <c r="U452" s="53"/>
      <c r="V452" s="53"/>
    </row>
    <row r="453" spans="1:22" s="9" customFormat="1" x14ac:dyDescent="0.2">
      <c r="A453" s="48"/>
      <c r="B453" s="51" t="s">
        <v>0</v>
      </c>
      <c r="C453" s="51" t="s">
        <v>0</v>
      </c>
      <c r="D453" s="24">
        <f>E453+F453+G453+H453+I453</f>
        <v>0</v>
      </c>
      <c r="E453" s="25"/>
      <c r="F453" s="25"/>
      <c r="G453" s="25"/>
      <c r="H453" s="25"/>
      <c r="I453" s="25"/>
      <c r="J453" s="53"/>
      <c r="K453" s="53"/>
      <c r="L453" s="53"/>
      <c r="M453" s="53"/>
      <c r="N453" s="53"/>
      <c r="O453" s="53"/>
      <c r="P453" s="53"/>
      <c r="Q453" s="57"/>
      <c r="R453" s="53"/>
      <c r="S453" s="53"/>
      <c r="T453" s="53"/>
      <c r="U453" s="53"/>
      <c r="V453" s="53"/>
    </row>
    <row r="454" spans="1:22" s="9" customFormat="1" x14ac:dyDescent="0.2">
      <c r="A454" s="48"/>
      <c r="B454" s="51" t="s">
        <v>1</v>
      </c>
      <c r="C454" s="51" t="s">
        <v>1</v>
      </c>
      <c r="D454" s="24">
        <f>E454+F454+G454+H454+I454</f>
        <v>42998.021000000001</v>
      </c>
      <c r="E454" s="25">
        <f>17941-17000+17000-17941</f>
        <v>0</v>
      </c>
      <c r="F454" s="25">
        <f>42998.021-42000+42000</f>
        <v>42998.021000000001</v>
      </c>
      <c r="G454" s="25"/>
      <c r="H454" s="25"/>
      <c r="I454" s="25"/>
      <c r="J454" s="53"/>
      <c r="K454" s="53"/>
      <c r="L454" s="53"/>
      <c r="M454" s="53"/>
      <c r="N454" s="53"/>
      <c r="O454" s="53"/>
      <c r="P454" s="53"/>
      <c r="Q454" s="57"/>
      <c r="R454" s="53"/>
      <c r="S454" s="53"/>
      <c r="T454" s="53"/>
      <c r="U454" s="53"/>
      <c r="V454" s="53"/>
    </row>
    <row r="455" spans="1:22" s="9" customFormat="1" x14ac:dyDescent="0.2">
      <c r="A455" s="48"/>
      <c r="B455" s="51" t="s">
        <v>2</v>
      </c>
      <c r="C455" s="51" t="s">
        <v>2</v>
      </c>
      <c r="D455" s="24">
        <f>E455+F455+G455+H455+I455</f>
        <v>615.54950000000008</v>
      </c>
      <c r="E455" s="25">
        <v>181.22</v>
      </c>
      <c r="F455" s="25">
        <v>434.32950000000005</v>
      </c>
      <c r="G455" s="25"/>
      <c r="H455" s="25"/>
      <c r="I455" s="25"/>
      <c r="J455" s="53"/>
      <c r="K455" s="53"/>
      <c r="L455" s="53"/>
      <c r="M455" s="53"/>
      <c r="N455" s="53"/>
      <c r="O455" s="53"/>
      <c r="P455" s="53"/>
      <c r="Q455" s="57"/>
      <c r="R455" s="53"/>
      <c r="S455" s="53"/>
      <c r="T455" s="53"/>
      <c r="U455" s="53"/>
      <c r="V455" s="53"/>
    </row>
    <row r="456" spans="1:22" s="9" customFormat="1" ht="21.75" customHeight="1" x14ac:dyDescent="0.2">
      <c r="A456" s="48"/>
      <c r="B456" s="51" t="s">
        <v>3</v>
      </c>
      <c r="C456" s="51" t="s">
        <v>3</v>
      </c>
      <c r="D456" s="24">
        <f>E456+F456+G456+H456+I456</f>
        <v>0</v>
      </c>
      <c r="E456" s="25"/>
      <c r="F456" s="25"/>
      <c r="G456" s="25"/>
      <c r="H456" s="25"/>
      <c r="I456" s="25"/>
      <c r="J456" s="53"/>
      <c r="K456" s="53"/>
      <c r="L456" s="53"/>
      <c r="M456" s="53"/>
      <c r="N456" s="53"/>
      <c r="O456" s="53"/>
      <c r="P456" s="53"/>
      <c r="Q456" s="57"/>
      <c r="R456" s="53"/>
      <c r="S456" s="53"/>
      <c r="T456" s="53"/>
      <c r="U456" s="53"/>
      <c r="V456" s="53"/>
    </row>
    <row r="457" spans="1:22" ht="12.75" customHeight="1" x14ac:dyDescent="0.2">
      <c r="A457" s="48" t="s">
        <v>253</v>
      </c>
      <c r="B457" s="49" t="s">
        <v>16</v>
      </c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</row>
    <row r="458" spans="1:22" s="9" customFormat="1" ht="24.75" customHeight="1" x14ac:dyDescent="0.2">
      <c r="A458" s="48"/>
      <c r="B458" s="52" t="s">
        <v>456</v>
      </c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</row>
    <row r="459" spans="1:22" s="9" customFormat="1" ht="41.25" customHeight="1" x14ac:dyDescent="0.2">
      <c r="A459" s="48"/>
      <c r="B459" s="50" t="s">
        <v>369</v>
      </c>
      <c r="C459" s="50" t="s">
        <v>369</v>
      </c>
      <c r="D459" s="50"/>
      <c r="E459" s="50"/>
      <c r="F459" s="50"/>
      <c r="G459" s="50"/>
      <c r="H459" s="50"/>
      <c r="I459" s="50"/>
      <c r="J459" s="53" t="s">
        <v>199</v>
      </c>
      <c r="K459" s="53"/>
      <c r="L459" s="53" t="s">
        <v>70</v>
      </c>
      <c r="M459" s="53" t="s">
        <v>200</v>
      </c>
      <c r="N459" s="53" t="s">
        <v>103</v>
      </c>
      <c r="O459" s="53" t="s">
        <v>16</v>
      </c>
      <c r="P459" s="53" t="s">
        <v>103</v>
      </c>
      <c r="Q459" s="57" t="s">
        <v>343</v>
      </c>
      <c r="R459" s="53" t="s">
        <v>11</v>
      </c>
      <c r="S459" s="53" t="s">
        <v>10</v>
      </c>
      <c r="T459" s="53" t="s">
        <v>18</v>
      </c>
      <c r="U459" s="53"/>
      <c r="V459" s="53" t="s">
        <v>656</v>
      </c>
    </row>
    <row r="460" spans="1:22" s="9" customFormat="1" x14ac:dyDescent="0.2">
      <c r="A460" s="48"/>
      <c r="B460" s="51" t="s">
        <v>5</v>
      </c>
      <c r="C460" s="51" t="s">
        <v>5</v>
      </c>
      <c r="D460" s="24">
        <f>SUM(D461:D464)</f>
        <v>262515.29500000004</v>
      </c>
      <c r="E460" s="25">
        <f>SUM(E461:E464)</f>
        <v>175539.84500000003</v>
      </c>
      <c r="F460" s="25">
        <f>SUM(F461:F464)</f>
        <v>17830.449999999983</v>
      </c>
      <c r="G460" s="25">
        <f>SUM(G461:G464)</f>
        <v>69145</v>
      </c>
      <c r="H460" s="25"/>
      <c r="I460" s="25"/>
      <c r="J460" s="53"/>
      <c r="K460" s="53"/>
      <c r="L460" s="53"/>
      <c r="M460" s="53"/>
      <c r="N460" s="53"/>
      <c r="O460" s="53"/>
      <c r="P460" s="53"/>
      <c r="Q460" s="57"/>
      <c r="R460" s="53"/>
      <c r="S460" s="53"/>
      <c r="T460" s="53"/>
      <c r="U460" s="53"/>
      <c r="V460" s="53"/>
    </row>
    <row r="461" spans="1:22" s="9" customFormat="1" x14ac:dyDescent="0.2">
      <c r="A461" s="48"/>
      <c r="B461" s="51" t="s">
        <v>0</v>
      </c>
      <c r="C461" s="51" t="s">
        <v>0</v>
      </c>
      <c r="D461" s="24">
        <f>E461+F461+G461+H461+I461</f>
        <v>161960.45000000001</v>
      </c>
      <c r="E461" s="25">
        <v>161960.45000000001</v>
      </c>
      <c r="F461" s="25"/>
      <c r="G461" s="25"/>
      <c r="H461" s="25"/>
      <c r="I461" s="25"/>
      <c r="J461" s="53"/>
      <c r="K461" s="53"/>
      <c r="L461" s="53"/>
      <c r="M461" s="53"/>
      <c r="N461" s="53"/>
      <c r="O461" s="53"/>
      <c r="P461" s="53"/>
      <c r="Q461" s="57"/>
      <c r="R461" s="53"/>
      <c r="S461" s="53"/>
      <c r="T461" s="53"/>
      <c r="U461" s="53"/>
      <c r="V461" s="53"/>
    </row>
    <row r="462" spans="1:22" s="9" customFormat="1" x14ac:dyDescent="0.2">
      <c r="A462" s="48"/>
      <c r="B462" s="51" t="s">
        <v>1</v>
      </c>
      <c r="C462" s="51" t="s">
        <v>1</v>
      </c>
      <c r="D462" s="24">
        <f>E462+F462+G462+H462+I462</f>
        <v>100554.845</v>
      </c>
      <c r="E462" s="25">
        <f>12500+334000-294420.605-20000-17000-1500</f>
        <v>13579.395000000019</v>
      </c>
      <c r="F462" s="25">
        <f>0+170394.55-152564.1</f>
        <v>17830.449999999983</v>
      </c>
      <c r="G462" s="25">
        <f>0+69145</f>
        <v>69145</v>
      </c>
      <c r="H462" s="25"/>
      <c r="I462" s="25"/>
      <c r="J462" s="53"/>
      <c r="K462" s="53"/>
      <c r="L462" s="53"/>
      <c r="M462" s="53"/>
      <c r="N462" s="53"/>
      <c r="O462" s="53"/>
      <c r="P462" s="53"/>
      <c r="Q462" s="57"/>
      <c r="R462" s="53"/>
      <c r="S462" s="53"/>
      <c r="T462" s="53"/>
      <c r="U462" s="53"/>
      <c r="V462" s="53"/>
    </row>
    <row r="463" spans="1:22" s="9" customFormat="1" x14ac:dyDescent="0.2">
      <c r="A463" s="48"/>
      <c r="B463" s="51" t="s">
        <v>2</v>
      </c>
      <c r="C463" s="51" t="s">
        <v>2</v>
      </c>
      <c r="D463" s="24">
        <f>E463+F463+G463+H463+I463</f>
        <v>0</v>
      </c>
      <c r="E463" s="25"/>
      <c r="F463" s="25"/>
      <c r="G463" s="25"/>
      <c r="H463" s="25"/>
      <c r="I463" s="25"/>
      <c r="J463" s="53"/>
      <c r="K463" s="53"/>
      <c r="L463" s="53"/>
      <c r="M463" s="53"/>
      <c r="N463" s="53"/>
      <c r="O463" s="53"/>
      <c r="P463" s="53"/>
      <c r="Q463" s="57"/>
      <c r="R463" s="53"/>
      <c r="S463" s="53"/>
      <c r="T463" s="53"/>
      <c r="U463" s="53"/>
      <c r="V463" s="53"/>
    </row>
    <row r="464" spans="1:22" s="9" customFormat="1" ht="21.75" customHeight="1" x14ac:dyDescent="0.2">
      <c r="A464" s="48"/>
      <c r="B464" s="51" t="s">
        <v>3</v>
      </c>
      <c r="C464" s="51" t="s">
        <v>3</v>
      </c>
      <c r="D464" s="24">
        <f>E464+F464+G464+H464+I464</f>
        <v>0</v>
      </c>
      <c r="E464" s="25"/>
      <c r="F464" s="25"/>
      <c r="G464" s="25"/>
      <c r="H464" s="25"/>
      <c r="I464" s="25"/>
      <c r="J464" s="53"/>
      <c r="K464" s="53"/>
      <c r="L464" s="53"/>
      <c r="M464" s="53"/>
      <c r="N464" s="53"/>
      <c r="O464" s="53"/>
      <c r="P464" s="53"/>
      <c r="Q464" s="57"/>
      <c r="R464" s="53"/>
      <c r="S464" s="53"/>
      <c r="T464" s="53"/>
      <c r="U464" s="53"/>
      <c r="V464" s="53"/>
    </row>
    <row r="465" spans="1:22" ht="12.75" customHeight="1" x14ac:dyDescent="0.2">
      <c r="A465" s="48" t="s">
        <v>254</v>
      </c>
      <c r="B465" s="49" t="s">
        <v>16</v>
      </c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</row>
    <row r="466" spans="1:22" s="9" customFormat="1" ht="21.75" customHeight="1" x14ac:dyDescent="0.2">
      <c r="A466" s="48"/>
      <c r="B466" s="52" t="s">
        <v>456</v>
      </c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</row>
    <row r="467" spans="1:22" s="9" customFormat="1" ht="42" customHeight="1" x14ac:dyDescent="0.2">
      <c r="A467" s="48"/>
      <c r="B467" s="50" t="s">
        <v>370</v>
      </c>
      <c r="C467" s="50" t="s">
        <v>370</v>
      </c>
      <c r="D467" s="50"/>
      <c r="E467" s="50"/>
      <c r="F467" s="50"/>
      <c r="G467" s="50"/>
      <c r="H467" s="50"/>
      <c r="I467" s="50"/>
      <c r="J467" s="53" t="s">
        <v>199</v>
      </c>
      <c r="K467" s="53"/>
      <c r="L467" s="53" t="s">
        <v>70</v>
      </c>
      <c r="M467" s="53" t="s">
        <v>200</v>
      </c>
      <c r="N467" s="53" t="s">
        <v>103</v>
      </c>
      <c r="O467" s="53" t="s">
        <v>16</v>
      </c>
      <c r="P467" s="53" t="s">
        <v>103</v>
      </c>
      <c r="Q467" s="57" t="s">
        <v>344</v>
      </c>
      <c r="R467" s="53" t="s">
        <v>11</v>
      </c>
      <c r="S467" s="53" t="s">
        <v>10</v>
      </c>
      <c r="T467" s="53" t="s">
        <v>18</v>
      </c>
      <c r="U467" s="53"/>
      <c r="V467" s="53" t="s">
        <v>657</v>
      </c>
    </row>
    <row r="468" spans="1:22" s="9" customFormat="1" x14ac:dyDescent="0.2">
      <c r="A468" s="48"/>
      <c r="B468" s="51" t="s">
        <v>5</v>
      </c>
      <c r="C468" s="51" t="s">
        <v>5</v>
      </c>
      <c r="D468" s="24">
        <f>SUM(D469:D472)</f>
        <v>263622.67538999999</v>
      </c>
      <c r="E468" s="25">
        <f>SUM(E469:E472)</f>
        <v>179083.12539</v>
      </c>
      <c r="F468" s="25">
        <f>SUM(F469:F472)</f>
        <v>18394.549999999988</v>
      </c>
      <c r="G468" s="25">
        <f>SUM(G469:G472)</f>
        <v>66145</v>
      </c>
      <c r="H468" s="25"/>
      <c r="I468" s="25"/>
      <c r="J468" s="53"/>
      <c r="K468" s="53"/>
      <c r="L468" s="53"/>
      <c r="M468" s="53"/>
      <c r="N468" s="53"/>
      <c r="O468" s="53"/>
      <c r="P468" s="53"/>
      <c r="Q468" s="57"/>
      <c r="R468" s="53"/>
      <c r="S468" s="53"/>
      <c r="T468" s="53"/>
      <c r="U468" s="53"/>
      <c r="V468" s="53"/>
    </row>
    <row r="469" spans="1:22" s="9" customFormat="1" x14ac:dyDescent="0.2">
      <c r="A469" s="48"/>
      <c r="B469" s="51" t="s">
        <v>0</v>
      </c>
      <c r="C469" s="51" t="s">
        <v>0</v>
      </c>
      <c r="D469" s="24">
        <f>E469+F469+G469+H469+I469</f>
        <v>161960.45000000001</v>
      </c>
      <c r="E469" s="25">
        <v>161960.45000000001</v>
      </c>
      <c r="F469" s="25"/>
      <c r="G469" s="25"/>
      <c r="H469" s="25"/>
      <c r="I469" s="25"/>
      <c r="J469" s="53"/>
      <c r="K469" s="53"/>
      <c r="L469" s="53"/>
      <c r="M469" s="53"/>
      <c r="N469" s="53"/>
      <c r="O469" s="53"/>
      <c r="P469" s="53"/>
      <c r="Q469" s="57"/>
      <c r="R469" s="53"/>
      <c r="S469" s="53"/>
      <c r="T469" s="53"/>
      <c r="U469" s="53"/>
      <c r="V469" s="53"/>
    </row>
    <row r="470" spans="1:22" s="9" customFormat="1" x14ac:dyDescent="0.2">
      <c r="A470" s="48"/>
      <c r="B470" s="51" t="s">
        <v>1</v>
      </c>
      <c r="C470" s="51" t="s">
        <v>1</v>
      </c>
      <c r="D470" s="24">
        <f>E470+F470+G470+H470+I470</f>
        <v>101662.22538999999</v>
      </c>
      <c r="E470" s="25">
        <f>12500+334000-286036.29874-23471.02587-19000-870</f>
        <v>17122.675390000004</v>
      </c>
      <c r="F470" s="25">
        <f>0+170394.55-42000-110000</f>
        <v>18394.549999999988</v>
      </c>
      <c r="G470" s="25">
        <f>0+66145</f>
        <v>66145</v>
      </c>
      <c r="H470" s="25"/>
      <c r="I470" s="25"/>
      <c r="J470" s="53"/>
      <c r="K470" s="53"/>
      <c r="L470" s="53"/>
      <c r="M470" s="53"/>
      <c r="N470" s="53"/>
      <c r="O470" s="53"/>
      <c r="P470" s="53"/>
      <c r="Q470" s="57"/>
      <c r="R470" s="53"/>
      <c r="S470" s="53"/>
      <c r="T470" s="53"/>
      <c r="U470" s="53"/>
      <c r="V470" s="53"/>
    </row>
    <row r="471" spans="1:22" s="9" customFormat="1" x14ac:dyDescent="0.2">
      <c r="A471" s="48"/>
      <c r="B471" s="51" t="s">
        <v>2</v>
      </c>
      <c r="C471" s="51" t="s">
        <v>2</v>
      </c>
      <c r="D471" s="24">
        <f>E471+F471+G471+H471+I471</f>
        <v>0</v>
      </c>
      <c r="E471" s="25"/>
      <c r="F471" s="25"/>
      <c r="G471" s="25"/>
      <c r="H471" s="25"/>
      <c r="I471" s="25"/>
      <c r="J471" s="53"/>
      <c r="K471" s="53"/>
      <c r="L471" s="53"/>
      <c r="M471" s="53"/>
      <c r="N471" s="53"/>
      <c r="O471" s="53"/>
      <c r="P471" s="53"/>
      <c r="Q471" s="57"/>
      <c r="R471" s="53"/>
      <c r="S471" s="53"/>
      <c r="T471" s="53"/>
      <c r="U471" s="53"/>
      <c r="V471" s="53"/>
    </row>
    <row r="472" spans="1:22" s="9" customFormat="1" ht="21.75" customHeight="1" x14ac:dyDescent="0.2">
      <c r="A472" s="48"/>
      <c r="B472" s="51" t="s">
        <v>3</v>
      </c>
      <c r="C472" s="51" t="s">
        <v>3</v>
      </c>
      <c r="D472" s="24">
        <f>E472+F472+G472+H472+I472</f>
        <v>0</v>
      </c>
      <c r="E472" s="25"/>
      <c r="F472" s="25"/>
      <c r="G472" s="25"/>
      <c r="H472" s="25"/>
      <c r="I472" s="25"/>
      <c r="J472" s="53"/>
      <c r="K472" s="53"/>
      <c r="L472" s="53"/>
      <c r="M472" s="53"/>
      <c r="N472" s="53"/>
      <c r="O472" s="53"/>
      <c r="P472" s="53"/>
      <c r="Q472" s="57"/>
      <c r="R472" s="53"/>
      <c r="S472" s="53"/>
      <c r="T472" s="53"/>
      <c r="U472" s="53"/>
      <c r="V472" s="53"/>
    </row>
    <row r="473" spans="1:22" ht="12.75" customHeight="1" x14ac:dyDescent="0.2">
      <c r="A473" s="48" t="s">
        <v>255</v>
      </c>
      <c r="B473" s="49" t="s">
        <v>16</v>
      </c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</row>
    <row r="474" spans="1:22" ht="23.25" customHeight="1" x14ac:dyDescent="0.2">
      <c r="A474" s="48"/>
      <c r="B474" s="52" t="s">
        <v>456</v>
      </c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</row>
    <row r="475" spans="1:22" ht="40.5" customHeight="1" x14ac:dyDescent="0.2">
      <c r="A475" s="48"/>
      <c r="B475" s="50" t="s">
        <v>327</v>
      </c>
      <c r="C475" s="50" t="s">
        <v>327</v>
      </c>
      <c r="D475" s="50"/>
      <c r="E475" s="50"/>
      <c r="F475" s="50"/>
      <c r="G475" s="50"/>
      <c r="H475" s="50"/>
      <c r="I475" s="50"/>
      <c r="J475" s="53" t="s">
        <v>285</v>
      </c>
      <c r="K475" s="53"/>
      <c r="L475" s="53" t="s">
        <v>70</v>
      </c>
      <c r="M475" s="53"/>
      <c r="N475" s="53" t="s">
        <v>103</v>
      </c>
      <c r="O475" s="53" t="s">
        <v>16</v>
      </c>
      <c r="P475" s="53" t="s">
        <v>103</v>
      </c>
      <c r="Q475" s="57" t="s">
        <v>345</v>
      </c>
      <c r="R475" s="53" t="s">
        <v>11</v>
      </c>
      <c r="S475" s="53" t="s">
        <v>12</v>
      </c>
      <c r="T475" s="53" t="s">
        <v>18</v>
      </c>
      <c r="U475" s="53"/>
      <c r="V475" s="53" t="s">
        <v>658</v>
      </c>
    </row>
    <row r="476" spans="1:22" x14ac:dyDescent="0.2">
      <c r="A476" s="48"/>
      <c r="B476" s="51" t="s">
        <v>5</v>
      </c>
      <c r="C476" s="51" t="s">
        <v>5</v>
      </c>
      <c r="D476" s="24">
        <f>SUM(D477:D480)</f>
        <v>70853.173999999999</v>
      </c>
      <c r="E476" s="25">
        <f>SUM(E477:E480)</f>
        <v>70853.173999999999</v>
      </c>
      <c r="F476" s="25"/>
      <c r="G476" s="25"/>
      <c r="H476" s="25"/>
      <c r="I476" s="25"/>
      <c r="J476" s="53"/>
      <c r="K476" s="53"/>
      <c r="L476" s="53"/>
      <c r="M476" s="53"/>
      <c r="N476" s="53"/>
      <c r="O476" s="53"/>
      <c r="P476" s="53"/>
      <c r="Q476" s="57"/>
      <c r="R476" s="53"/>
      <c r="S476" s="53"/>
      <c r="T476" s="53"/>
      <c r="U476" s="53"/>
      <c r="V476" s="53"/>
    </row>
    <row r="477" spans="1:22" x14ac:dyDescent="0.2">
      <c r="A477" s="48"/>
      <c r="B477" s="51" t="s">
        <v>0</v>
      </c>
      <c r="C477" s="51" t="s">
        <v>0</v>
      </c>
      <c r="D477" s="24">
        <f>E477+F477+G477+H477+I477</f>
        <v>30000</v>
      </c>
      <c r="E477" s="25">
        <f>40000-10000</f>
        <v>30000</v>
      </c>
      <c r="F477" s="25"/>
      <c r="G477" s="25"/>
      <c r="H477" s="25"/>
      <c r="I477" s="25"/>
      <c r="J477" s="53"/>
      <c r="K477" s="53"/>
      <c r="L477" s="53"/>
      <c r="M477" s="53"/>
      <c r="N477" s="53"/>
      <c r="O477" s="53"/>
      <c r="P477" s="53"/>
      <c r="Q477" s="57"/>
      <c r="R477" s="53"/>
      <c r="S477" s="53"/>
      <c r="T477" s="53"/>
      <c r="U477" s="53"/>
      <c r="V477" s="53"/>
    </row>
    <row r="478" spans="1:22" x14ac:dyDescent="0.2">
      <c r="A478" s="48"/>
      <c r="B478" s="51" t="s">
        <v>1</v>
      </c>
      <c r="C478" s="51" t="s">
        <v>1</v>
      </c>
      <c r="D478" s="24">
        <f>E478+F478+G478+H478+I478</f>
        <v>40853.173999999999</v>
      </c>
      <c r="E478" s="25">
        <f>7500-526.326+33879.5</f>
        <v>40853.173999999999</v>
      </c>
      <c r="F478" s="25"/>
      <c r="G478" s="25"/>
      <c r="H478" s="25"/>
      <c r="I478" s="25"/>
      <c r="J478" s="53"/>
      <c r="K478" s="53"/>
      <c r="L478" s="53"/>
      <c r="M478" s="53"/>
      <c r="N478" s="53"/>
      <c r="O478" s="53"/>
      <c r="P478" s="53"/>
      <c r="Q478" s="57"/>
      <c r="R478" s="53"/>
      <c r="S478" s="53"/>
      <c r="T478" s="53"/>
      <c r="U478" s="53"/>
      <c r="V478" s="53"/>
    </row>
    <row r="479" spans="1:22" x14ac:dyDescent="0.2">
      <c r="A479" s="48"/>
      <c r="B479" s="51" t="s">
        <v>2</v>
      </c>
      <c r="C479" s="51" t="s">
        <v>2</v>
      </c>
      <c r="D479" s="24">
        <f>E479+F479+G479+H479+I479</f>
        <v>0</v>
      </c>
      <c r="E479" s="25"/>
      <c r="F479" s="25"/>
      <c r="G479" s="25"/>
      <c r="H479" s="25"/>
      <c r="I479" s="25"/>
      <c r="J479" s="53"/>
      <c r="K479" s="53"/>
      <c r="L479" s="53"/>
      <c r="M479" s="53"/>
      <c r="N479" s="53"/>
      <c r="O479" s="53"/>
      <c r="P479" s="53"/>
      <c r="Q479" s="57"/>
      <c r="R479" s="53"/>
      <c r="S479" s="53"/>
      <c r="T479" s="53"/>
      <c r="U479" s="53"/>
      <c r="V479" s="53"/>
    </row>
    <row r="480" spans="1:22" s="9" customFormat="1" ht="21.75" customHeight="1" x14ac:dyDescent="0.2">
      <c r="A480" s="48"/>
      <c r="B480" s="51" t="s">
        <v>3</v>
      </c>
      <c r="C480" s="51" t="s">
        <v>3</v>
      </c>
      <c r="D480" s="24">
        <f>E480+F480+G480+H480+I480</f>
        <v>0</v>
      </c>
      <c r="E480" s="25"/>
      <c r="F480" s="25"/>
      <c r="G480" s="25"/>
      <c r="H480" s="25"/>
      <c r="I480" s="25"/>
      <c r="J480" s="53"/>
      <c r="K480" s="53"/>
      <c r="L480" s="53"/>
      <c r="M480" s="53"/>
      <c r="N480" s="53"/>
      <c r="O480" s="53"/>
      <c r="P480" s="53"/>
      <c r="Q480" s="57"/>
      <c r="R480" s="53"/>
      <c r="S480" s="53"/>
      <c r="T480" s="53"/>
      <c r="U480" s="53"/>
      <c r="V480" s="53"/>
    </row>
    <row r="481" spans="1:22" s="9" customFormat="1" ht="12.75" customHeight="1" x14ac:dyDescent="0.2">
      <c r="A481" s="48" t="s">
        <v>256</v>
      </c>
      <c r="B481" s="49" t="s">
        <v>16</v>
      </c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</row>
    <row r="482" spans="1:22" s="9" customFormat="1" ht="22.5" customHeight="1" x14ac:dyDescent="0.2">
      <c r="A482" s="48"/>
      <c r="B482" s="52" t="s">
        <v>456</v>
      </c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</row>
    <row r="483" spans="1:22" s="9" customFormat="1" ht="42" customHeight="1" x14ac:dyDescent="0.2">
      <c r="A483" s="48"/>
      <c r="B483" s="50" t="s">
        <v>613</v>
      </c>
      <c r="C483" s="50" t="s">
        <v>613</v>
      </c>
      <c r="D483" s="50"/>
      <c r="E483" s="50"/>
      <c r="F483" s="50"/>
      <c r="G483" s="50"/>
      <c r="H483" s="50"/>
      <c r="I483" s="50"/>
      <c r="J483" s="53" t="s">
        <v>285</v>
      </c>
      <c r="K483" s="53"/>
      <c r="L483" s="53" t="s">
        <v>70</v>
      </c>
      <c r="M483" s="53"/>
      <c r="N483" s="53" t="s">
        <v>103</v>
      </c>
      <c r="O483" s="53" t="s">
        <v>16</v>
      </c>
      <c r="P483" s="53" t="s">
        <v>103</v>
      </c>
      <c r="Q483" s="57"/>
      <c r="R483" s="53" t="s">
        <v>11</v>
      </c>
      <c r="S483" s="53" t="s">
        <v>204</v>
      </c>
      <c r="T483" s="53" t="s">
        <v>18</v>
      </c>
      <c r="U483" s="53"/>
      <c r="V483" s="53"/>
    </row>
    <row r="484" spans="1:22" s="9" customFormat="1" x14ac:dyDescent="0.2">
      <c r="A484" s="48"/>
      <c r="B484" s="51" t="s">
        <v>5</v>
      </c>
      <c r="C484" s="51" t="s">
        <v>5</v>
      </c>
      <c r="D484" s="24">
        <f>SUM(D485:D488)</f>
        <v>233526.31578999999</v>
      </c>
      <c r="E484" s="25">
        <f>SUM(E485:E488)</f>
        <v>10526.315790000001</v>
      </c>
      <c r="F484" s="25">
        <f>SUM(F485:F488)</f>
        <v>223000</v>
      </c>
      <c r="G484" s="25"/>
      <c r="H484" s="25"/>
      <c r="I484" s="25"/>
      <c r="J484" s="53"/>
      <c r="K484" s="53"/>
      <c r="L484" s="53"/>
      <c r="M484" s="53"/>
      <c r="N484" s="53"/>
      <c r="O484" s="53"/>
      <c r="P484" s="53"/>
      <c r="Q484" s="57"/>
      <c r="R484" s="53"/>
      <c r="S484" s="53"/>
      <c r="T484" s="53"/>
      <c r="U484" s="53"/>
      <c r="V484" s="53"/>
    </row>
    <row r="485" spans="1:22" s="9" customFormat="1" x14ac:dyDescent="0.2">
      <c r="A485" s="48"/>
      <c r="B485" s="51" t="s">
        <v>0</v>
      </c>
      <c r="C485" s="51" t="s">
        <v>0</v>
      </c>
      <c r="D485" s="24">
        <f>E485+F485+G485+H485+I485</f>
        <v>10000</v>
      </c>
      <c r="E485" s="25">
        <v>10000</v>
      </c>
      <c r="F485" s="25"/>
      <c r="G485" s="25"/>
      <c r="H485" s="25"/>
      <c r="I485" s="25"/>
      <c r="J485" s="53"/>
      <c r="K485" s="53"/>
      <c r="L485" s="53"/>
      <c r="M485" s="53"/>
      <c r="N485" s="53"/>
      <c r="O485" s="53"/>
      <c r="P485" s="53"/>
      <c r="Q485" s="57"/>
      <c r="R485" s="53"/>
      <c r="S485" s="53"/>
      <c r="T485" s="53"/>
      <c r="U485" s="53"/>
      <c r="V485" s="53"/>
    </row>
    <row r="486" spans="1:22" s="9" customFormat="1" x14ac:dyDescent="0.2">
      <c r="A486" s="48"/>
      <c r="B486" s="51" t="s">
        <v>1</v>
      </c>
      <c r="C486" s="51" t="s">
        <v>1</v>
      </c>
      <c r="D486" s="24">
        <f>E486+F486+G486+H486+I486</f>
        <v>223526.31578999999</v>
      </c>
      <c r="E486" s="25">
        <f>526.326-0.01021</f>
        <v>526.31578999999999</v>
      </c>
      <c r="F486" s="25">
        <f>0+223000</f>
        <v>223000</v>
      </c>
      <c r="G486" s="25"/>
      <c r="H486" s="25"/>
      <c r="I486" s="25"/>
      <c r="J486" s="53"/>
      <c r="K486" s="53"/>
      <c r="L486" s="53"/>
      <c r="M486" s="53"/>
      <c r="N486" s="53"/>
      <c r="O486" s="53"/>
      <c r="P486" s="53"/>
      <c r="Q486" s="57"/>
      <c r="R486" s="53"/>
      <c r="S486" s="53"/>
      <c r="T486" s="53"/>
      <c r="U486" s="53"/>
      <c r="V486" s="53"/>
    </row>
    <row r="487" spans="1:22" s="9" customFormat="1" x14ac:dyDescent="0.2">
      <c r="A487" s="48"/>
      <c r="B487" s="51" t="s">
        <v>2</v>
      </c>
      <c r="C487" s="51" t="s">
        <v>2</v>
      </c>
      <c r="D487" s="24">
        <f>E487+F487+G487+H487+I487</f>
        <v>0</v>
      </c>
      <c r="E487" s="25"/>
      <c r="F487" s="25"/>
      <c r="G487" s="25"/>
      <c r="H487" s="25"/>
      <c r="I487" s="25"/>
      <c r="J487" s="53"/>
      <c r="K487" s="53"/>
      <c r="L487" s="53"/>
      <c r="M487" s="53"/>
      <c r="N487" s="53"/>
      <c r="O487" s="53"/>
      <c r="P487" s="53"/>
      <c r="Q487" s="57"/>
      <c r="R487" s="53"/>
      <c r="S487" s="53"/>
      <c r="T487" s="53"/>
      <c r="U487" s="53"/>
      <c r="V487" s="53"/>
    </row>
    <row r="488" spans="1:22" s="9" customFormat="1" ht="21.75" customHeight="1" x14ac:dyDescent="0.2">
      <c r="A488" s="48"/>
      <c r="B488" s="51" t="s">
        <v>3</v>
      </c>
      <c r="C488" s="51" t="s">
        <v>3</v>
      </c>
      <c r="D488" s="24">
        <f>E488+F488+G488+H488+I488</f>
        <v>0</v>
      </c>
      <c r="E488" s="25"/>
      <c r="F488" s="25"/>
      <c r="G488" s="25"/>
      <c r="H488" s="25"/>
      <c r="I488" s="25"/>
      <c r="J488" s="53"/>
      <c r="K488" s="53"/>
      <c r="L488" s="53"/>
      <c r="M488" s="53"/>
      <c r="N488" s="53"/>
      <c r="O488" s="53"/>
      <c r="P488" s="53"/>
      <c r="Q488" s="57"/>
      <c r="R488" s="53"/>
      <c r="S488" s="53"/>
      <c r="T488" s="53"/>
      <c r="U488" s="53"/>
      <c r="V488" s="53"/>
    </row>
    <row r="489" spans="1:22" s="9" customFormat="1" ht="12.75" customHeight="1" x14ac:dyDescent="0.2">
      <c r="A489" s="48" t="s">
        <v>257</v>
      </c>
      <c r="B489" s="49" t="s">
        <v>24</v>
      </c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</row>
    <row r="490" spans="1:22" s="9" customFormat="1" ht="12.75" customHeight="1" x14ac:dyDescent="0.2">
      <c r="A490" s="48"/>
      <c r="B490" s="52" t="s">
        <v>458</v>
      </c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</row>
    <row r="491" spans="1:22" s="9" customFormat="1" ht="63" customHeight="1" x14ac:dyDescent="0.2">
      <c r="A491" s="48"/>
      <c r="B491" s="50" t="s">
        <v>328</v>
      </c>
      <c r="C491" s="50" t="s">
        <v>328</v>
      </c>
      <c r="D491" s="50"/>
      <c r="E491" s="50"/>
      <c r="F491" s="50"/>
      <c r="G491" s="50"/>
      <c r="H491" s="50"/>
      <c r="I491" s="50"/>
      <c r="J491" s="53" t="s">
        <v>60</v>
      </c>
      <c r="K491" s="53"/>
      <c r="L491" s="53" t="s">
        <v>314</v>
      </c>
      <c r="M491" s="53"/>
      <c r="N491" s="53" t="s">
        <v>322</v>
      </c>
      <c r="O491" s="53" t="s">
        <v>24</v>
      </c>
      <c r="P491" s="53" t="s">
        <v>322</v>
      </c>
      <c r="Q491" s="57"/>
      <c r="R491" s="53" t="s">
        <v>11</v>
      </c>
      <c r="S491" s="53" t="s">
        <v>10</v>
      </c>
      <c r="T491" s="53" t="s">
        <v>18</v>
      </c>
      <c r="U491" s="53"/>
      <c r="V491" s="53"/>
    </row>
    <row r="492" spans="1:22" s="9" customFormat="1" x14ac:dyDescent="0.2">
      <c r="A492" s="48"/>
      <c r="B492" s="51" t="s">
        <v>5</v>
      </c>
      <c r="C492" s="51" t="s">
        <v>5</v>
      </c>
      <c r="D492" s="24">
        <f>SUM(D493:D496)</f>
        <v>10000</v>
      </c>
      <c r="E492" s="25">
        <f>SUM(E493:E496)</f>
        <v>10000</v>
      </c>
      <c r="F492" s="25"/>
      <c r="G492" s="25"/>
      <c r="H492" s="25"/>
      <c r="I492" s="25"/>
      <c r="J492" s="53"/>
      <c r="K492" s="53"/>
      <c r="L492" s="53"/>
      <c r="M492" s="53"/>
      <c r="N492" s="53"/>
      <c r="O492" s="53"/>
      <c r="P492" s="53"/>
      <c r="Q492" s="57"/>
      <c r="R492" s="53"/>
      <c r="S492" s="53"/>
      <c r="T492" s="53"/>
      <c r="U492" s="53"/>
      <c r="V492" s="53"/>
    </row>
    <row r="493" spans="1:22" s="9" customFormat="1" x14ac:dyDescent="0.2">
      <c r="A493" s="48"/>
      <c r="B493" s="51" t="s">
        <v>0</v>
      </c>
      <c r="C493" s="51" t="s">
        <v>0</v>
      </c>
      <c r="D493" s="24">
        <f>E493+F493+G493+H493+I493</f>
        <v>0</v>
      </c>
      <c r="E493" s="25"/>
      <c r="F493" s="25"/>
      <c r="G493" s="25"/>
      <c r="H493" s="25"/>
      <c r="I493" s="25"/>
      <c r="J493" s="53"/>
      <c r="K493" s="53"/>
      <c r="L493" s="53"/>
      <c r="M493" s="53"/>
      <c r="N493" s="53"/>
      <c r="O493" s="53"/>
      <c r="P493" s="53"/>
      <c r="Q493" s="57"/>
      <c r="R493" s="53"/>
      <c r="S493" s="53"/>
      <c r="T493" s="53"/>
      <c r="U493" s="53"/>
      <c r="V493" s="53"/>
    </row>
    <row r="494" spans="1:22" s="9" customFormat="1" x14ac:dyDescent="0.2">
      <c r="A494" s="48"/>
      <c r="B494" s="51" t="s">
        <v>1</v>
      </c>
      <c r="C494" s="51" t="s">
        <v>1</v>
      </c>
      <c r="D494" s="24">
        <f>E494+F494+G494+H494+I494</f>
        <v>10000</v>
      </c>
      <c r="E494" s="25">
        <f>46000-2000-34000</f>
        <v>10000</v>
      </c>
      <c r="F494" s="25"/>
      <c r="G494" s="25"/>
      <c r="H494" s="25"/>
      <c r="I494" s="25"/>
      <c r="J494" s="53"/>
      <c r="K494" s="53"/>
      <c r="L494" s="53"/>
      <c r="M494" s="53"/>
      <c r="N494" s="53"/>
      <c r="O494" s="53"/>
      <c r="P494" s="53"/>
      <c r="Q494" s="57"/>
      <c r="R494" s="53"/>
      <c r="S494" s="53"/>
      <c r="T494" s="53"/>
      <c r="U494" s="53"/>
      <c r="V494" s="53"/>
    </row>
    <row r="495" spans="1:22" s="9" customFormat="1" x14ac:dyDescent="0.2">
      <c r="A495" s="48"/>
      <c r="B495" s="51" t="s">
        <v>2</v>
      </c>
      <c r="C495" s="51" t="s">
        <v>2</v>
      </c>
      <c r="D495" s="24">
        <f>E495+F495+G495+H495+I495</f>
        <v>0</v>
      </c>
      <c r="E495" s="25"/>
      <c r="F495" s="25"/>
      <c r="G495" s="25"/>
      <c r="H495" s="25"/>
      <c r="I495" s="25"/>
      <c r="J495" s="53"/>
      <c r="K495" s="53"/>
      <c r="L495" s="53"/>
      <c r="M495" s="53"/>
      <c r="N495" s="53"/>
      <c r="O495" s="53"/>
      <c r="P495" s="53"/>
      <c r="Q495" s="57"/>
      <c r="R495" s="53"/>
      <c r="S495" s="53"/>
      <c r="T495" s="53"/>
      <c r="U495" s="53"/>
      <c r="V495" s="53"/>
    </row>
    <row r="496" spans="1:22" s="9" customFormat="1" ht="21.75" customHeight="1" x14ac:dyDescent="0.2">
      <c r="A496" s="48"/>
      <c r="B496" s="51" t="s">
        <v>3</v>
      </c>
      <c r="C496" s="51" t="s">
        <v>3</v>
      </c>
      <c r="D496" s="24">
        <f>E496+F496+G496+H496+I496</f>
        <v>0</v>
      </c>
      <c r="E496" s="25"/>
      <c r="F496" s="25"/>
      <c r="G496" s="25"/>
      <c r="H496" s="25"/>
      <c r="I496" s="25"/>
      <c r="J496" s="53"/>
      <c r="K496" s="53"/>
      <c r="L496" s="53"/>
      <c r="M496" s="53"/>
      <c r="N496" s="53"/>
      <c r="O496" s="53"/>
      <c r="P496" s="53"/>
      <c r="Q496" s="57"/>
      <c r="R496" s="53"/>
      <c r="S496" s="53"/>
      <c r="T496" s="53"/>
      <c r="U496" s="53"/>
      <c r="V496" s="53"/>
    </row>
    <row r="497" spans="1:22" s="9" customFormat="1" ht="12.75" customHeight="1" x14ac:dyDescent="0.2">
      <c r="A497" s="48" t="s">
        <v>380</v>
      </c>
      <c r="B497" s="49" t="s">
        <v>16</v>
      </c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</row>
    <row r="498" spans="1:22" s="9" customFormat="1" ht="12.75" customHeight="1" x14ac:dyDescent="0.2">
      <c r="A498" s="48"/>
      <c r="B498" s="52" t="s">
        <v>457</v>
      </c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</row>
    <row r="499" spans="1:22" s="9" customFormat="1" ht="41.25" customHeight="1" x14ac:dyDescent="0.2">
      <c r="A499" s="48"/>
      <c r="B499" s="50" t="s">
        <v>602</v>
      </c>
      <c r="C499" s="50" t="s">
        <v>602</v>
      </c>
      <c r="D499" s="50"/>
      <c r="E499" s="50"/>
      <c r="F499" s="50"/>
      <c r="G499" s="50"/>
      <c r="H499" s="50"/>
      <c r="I499" s="50"/>
      <c r="J499" s="53" t="s">
        <v>76</v>
      </c>
      <c r="K499" s="53"/>
      <c r="L499" s="53" t="s">
        <v>70</v>
      </c>
      <c r="M499" s="53"/>
      <c r="N499" s="53" t="s">
        <v>103</v>
      </c>
      <c r="O499" s="53" t="s">
        <v>16</v>
      </c>
      <c r="P499" s="53" t="s">
        <v>103</v>
      </c>
      <c r="Q499" s="57"/>
      <c r="R499" s="53"/>
      <c r="S499" s="53" t="s">
        <v>10</v>
      </c>
      <c r="T499" s="53" t="s">
        <v>85</v>
      </c>
      <c r="U499" s="53"/>
      <c r="V499" s="53"/>
    </row>
    <row r="500" spans="1:22" s="9" customFormat="1" x14ac:dyDescent="0.2">
      <c r="A500" s="48"/>
      <c r="B500" s="51" t="s">
        <v>5</v>
      </c>
      <c r="C500" s="51" t="s">
        <v>5</v>
      </c>
      <c r="D500" s="24">
        <f>SUM(D501:D504)</f>
        <v>5892.4933999999994</v>
      </c>
      <c r="E500" s="25">
        <f>SUM(E501:E504)</f>
        <v>3392.4933999999994</v>
      </c>
      <c r="F500" s="25">
        <f>SUM(F501:F504)</f>
        <v>2500</v>
      </c>
      <c r="G500" s="25"/>
      <c r="H500" s="25"/>
      <c r="I500" s="25"/>
      <c r="J500" s="53"/>
      <c r="K500" s="53"/>
      <c r="L500" s="53"/>
      <c r="M500" s="53"/>
      <c r="N500" s="53"/>
      <c r="O500" s="53"/>
      <c r="P500" s="53"/>
      <c r="Q500" s="57"/>
      <c r="R500" s="53"/>
      <c r="S500" s="53"/>
      <c r="T500" s="53"/>
      <c r="U500" s="53"/>
      <c r="V500" s="53"/>
    </row>
    <row r="501" spans="1:22" s="9" customFormat="1" x14ac:dyDescent="0.2">
      <c r="A501" s="48"/>
      <c r="B501" s="51" t="s">
        <v>0</v>
      </c>
      <c r="C501" s="51" t="s">
        <v>0</v>
      </c>
      <c r="D501" s="24">
        <f>E501+F501+G501+H501+I501</f>
        <v>0</v>
      </c>
      <c r="E501" s="25"/>
      <c r="F501" s="25"/>
      <c r="G501" s="25"/>
      <c r="H501" s="25"/>
      <c r="I501" s="25"/>
      <c r="J501" s="53"/>
      <c r="K501" s="53"/>
      <c r="L501" s="53"/>
      <c r="M501" s="53"/>
      <c r="N501" s="53"/>
      <c r="O501" s="53"/>
      <c r="P501" s="53"/>
      <c r="Q501" s="57"/>
      <c r="R501" s="53"/>
      <c r="S501" s="53"/>
      <c r="T501" s="53"/>
      <c r="U501" s="53"/>
      <c r="V501" s="53"/>
    </row>
    <row r="502" spans="1:22" s="9" customFormat="1" x14ac:dyDescent="0.2">
      <c r="A502" s="48"/>
      <c r="B502" s="51" t="s">
        <v>1</v>
      </c>
      <c r="C502" s="51" t="s">
        <v>1</v>
      </c>
      <c r="D502" s="24">
        <f>E502+F502+G502+H502+I502</f>
        <v>5892.4933999999994</v>
      </c>
      <c r="E502" s="25">
        <f>3484.2274+20000-4000-10000-6091.734</f>
        <v>3392.4933999999994</v>
      </c>
      <c r="F502" s="25">
        <f>0+2500</f>
        <v>2500</v>
      </c>
      <c r="G502" s="25"/>
      <c r="H502" s="25"/>
      <c r="I502" s="25"/>
      <c r="J502" s="53"/>
      <c r="K502" s="53"/>
      <c r="L502" s="53"/>
      <c r="M502" s="53"/>
      <c r="N502" s="53"/>
      <c r="O502" s="53"/>
      <c r="P502" s="53"/>
      <c r="Q502" s="57"/>
      <c r="R502" s="53"/>
      <c r="S502" s="53"/>
      <c r="T502" s="53"/>
      <c r="U502" s="53"/>
      <c r="V502" s="53"/>
    </row>
    <row r="503" spans="1:22" x14ac:dyDescent="0.2">
      <c r="A503" s="48"/>
      <c r="B503" s="51" t="s">
        <v>2</v>
      </c>
      <c r="C503" s="51" t="s">
        <v>2</v>
      </c>
      <c r="D503" s="24">
        <f>E503+F503+G503+H503+I503</f>
        <v>0</v>
      </c>
      <c r="E503" s="25"/>
      <c r="F503" s="25"/>
      <c r="G503" s="25"/>
      <c r="H503" s="25"/>
      <c r="I503" s="25"/>
      <c r="J503" s="53"/>
      <c r="K503" s="53"/>
      <c r="L503" s="53"/>
      <c r="M503" s="53"/>
      <c r="N503" s="53"/>
      <c r="O503" s="53"/>
      <c r="P503" s="53"/>
      <c r="Q503" s="57"/>
      <c r="R503" s="53"/>
      <c r="S503" s="53"/>
      <c r="T503" s="53"/>
      <c r="U503" s="53"/>
      <c r="V503" s="53"/>
    </row>
    <row r="504" spans="1:22" s="9" customFormat="1" ht="21.75" customHeight="1" x14ac:dyDescent="0.2">
      <c r="A504" s="48"/>
      <c r="B504" s="51" t="s">
        <v>3</v>
      </c>
      <c r="C504" s="51" t="s">
        <v>3</v>
      </c>
      <c r="D504" s="24">
        <f>E504+F504+G504+H504+I504</f>
        <v>0</v>
      </c>
      <c r="E504" s="25"/>
      <c r="F504" s="25"/>
      <c r="G504" s="25"/>
      <c r="H504" s="25"/>
      <c r="I504" s="25"/>
      <c r="J504" s="53"/>
      <c r="K504" s="53"/>
      <c r="L504" s="53"/>
      <c r="M504" s="53"/>
      <c r="N504" s="53"/>
      <c r="O504" s="53"/>
      <c r="P504" s="53"/>
      <c r="Q504" s="57"/>
      <c r="R504" s="53"/>
      <c r="S504" s="53"/>
      <c r="T504" s="53"/>
      <c r="U504" s="53"/>
      <c r="V504" s="53"/>
    </row>
    <row r="505" spans="1:22" s="9" customFormat="1" ht="12.75" customHeight="1" x14ac:dyDescent="0.2">
      <c r="A505" s="48" t="s">
        <v>381</v>
      </c>
      <c r="B505" s="49" t="s">
        <v>16</v>
      </c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</row>
    <row r="506" spans="1:22" s="9" customFormat="1" ht="12.75" customHeight="1" x14ac:dyDescent="0.2">
      <c r="A506" s="48"/>
      <c r="B506" s="52" t="s">
        <v>457</v>
      </c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</row>
    <row r="507" spans="1:22" s="9" customFormat="1" ht="48" customHeight="1" x14ac:dyDescent="0.2">
      <c r="A507" s="48"/>
      <c r="B507" s="50" t="s">
        <v>382</v>
      </c>
      <c r="C507" s="50" t="s">
        <v>382</v>
      </c>
      <c r="D507" s="50"/>
      <c r="E507" s="50"/>
      <c r="F507" s="50"/>
      <c r="G507" s="50"/>
      <c r="H507" s="50"/>
      <c r="I507" s="50"/>
      <c r="J507" s="53" t="s">
        <v>76</v>
      </c>
      <c r="K507" s="53"/>
      <c r="L507" s="53" t="s">
        <v>70</v>
      </c>
      <c r="M507" s="53"/>
      <c r="N507" s="53" t="s">
        <v>103</v>
      </c>
      <c r="O507" s="53" t="s">
        <v>16</v>
      </c>
      <c r="P507" s="53" t="s">
        <v>103</v>
      </c>
      <c r="Q507" s="57"/>
      <c r="R507" s="53"/>
      <c r="S507" s="53" t="s">
        <v>12</v>
      </c>
      <c r="T507" s="53" t="s">
        <v>85</v>
      </c>
      <c r="U507" s="53"/>
      <c r="V507" s="53"/>
    </row>
    <row r="508" spans="1:22" s="9" customFormat="1" x14ac:dyDescent="0.2">
      <c r="A508" s="48"/>
      <c r="B508" s="51" t="s">
        <v>5</v>
      </c>
      <c r="C508" s="51" t="s">
        <v>5</v>
      </c>
      <c r="D508" s="24">
        <f>SUM(D509:D512)</f>
        <v>5736.2987400000002</v>
      </c>
      <c r="E508" s="25">
        <f>SUM(E509:E512)</f>
        <v>3236.2987400000002</v>
      </c>
      <c r="F508" s="25">
        <f>SUM(F509:F512)</f>
        <v>2500</v>
      </c>
      <c r="G508" s="25"/>
      <c r="H508" s="25"/>
      <c r="I508" s="25"/>
      <c r="J508" s="53"/>
      <c r="K508" s="53"/>
      <c r="L508" s="53"/>
      <c r="M508" s="53"/>
      <c r="N508" s="53"/>
      <c r="O508" s="53"/>
      <c r="P508" s="53"/>
      <c r="Q508" s="57"/>
      <c r="R508" s="53"/>
      <c r="S508" s="53"/>
      <c r="T508" s="53"/>
      <c r="U508" s="53"/>
      <c r="V508" s="53"/>
    </row>
    <row r="509" spans="1:22" s="9" customFormat="1" x14ac:dyDescent="0.2">
      <c r="A509" s="48"/>
      <c r="B509" s="51" t="s">
        <v>0</v>
      </c>
      <c r="C509" s="51" t="s">
        <v>0</v>
      </c>
      <c r="D509" s="24">
        <f>E509+F509+G509+H509+I509</f>
        <v>0</v>
      </c>
      <c r="E509" s="25"/>
      <c r="F509" s="25"/>
      <c r="G509" s="25"/>
      <c r="H509" s="25"/>
      <c r="I509" s="25"/>
      <c r="J509" s="53"/>
      <c r="K509" s="53"/>
      <c r="L509" s="53"/>
      <c r="M509" s="53"/>
      <c r="N509" s="53"/>
      <c r="O509" s="53"/>
      <c r="P509" s="53"/>
      <c r="Q509" s="57"/>
      <c r="R509" s="53"/>
      <c r="S509" s="53"/>
      <c r="T509" s="53"/>
      <c r="U509" s="53"/>
      <c r="V509" s="53"/>
    </row>
    <row r="510" spans="1:22" s="9" customFormat="1" x14ac:dyDescent="0.2">
      <c r="A510" s="48"/>
      <c r="B510" s="51" t="s">
        <v>1</v>
      </c>
      <c r="C510" s="51" t="s">
        <v>1</v>
      </c>
      <c r="D510" s="24">
        <f>E510+F510+G510+H510+I510</f>
        <v>5736.2987400000002</v>
      </c>
      <c r="E510" s="25">
        <f>0+3200+36.29874</f>
        <v>3236.2987400000002</v>
      </c>
      <c r="F510" s="25">
        <f>0+2500</f>
        <v>2500</v>
      </c>
      <c r="G510" s="25"/>
      <c r="H510" s="25"/>
      <c r="I510" s="25"/>
      <c r="J510" s="53"/>
      <c r="K510" s="53"/>
      <c r="L510" s="53"/>
      <c r="M510" s="53"/>
      <c r="N510" s="53"/>
      <c r="O510" s="53"/>
      <c r="P510" s="53"/>
      <c r="Q510" s="57"/>
      <c r="R510" s="53"/>
      <c r="S510" s="53"/>
      <c r="T510" s="53"/>
      <c r="U510" s="53"/>
      <c r="V510" s="53"/>
    </row>
    <row r="511" spans="1:22" x14ac:dyDescent="0.2">
      <c r="A511" s="48"/>
      <c r="B511" s="51" t="s">
        <v>2</v>
      </c>
      <c r="C511" s="51" t="s">
        <v>2</v>
      </c>
      <c r="D511" s="24">
        <f>E511+F511+G511+H511+I511</f>
        <v>0</v>
      </c>
      <c r="E511" s="25"/>
      <c r="F511" s="25"/>
      <c r="G511" s="25"/>
      <c r="H511" s="25"/>
      <c r="I511" s="25"/>
      <c r="J511" s="53"/>
      <c r="K511" s="53"/>
      <c r="L511" s="53"/>
      <c r="M511" s="53"/>
      <c r="N511" s="53"/>
      <c r="O511" s="53"/>
      <c r="P511" s="53"/>
      <c r="Q511" s="57"/>
      <c r="R511" s="53"/>
      <c r="S511" s="53"/>
      <c r="T511" s="53"/>
      <c r="U511" s="53"/>
      <c r="V511" s="53"/>
    </row>
    <row r="512" spans="1:22" s="9" customFormat="1" ht="21.75" customHeight="1" x14ac:dyDescent="0.2">
      <c r="A512" s="48"/>
      <c r="B512" s="51" t="s">
        <v>3</v>
      </c>
      <c r="C512" s="51" t="s">
        <v>3</v>
      </c>
      <c r="D512" s="24">
        <f>E512+F512+G512+H512+I512</f>
        <v>0</v>
      </c>
      <c r="E512" s="25"/>
      <c r="F512" s="25"/>
      <c r="G512" s="25"/>
      <c r="H512" s="25"/>
      <c r="I512" s="25"/>
      <c r="J512" s="53"/>
      <c r="K512" s="53"/>
      <c r="L512" s="53"/>
      <c r="M512" s="53"/>
      <c r="N512" s="53"/>
      <c r="O512" s="53"/>
      <c r="P512" s="53"/>
      <c r="Q512" s="57"/>
      <c r="R512" s="53"/>
      <c r="S512" s="53"/>
      <c r="T512" s="53"/>
      <c r="U512" s="53"/>
      <c r="V512" s="53"/>
    </row>
    <row r="513" spans="1:22" s="9" customFormat="1" ht="12.75" customHeight="1" x14ac:dyDescent="0.2">
      <c r="A513" s="48" t="s">
        <v>384</v>
      </c>
      <c r="B513" s="49" t="s">
        <v>16</v>
      </c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</row>
    <row r="514" spans="1:22" s="9" customFormat="1" x14ac:dyDescent="0.2">
      <c r="A514" s="48"/>
      <c r="B514" s="52" t="s">
        <v>458</v>
      </c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</row>
    <row r="515" spans="1:22" s="9" customFormat="1" ht="44.25" customHeight="1" x14ac:dyDescent="0.2">
      <c r="A515" s="48"/>
      <c r="B515" s="50" t="s">
        <v>611</v>
      </c>
      <c r="C515" s="50" t="s">
        <v>611</v>
      </c>
      <c r="D515" s="50"/>
      <c r="E515" s="50"/>
      <c r="F515" s="50"/>
      <c r="G515" s="50"/>
      <c r="H515" s="50"/>
      <c r="I515" s="50"/>
      <c r="J515" s="53" t="s">
        <v>174</v>
      </c>
      <c r="K515" s="53"/>
      <c r="L515" s="53" t="s">
        <v>70</v>
      </c>
      <c r="M515" s="53"/>
      <c r="N515" s="53" t="s">
        <v>103</v>
      </c>
      <c r="O515" s="53" t="s">
        <v>16</v>
      </c>
      <c r="P515" s="53" t="s">
        <v>103</v>
      </c>
      <c r="Q515" s="57" t="s">
        <v>612</v>
      </c>
      <c r="R515" s="53"/>
      <c r="S515" s="53" t="s">
        <v>12</v>
      </c>
      <c r="T515" s="53" t="s">
        <v>18</v>
      </c>
      <c r="U515" s="53"/>
      <c r="V515" s="53"/>
    </row>
    <row r="516" spans="1:22" s="9" customFormat="1" x14ac:dyDescent="0.2">
      <c r="A516" s="48"/>
      <c r="B516" s="51" t="s">
        <v>5</v>
      </c>
      <c r="C516" s="51" t="s">
        <v>5</v>
      </c>
      <c r="D516" s="24">
        <f>SUM(D517:D520)</f>
        <v>478606.35752999998</v>
      </c>
      <c r="E516" s="25">
        <f>SUM(E517:E520)</f>
        <v>96460.357530000008</v>
      </c>
      <c r="F516" s="25">
        <f t="shared" ref="F516:G516" si="46">SUM(F517:F520)</f>
        <v>200000</v>
      </c>
      <c r="G516" s="25">
        <f t="shared" si="46"/>
        <v>182146</v>
      </c>
      <c r="H516" s="25"/>
      <c r="I516" s="25"/>
      <c r="J516" s="53"/>
      <c r="K516" s="53"/>
      <c r="L516" s="53"/>
      <c r="M516" s="53"/>
      <c r="N516" s="53"/>
      <c r="O516" s="53"/>
      <c r="P516" s="53"/>
      <c r="Q516" s="57"/>
      <c r="R516" s="53"/>
      <c r="S516" s="53"/>
      <c r="T516" s="53"/>
      <c r="U516" s="53"/>
      <c r="V516" s="53"/>
    </row>
    <row r="517" spans="1:22" s="9" customFormat="1" x14ac:dyDescent="0.2">
      <c r="A517" s="48"/>
      <c r="B517" s="51" t="s">
        <v>0</v>
      </c>
      <c r="C517" s="51" t="s">
        <v>0</v>
      </c>
      <c r="D517" s="24">
        <f>E517+F517+G517+H517+I517</f>
        <v>46460.357530000001</v>
      </c>
      <c r="E517" s="25">
        <f>0+46460.35753</f>
        <v>46460.357530000001</v>
      </c>
      <c r="F517" s="25"/>
      <c r="G517" s="25"/>
      <c r="H517" s="25"/>
      <c r="I517" s="25"/>
      <c r="J517" s="53"/>
      <c r="K517" s="53"/>
      <c r="L517" s="53"/>
      <c r="M517" s="53"/>
      <c r="N517" s="53"/>
      <c r="O517" s="53"/>
      <c r="P517" s="53"/>
      <c r="Q517" s="57"/>
      <c r="R517" s="53"/>
      <c r="S517" s="53"/>
      <c r="T517" s="53"/>
      <c r="U517" s="53"/>
      <c r="V517" s="53"/>
    </row>
    <row r="518" spans="1:22" s="9" customFormat="1" x14ac:dyDescent="0.2">
      <c r="A518" s="48"/>
      <c r="B518" s="51" t="s">
        <v>1</v>
      </c>
      <c r="C518" s="51" t="s">
        <v>1</v>
      </c>
      <c r="D518" s="24">
        <f>E518+F518+G518+H518+I518</f>
        <v>432146</v>
      </c>
      <c r="E518" s="25">
        <v>50000</v>
      </c>
      <c r="F518" s="25">
        <v>200000</v>
      </c>
      <c r="G518" s="25">
        <f>0+182146</f>
        <v>182146</v>
      </c>
      <c r="H518" s="25"/>
      <c r="I518" s="25"/>
      <c r="J518" s="53"/>
      <c r="K518" s="53"/>
      <c r="L518" s="53"/>
      <c r="M518" s="53"/>
      <c r="N518" s="53"/>
      <c r="O518" s="53"/>
      <c r="P518" s="53"/>
      <c r="Q518" s="57"/>
      <c r="R518" s="53"/>
      <c r="S518" s="53"/>
      <c r="T518" s="53"/>
      <c r="U518" s="53"/>
      <c r="V518" s="53"/>
    </row>
    <row r="519" spans="1:22" x14ac:dyDescent="0.2">
      <c r="A519" s="48"/>
      <c r="B519" s="51" t="s">
        <v>2</v>
      </c>
      <c r="C519" s="51" t="s">
        <v>2</v>
      </c>
      <c r="D519" s="24">
        <f>E519+F519+G519+H519+I519</f>
        <v>0</v>
      </c>
      <c r="E519" s="25"/>
      <c r="F519" s="25"/>
      <c r="G519" s="25"/>
      <c r="H519" s="25"/>
      <c r="I519" s="25"/>
      <c r="J519" s="53"/>
      <c r="K519" s="53"/>
      <c r="L519" s="53"/>
      <c r="M519" s="53"/>
      <c r="N519" s="53"/>
      <c r="O519" s="53"/>
      <c r="P519" s="53"/>
      <c r="Q519" s="57"/>
      <c r="R519" s="53"/>
      <c r="S519" s="53"/>
      <c r="T519" s="53"/>
      <c r="U519" s="53"/>
      <c r="V519" s="53"/>
    </row>
    <row r="520" spans="1:22" s="9" customFormat="1" ht="21.75" customHeight="1" x14ac:dyDescent="0.2">
      <c r="A520" s="48"/>
      <c r="B520" s="51" t="s">
        <v>3</v>
      </c>
      <c r="C520" s="51" t="s">
        <v>3</v>
      </c>
      <c r="D520" s="24">
        <f>E520+F520+G520+H520+I520</f>
        <v>0</v>
      </c>
      <c r="E520" s="25"/>
      <c r="F520" s="25"/>
      <c r="G520" s="25"/>
      <c r="H520" s="25"/>
      <c r="I520" s="25"/>
      <c r="J520" s="53"/>
      <c r="K520" s="53"/>
      <c r="L520" s="53"/>
      <c r="M520" s="53"/>
      <c r="N520" s="53"/>
      <c r="O520" s="53"/>
      <c r="P520" s="53"/>
      <c r="Q520" s="57"/>
      <c r="R520" s="53"/>
      <c r="S520" s="53"/>
      <c r="T520" s="53"/>
      <c r="U520" s="53"/>
      <c r="V520" s="53"/>
    </row>
    <row r="521" spans="1:22" s="9" customFormat="1" ht="12.75" customHeight="1" x14ac:dyDescent="0.2">
      <c r="A521" s="48" t="s">
        <v>418</v>
      </c>
      <c r="B521" s="49" t="s">
        <v>73</v>
      </c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</row>
    <row r="522" spans="1:22" s="9" customFormat="1" ht="12.75" customHeight="1" x14ac:dyDescent="0.2">
      <c r="A522" s="48"/>
      <c r="B522" s="52" t="s">
        <v>476</v>
      </c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</row>
    <row r="523" spans="1:22" s="9" customFormat="1" ht="57.75" customHeight="1" x14ac:dyDescent="0.2">
      <c r="A523" s="48"/>
      <c r="B523" s="50" t="s">
        <v>419</v>
      </c>
      <c r="C523" s="50" t="s">
        <v>419</v>
      </c>
      <c r="D523" s="50"/>
      <c r="E523" s="50"/>
      <c r="F523" s="50"/>
      <c r="G523" s="50"/>
      <c r="H523" s="50"/>
      <c r="I523" s="50"/>
      <c r="J523" s="53" t="s">
        <v>60</v>
      </c>
      <c r="K523" s="53"/>
      <c r="L523" s="53" t="s">
        <v>70</v>
      </c>
      <c r="M523" s="53"/>
      <c r="N523" s="53" t="s">
        <v>73</v>
      </c>
      <c r="O523" s="53" t="s">
        <v>73</v>
      </c>
      <c r="P523" s="53" t="s">
        <v>73</v>
      </c>
      <c r="Q523" s="57"/>
      <c r="R523" s="53"/>
      <c r="S523" s="53"/>
      <c r="T523" s="53" t="s">
        <v>101</v>
      </c>
      <c r="U523" s="53"/>
      <c r="V523" s="53"/>
    </row>
    <row r="524" spans="1:22" s="9" customFormat="1" x14ac:dyDescent="0.2">
      <c r="A524" s="48"/>
      <c r="B524" s="51" t="s">
        <v>5</v>
      </c>
      <c r="C524" s="51" t="s">
        <v>5</v>
      </c>
      <c r="D524" s="24">
        <f>SUM(D525:D528)</f>
        <v>102311.82</v>
      </c>
      <c r="E524" s="25">
        <f>SUM(E525:E528)</f>
        <v>102311.82</v>
      </c>
      <c r="F524" s="25"/>
      <c r="G524" s="25"/>
      <c r="H524" s="25"/>
      <c r="I524" s="25"/>
      <c r="J524" s="53"/>
      <c r="K524" s="53"/>
      <c r="L524" s="53"/>
      <c r="M524" s="53"/>
      <c r="N524" s="53"/>
      <c r="O524" s="53"/>
      <c r="P524" s="53"/>
      <c r="Q524" s="57"/>
      <c r="R524" s="53"/>
      <c r="S524" s="53"/>
      <c r="T524" s="53"/>
      <c r="U524" s="53"/>
      <c r="V524" s="53"/>
    </row>
    <row r="525" spans="1:22" s="9" customFormat="1" x14ac:dyDescent="0.2">
      <c r="A525" s="48"/>
      <c r="B525" s="51" t="s">
        <v>0</v>
      </c>
      <c r="C525" s="51" t="s">
        <v>0</v>
      </c>
      <c r="D525" s="24">
        <f>E525+F525+G525+H525+I525</f>
        <v>0</v>
      </c>
      <c r="E525" s="25"/>
      <c r="F525" s="25"/>
      <c r="G525" s="25"/>
      <c r="H525" s="25"/>
      <c r="I525" s="25"/>
      <c r="J525" s="53"/>
      <c r="K525" s="53"/>
      <c r="L525" s="53"/>
      <c r="M525" s="53"/>
      <c r="N525" s="53"/>
      <c r="O525" s="53"/>
      <c r="P525" s="53"/>
      <c r="Q525" s="57"/>
      <c r="R525" s="53"/>
      <c r="S525" s="53"/>
      <c r="T525" s="53"/>
      <c r="U525" s="53"/>
      <c r="V525" s="53"/>
    </row>
    <row r="526" spans="1:22" s="9" customFormat="1" x14ac:dyDescent="0.2">
      <c r="A526" s="48"/>
      <c r="B526" s="51" t="s">
        <v>1</v>
      </c>
      <c r="C526" s="51" t="s">
        <v>1</v>
      </c>
      <c r="D526" s="24">
        <f>E526+F526+G526+H526+I526</f>
        <v>102311.82</v>
      </c>
      <c r="E526" s="25">
        <f>69600+50000-12000-5288.18</f>
        <v>102311.82</v>
      </c>
      <c r="F526" s="25"/>
      <c r="G526" s="25"/>
      <c r="H526" s="25"/>
      <c r="I526" s="25"/>
      <c r="J526" s="53"/>
      <c r="K526" s="53"/>
      <c r="L526" s="53"/>
      <c r="M526" s="53"/>
      <c r="N526" s="53"/>
      <c r="O526" s="53"/>
      <c r="P526" s="53"/>
      <c r="Q526" s="57"/>
      <c r="R526" s="53"/>
      <c r="S526" s="53"/>
      <c r="T526" s="53"/>
      <c r="U526" s="53"/>
      <c r="V526" s="53"/>
    </row>
    <row r="527" spans="1:22" x14ac:dyDescent="0.2">
      <c r="A527" s="48"/>
      <c r="B527" s="51" t="s">
        <v>2</v>
      </c>
      <c r="C527" s="51" t="s">
        <v>2</v>
      </c>
      <c r="D527" s="24">
        <f>E527+F527+G527+H527+I527</f>
        <v>0</v>
      </c>
      <c r="E527" s="25"/>
      <c r="F527" s="25"/>
      <c r="G527" s="25"/>
      <c r="H527" s="25"/>
      <c r="I527" s="25"/>
      <c r="J527" s="53"/>
      <c r="K527" s="53"/>
      <c r="L527" s="53"/>
      <c r="M527" s="53"/>
      <c r="N527" s="53"/>
      <c r="O527" s="53"/>
      <c r="P527" s="53"/>
      <c r="Q527" s="57"/>
      <c r="R527" s="53"/>
      <c r="S527" s="53"/>
      <c r="T527" s="53"/>
      <c r="U527" s="53"/>
      <c r="V527" s="53"/>
    </row>
    <row r="528" spans="1:22" s="9" customFormat="1" ht="21.75" customHeight="1" x14ac:dyDescent="0.2">
      <c r="A528" s="48"/>
      <c r="B528" s="51" t="s">
        <v>3</v>
      </c>
      <c r="C528" s="51" t="s">
        <v>3</v>
      </c>
      <c r="D528" s="24">
        <f>E528+F528+G528+H528+I528</f>
        <v>0</v>
      </c>
      <c r="E528" s="25"/>
      <c r="F528" s="25"/>
      <c r="G528" s="25"/>
      <c r="H528" s="25"/>
      <c r="I528" s="25"/>
      <c r="J528" s="53"/>
      <c r="K528" s="53"/>
      <c r="L528" s="53"/>
      <c r="M528" s="53"/>
      <c r="N528" s="53"/>
      <c r="O528" s="53"/>
      <c r="P528" s="53"/>
      <c r="Q528" s="57"/>
      <c r="R528" s="53"/>
      <c r="S528" s="53"/>
      <c r="T528" s="53"/>
      <c r="U528" s="53"/>
      <c r="V528" s="53"/>
    </row>
    <row r="529" spans="1:22" s="9" customFormat="1" ht="12.75" customHeight="1" x14ac:dyDescent="0.2">
      <c r="A529" s="48" t="s">
        <v>488</v>
      </c>
      <c r="B529" s="49" t="s">
        <v>73</v>
      </c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</row>
    <row r="530" spans="1:22" s="9" customFormat="1" ht="12.75" customHeight="1" x14ac:dyDescent="0.2">
      <c r="A530" s="48"/>
      <c r="B530" s="52" t="s">
        <v>476</v>
      </c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</row>
    <row r="531" spans="1:22" s="9" customFormat="1" ht="60" customHeight="1" x14ac:dyDescent="0.2">
      <c r="A531" s="48"/>
      <c r="B531" s="50" t="s">
        <v>600</v>
      </c>
      <c r="C531" s="50" t="s">
        <v>600</v>
      </c>
      <c r="D531" s="50"/>
      <c r="E531" s="50"/>
      <c r="F531" s="50"/>
      <c r="G531" s="50"/>
      <c r="H531" s="50"/>
      <c r="I531" s="50"/>
      <c r="J531" s="53" t="s">
        <v>60</v>
      </c>
      <c r="K531" s="53"/>
      <c r="L531" s="53" t="s">
        <v>70</v>
      </c>
      <c r="M531" s="53"/>
      <c r="N531" s="53" t="s">
        <v>73</v>
      </c>
      <c r="O531" s="53" t="s">
        <v>73</v>
      </c>
      <c r="P531" s="53" t="s">
        <v>73</v>
      </c>
      <c r="Q531" s="57"/>
      <c r="R531" s="53"/>
      <c r="S531" s="53"/>
      <c r="T531" s="53" t="s">
        <v>101</v>
      </c>
      <c r="U531" s="53"/>
      <c r="V531" s="53"/>
    </row>
    <row r="532" spans="1:22" s="9" customFormat="1" x14ac:dyDescent="0.2">
      <c r="A532" s="48"/>
      <c r="B532" s="51" t="s">
        <v>5</v>
      </c>
      <c r="C532" s="51" t="s">
        <v>5</v>
      </c>
      <c r="D532" s="24">
        <f>SUM(D533:D536)</f>
        <v>16018.707</v>
      </c>
      <c r="E532" s="25">
        <f>SUM(E533:E536)</f>
        <v>16018.707</v>
      </c>
      <c r="F532" s="25"/>
      <c r="G532" s="25"/>
      <c r="H532" s="25"/>
      <c r="I532" s="25"/>
      <c r="J532" s="53"/>
      <c r="K532" s="53"/>
      <c r="L532" s="53"/>
      <c r="M532" s="53"/>
      <c r="N532" s="53"/>
      <c r="O532" s="53"/>
      <c r="P532" s="53"/>
      <c r="Q532" s="57"/>
      <c r="R532" s="53"/>
      <c r="S532" s="53"/>
      <c r="T532" s="53"/>
      <c r="U532" s="53"/>
      <c r="V532" s="53"/>
    </row>
    <row r="533" spans="1:22" s="9" customFormat="1" x14ac:dyDescent="0.2">
      <c r="A533" s="48"/>
      <c r="B533" s="51" t="s">
        <v>0</v>
      </c>
      <c r="C533" s="51" t="s">
        <v>0</v>
      </c>
      <c r="D533" s="24">
        <f>E533+F533+G533+H533+I533</f>
        <v>0</v>
      </c>
      <c r="E533" s="25"/>
      <c r="F533" s="25"/>
      <c r="G533" s="25"/>
      <c r="H533" s="25"/>
      <c r="I533" s="25"/>
      <c r="J533" s="53"/>
      <c r="K533" s="53"/>
      <c r="L533" s="53"/>
      <c r="M533" s="53"/>
      <c r="N533" s="53"/>
      <c r="O533" s="53"/>
      <c r="P533" s="53"/>
      <c r="Q533" s="57"/>
      <c r="R533" s="53"/>
      <c r="S533" s="53"/>
      <c r="T533" s="53"/>
      <c r="U533" s="53"/>
      <c r="V533" s="53"/>
    </row>
    <row r="534" spans="1:22" s="9" customFormat="1" x14ac:dyDescent="0.2">
      <c r="A534" s="48"/>
      <c r="B534" s="51" t="s">
        <v>1</v>
      </c>
      <c r="C534" s="51" t="s">
        <v>1</v>
      </c>
      <c r="D534" s="24">
        <f>E534+F534+G534+H534+I534</f>
        <v>16018.707</v>
      </c>
      <c r="E534" s="25">
        <f>0+12000+4100-81.293</f>
        <v>16018.707</v>
      </c>
      <c r="F534" s="25"/>
      <c r="G534" s="25"/>
      <c r="H534" s="25"/>
      <c r="I534" s="25"/>
      <c r="J534" s="53"/>
      <c r="K534" s="53"/>
      <c r="L534" s="53"/>
      <c r="M534" s="53"/>
      <c r="N534" s="53"/>
      <c r="O534" s="53"/>
      <c r="P534" s="53"/>
      <c r="Q534" s="57"/>
      <c r="R534" s="53"/>
      <c r="S534" s="53"/>
      <c r="T534" s="53"/>
      <c r="U534" s="53"/>
      <c r="V534" s="53"/>
    </row>
    <row r="535" spans="1:22" x14ac:dyDescent="0.2">
      <c r="A535" s="48"/>
      <c r="B535" s="51" t="s">
        <v>2</v>
      </c>
      <c r="C535" s="51" t="s">
        <v>2</v>
      </c>
      <c r="D535" s="24">
        <f>E535+F535+G535+H535+I535</f>
        <v>0</v>
      </c>
      <c r="E535" s="25"/>
      <c r="F535" s="25"/>
      <c r="G535" s="25"/>
      <c r="H535" s="25"/>
      <c r="I535" s="25"/>
      <c r="J535" s="53"/>
      <c r="K535" s="53"/>
      <c r="L535" s="53"/>
      <c r="M535" s="53"/>
      <c r="N535" s="53"/>
      <c r="O535" s="53"/>
      <c r="P535" s="53"/>
      <c r="Q535" s="57"/>
      <c r="R535" s="53"/>
      <c r="S535" s="53"/>
      <c r="T535" s="53"/>
      <c r="U535" s="53"/>
      <c r="V535" s="53"/>
    </row>
    <row r="536" spans="1:22" s="9" customFormat="1" ht="21.75" customHeight="1" x14ac:dyDescent="0.2">
      <c r="A536" s="48"/>
      <c r="B536" s="51" t="s">
        <v>3</v>
      </c>
      <c r="C536" s="51" t="s">
        <v>3</v>
      </c>
      <c r="D536" s="24">
        <f>E536+F536+G536+H536+I536</f>
        <v>0</v>
      </c>
      <c r="E536" s="25"/>
      <c r="F536" s="25"/>
      <c r="G536" s="25"/>
      <c r="H536" s="25"/>
      <c r="I536" s="25"/>
      <c r="J536" s="53"/>
      <c r="K536" s="53"/>
      <c r="L536" s="53"/>
      <c r="M536" s="53"/>
      <c r="N536" s="53"/>
      <c r="O536" s="53"/>
      <c r="P536" s="53"/>
      <c r="Q536" s="57"/>
      <c r="R536" s="53"/>
      <c r="S536" s="53"/>
      <c r="T536" s="53"/>
      <c r="U536" s="53"/>
      <c r="V536" s="53"/>
    </row>
    <row r="537" spans="1:22" s="9" customFormat="1" ht="12.75" customHeight="1" x14ac:dyDescent="0.2">
      <c r="A537" s="48" t="s">
        <v>630</v>
      </c>
      <c r="B537" s="49" t="s">
        <v>16</v>
      </c>
      <c r="C537" s="49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</row>
    <row r="538" spans="1:22" s="9" customFormat="1" ht="12.75" customHeight="1" x14ac:dyDescent="0.2">
      <c r="A538" s="48"/>
      <c r="B538" s="52" t="s">
        <v>476</v>
      </c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</row>
    <row r="539" spans="1:22" s="9" customFormat="1" ht="44.25" customHeight="1" x14ac:dyDescent="0.2">
      <c r="A539" s="48"/>
      <c r="B539" s="50" t="s">
        <v>603</v>
      </c>
      <c r="C539" s="50" t="s">
        <v>603</v>
      </c>
      <c r="D539" s="50"/>
      <c r="E539" s="50"/>
      <c r="F539" s="50"/>
      <c r="G539" s="50"/>
      <c r="H539" s="50"/>
      <c r="I539" s="50"/>
      <c r="J539" s="53" t="s">
        <v>76</v>
      </c>
      <c r="K539" s="53"/>
      <c r="L539" s="53" t="s">
        <v>70</v>
      </c>
      <c r="M539" s="53"/>
      <c r="N539" s="53" t="s">
        <v>103</v>
      </c>
      <c r="O539" s="53" t="s">
        <v>16</v>
      </c>
      <c r="P539" s="53" t="s">
        <v>103</v>
      </c>
      <c r="Q539" s="57"/>
      <c r="R539" s="53"/>
      <c r="S539" s="53" t="s">
        <v>10</v>
      </c>
      <c r="T539" s="53" t="s">
        <v>85</v>
      </c>
      <c r="U539" s="53"/>
      <c r="V539" s="53"/>
    </row>
    <row r="540" spans="1:22" s="9" customFormat="1" x14ac:dyDescent="0.2">
      <c r="A540" s="48"/>
      <c r="B540" s="51" t="s">
        <v>5</v>
      </c>
      <c r="C540" s="51" t="s">
        <v>5</v>
      </c>
      <c r="D540" s="24">
        <f>SUM(D541:D544)</f>
        <v>409812.8</v>
      </c>
      <c r="E540" s="25">
        <f>SUM(E541:E544)</f>
        <v>160000</v>
      </c>
      <c r="F540" s="25">
        <f>SUM(F541:F544)</f>
        <v>249812.8</v>
      </c>
      <c r="G540" s="25"/>
      <c r="H540" s="25"/>
      <c r="I540" s="25"/>
      <c r="J540" s="53"/>
      <c r="K540" s="53"/>
      <c r="L540" s="53"/>
      <c r="M540" s="53"/>
      <c r="N540" s="53"/>
      <c r="O540" s="53"/>
      <c r="P540" s="53"/>
      <c r="Q540" s="57"/>
      <c r="R540" s="53"/>
      <c r="S540" s="53"/>
      <c r="T540" s="53"/>
      <c r="U540" s="53"/>
      <c r="V540" s="53"/>
    </row>
    <row r="541" spans="1:22" s="9" customFormat="1" x14ac:dyDescent="0.2">
      <c r="A541" s="48"/>
      <c r="B541" s="51" t="s">
        <v>0</v>
      </c>
      <c r="C541" s="51" t="s">
        <v>0</v>
      </c>
      <c r="D541" s="24">
        <f>E541+F541+G541+H541+I541</f>
        <v>0</v>
      </c>
      <c r="E541" s="25"/>
      <c r="F541" s="25"/>
      <c r="G541" s="25"/>
      <c r="H541" s="25"/>
      <c r="I541" s="25"/>
      <c r="J541" s="53"/>
      <c r="K541" s="53"/>
      <c r="L541" s="53"/>
      <c r="M541" s="53"/>
      <c r="N541" s="53"/>
      <c r="O541" s="53"/>
      <c r="P541" s="53"/>
      <c r="Q541" s="57"/>
      <c r="R541" s="53"/>
      <c r="S541" s="53"/>
      <c r="T541" s="53"/>
      <c r="U541" s="53"/>
      <c r="V541" s="53"/>
    </row>
    <row r="542" spans="1:22" s="9" customFormat="1" x14ac:dyDescent="0.2">
      <c r="A542" s="48"/>
      <c r="B542" s="51" t="s">
        <v>1</v>
      </c>
      <c r="C542" s="51" t="s">
        <v>1</v>
      </c>
      <c r="D542" s="24">
        <f>E542+F542+G542+H542+I542</f>
        <v>409812.8</v>
      </c>
      <c r="E542" s="25">
        <f>0+50000+110000</f>
        <v>160000</v>
      </c>
      <c r="F542" s="25">
        <f>0+139812.8+110000</f>
        <v>249812.8</v>
      </c>
      <c r="G542" s="25"/>
      <c r="H542" s="25"/>
      <c r="I542" s="25"/>
      <c r="J542" s="53"/>
      <c r="K542" s="53"/>
      <c r="L542" s="53"/>
      <c r="M542" s="53"/>
      <c r="N542" s="53"/>
      <c r="O542" s="53"/>
      <c r="P542" s="53"/>
      <c r="Q542" s="57"/>
      <c r="R542" s="53"/>
      <c r="S542" s="53"/>
      <c r="T542" s="53"/>
      <c r="U542" s="53"/>
      <c r="V542" s="53"/>
    </row>
    <row r="543" spans="1:22" x14ac:dyDescent="0.2">
      <c r="A543" s="48"/>
      <c r="B543" s="51" t="s">
        <v>2</v>
      </c>
      <c r="C543" s="51" t="s">
        <v>2</v>
      </c>
      <c r="D543" s="24">
        <f>E543+F543+G543+H543+I543</f>
        <v>0</v>
      </c>
      <c r="E543" s="25"/>
      <c r="F543" s="25"/>
      <c r="G543" s="25"/>
      <c r="H543" s="25"/>
      <c r="I543" s="25"/>
      <c r="J543" s="53"/>
      <c r="K543" s="53"/>
      <c r="L543" s="53"/>
      <c r="M543" s="53"/>
      <c r="N543" s="53"/>
      <c r="O543" s="53"/>
      <c r="P543" s="53"/>
      <c r="Q543" s="57"/>
      <c r="R543" s="53"/>
      <c r="S543" s="53"/>
      <c r="T543" s="53"/>
      <c r="U543" s="53"/>
      <c r="V543" s="53"/>
    </row>
    <row r="544" spans="1:22" s="9" customFormat="1" ht="21.75" customHeight="1" x14ac:dyDescent="0.2">
      <c r="A544" s="48"/>
      <c r="B544" s="51" t="s">
        <v>3</v>
      </c>
      <c r="C544" s="51" t="s">
        <v>3</v>
      </c>
      <c r="D544" s="24">
        <f>E544+F544+G544+H544+I544</f>
        <v>0</v>
      </c>
      <c r="E544" s="25"/>
      <c r="F544" s="25"/>
      <c r="G544" s="25"/>
      <c r="H544" s="25"/>
      <c r="I544" s="25"/>
      <c r="J544" s="53"/>
      <c r="K544" s="53"/>
      <c r="L544" s="53"/>
      <c r="M544" s="53"/>
      <c r="N544" s="53"/>
      <c r="O544" s="53"/>
      <c r="P544" s="53"/>
      <c r="Q544" s="57"/>
      <c r="R544" s="53"/>
      <c r="S544" s="53"/>
      <c r="T544" s="53"/>
      <c r="U544" s="53"/>
      <c r="V544" s="53"/>
    </row>
    <row r="545" spans="1:22" s="9" customFormat="1" ht="12.75" customHeight="1" x14ac:dyDescent="0.2">
      <c r="A545" s="54" t="s">
        <v>49</v>
      </c>
      <c r="B545" s="55" t="s">
        <v>459</v>
      </c>
      <c r="C545" s="55"/>
      <c r="D545" s="55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</row>
    <row r="546" spans="1:22" s="9" customFormat="1" ht="12.75" customHeight="1" x14ac:dyDescent="0.2">
      <c r="A546" s="54"/>
      <c r="B546" s="56" t="s">
        <v>5</v>
      </c>
      <c r="C546" s="56"/>
      <c r="D546" s="23">
        <f>SUM(D547:D550)</f>
        <v>944329.16805483063</v>
      </c>
      <c r="E546" s="23">
        <f>SUM(E547:E550)</f>
        <v>638106.37120032066</v>
      </c>
      <c r="F546" s="23">
        <f t="shared" ref="F546:I546" si="47">SUM(F547:F550)</f>
        <v>265202.75677434966</v>
      </c>
      <c r="G546" s="23">
        <f t="shared" si="47"/>
        <v>41020.040080160317</v>
      </c>
      <c r="H546" s="23">
        <f t="shared" si="47"/>
        <v>0</v>
      </c>
      <c r="I546" s="23">
        <f t="shared" si="47"/>
        <v>0</v>
      </c>
      <c r="J546" s="12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4"/>
    </row>
    <row r="547" spans="1:22" s="9" customFormat="1" x14ac:dyDescent="0.2">
      <c r="A547" s="54"/>
      <c r="B547" s="56" t="s">
        <v>0</v>
      </c>
      <c r="C547" s="56"/>
      <c r="D547" s="23">
        <f>E547+F547+G547+H547+I547</f>
        <v>265911.90000000002</v>
      </c>
      <c r="E547" s="23">
        <f>E555+E563+E571+E579+E587+E595+E603+E611+E619+E627+E635+E643+E651+E659+E667+E675+E683+E691+E699+E707</f>
        <v>265911.90000000002</v>
      </c>
      <c r="F547" s="23">
        <f t="shared" ref="F547:I547" si="48">F555+F563+F571+F579+F587+F595+F603+F611+F619+F627+F635+F643+F651+F659+F667+F675+F683+F691+F699+F707</f>
        <v>0</v>
      </c>
      <c r="G547" s="23">
        <f t="shared" si="48"/>
        <v>0</v>
      </c>
      <c r="H547" s="23">
        <f t="shared" si="48"/>
        <v>0</v>
      </c>
      <c r="I547" s="23">
        <f t="shared" si="48"/>
        <v>0</v>
      </c>
      <c r="J547" s="15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7"/>
    </row>
    <row r="548" spans="1:22" s="9" customFormat="1" ht="12.75" customHeight="1" x14ac:dyDescent="0.2">
      <c r="A548" s="54"/>
      <c r="B548" s="56" t="s">
        <v>1</v>
      </c>
      <c r="C548" s="56"/>
      <c r="D548" s="23">
        <f>E548+F548+G548+H548+I548</f>
        <v>671464.73646000004</v>
      </c>
      <c r="E548" s="23">
        <f t="shared" ref="E548:I548" si="49">E556+E564+E572+E580+E588+E596+E604+E612+E620+E628+E636+E644+E652+E660+E668+E676+E684+E692+E700+E708</f>
        <v>368197.03646000003</v>
      </c>
      <c r="F548" s="23">
        <f t="shared" si="49"/>
        <v>262887.7</v>
      </c>
      <c r="G548" s="23">
        <f t="shared" si="49"/>
        <v>40380</v>
      </c>
      <c r="H548" s="23">
        <f t="shared" si="49"/>
        <v>0</v>
      </c>
      <c r="I548" s="23">
        <f t="shared" si="49"/>
        <v>0</v>
      </c>
      <c r="J548" s="15"/>
      <c r="K548" s="18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7"/>
    </row>
    <row r="549" spans="1:22" s="9" customFormat="1" ht="12.75" customHeight="1" x14ac:dyDescent="0.2">
      <c r="A549" s="54"/>
      <c r="B549" s="56" t="s">
        <v>2</v>
      </c>
      <c r="C549" s="56"/>
      <c r="D549" s="23">
        <f>E549+F549+G549+H549+I549</f>
        <v>6952.5315948306106</v>
      </c>
      <c r="E549" s="23">
        <f t="shared" ref="E549:I549" si="50">E557+E565+E573+E581+E589+E597+E605+E613+E621+E629+E637+E645+E653+E661+E669+E677+E685+E693+E701+E709</f>
        <v>3997.4347403206416</v>
      </c>
      <c r="F549" s="23">
        <f t="shared" si="50"/>
        <v>2315.0567743496485</v>
      </c>
      <c r="G549" s="23">
        <f t="shared" si="50"/>
        <v>640.0400801603206</v>
      </c>
      <c r="H549" s="23">
        <f t="shared" si="50"/>
        <v>0</v>
      </c>
      <c r="I549" s="23">
        <f t="shared" si="50"/>
        <v>0</v>
      </c>
      <c r="J549" s="15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7"/>
    </row>
    <row r="550" spans="1:22" s="9" customFormat="1" ht="19.5" customHeight="1" x14ac:dyDescent="0.2">
      <c r="A550" s="54"/>
      <c r="B550" s="56" t="s">
        <v>3</v>
      </c>
      <c r="C550" s="56"/>
      <c r="D550" s="23">
        <f>E550+F550+G550+H550+I550</f>
        <v>0</v>
      </c>
      <c r="E550" s="23">
        <f t="shared" ref="E550:I550" si="51">E558+E566+E574+E582+E590+E598+E606+E614+E622+E630+E638+E646+E654+E662+E670+E678+E686+E694+E702+E710</f>
        <v>0</v>
      </c>
      <c r="F550" s="23">
        <f t="shared" si="51"/>
        <v>0</v>
      </c>
      <c r="G550" s="23">
        <f t="shared" si="51"/>
        <v>0</v>
      </c>
      <c r="H550" s="23">
        <f t="shared" si="51"/>
        <v>0</v>
      </c>
      <c r="I550" s="23">
        <f t="shared" si="51"/>
        <v>0</v>
      </c>
      <c r="J550" s="19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1"/>
    </row>
    <row r="551" spans="1:22" ht="12.75" customHeight="1" x14ac:dyDescent="0.2">
      <c r="A551" s="48" t="s">
        <v>50</v>
      </c>
      <c r="B551" s="49" t="s">
        <v>21</v>
      </c>
      <c r="C551" s="49"/>
      <c r="D551" s="49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</row>
    <row r="552" spans="1:22" s="9" customFormat="1" ht="22.5" customHeight="1" x14ac:dyDescent="0.2">
      <c r="A552" s="48"/>
      <c r="B552" s="52" t="s">
        <v>460</v>
      </c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</row>
    <row r="553" spans="1:22" s="9" customFormat="1" ht="41.25" customHeight="1" x14ac:dyDescent="0.2">
      <c r="A553" s="48"/>
      <c r="B553" s="50" t="s">
        <v>480</v>
      </c>
      <c r="C553" s="50" t="s">
        <v>480</v>
      </c>
      <c r="D553" s="50"/>
      <c r="E553" s="50"/>
      <c r="F553" s="50"/>
      <c r="G553" s="50"/>
      <c r="H553" s="50"/>
      <c r="I553" s="50"/>
      <c r="J553" s="53" t="s">
        <v>60</v>
      </c>
      <c r="K553" s="53" t="s">
        <v>60</v>
      </c>
      <c r="L553" s="53" t="s">
        <v>72</v>
      </c>
      <c r="M553" s="53" t="s">
        <v>496</v>
      </c>
      <c r="N553" s="53" t="s">
        <v>202</v>
      </c>
      <c r="O553" s="53" t="s">
        <v>497</v>
      </c>
      <c r="P553" s="53" t="s">
        <v>497</v>
      </c>
      <c r="Q553" s="57" t="s">
        <v>498</v>
      </c>
      <c r="R553" s="53" t="s">
        <v>9</v>
      </c>
      <c r="S553" s="53" t="s">
        <v>203</v>
      </c>
      <c r="T553" s="53" t="s">
        <v>18</v>
      </c>
      <c r="U553" s="53"/>
      <c r="V553" s="53"/>
    </row>
    <row r="554" spans="1:22" s="9" customFormat="1" x14ac:dyDescent="0.2">
      <c r="A554" s="48"/>
      <c r="B554" s="51" t="s">
        <v>5</v>
      </c>
      <c r="C554" s="51" t="s">
        <v>5</v>
      </c>
      <c r="D554" s="24">
        <f>SUM(D555:D558)</f>
        <v>12240</v>
      </c>
      <c r="E554" s="25">
        <f>SUM(E555:E558)</f>
        <v>12240</v>
      </c>
      <c r="F554" s="25"/>
      <c r="G554" s="25"/>
      <c r="H554" s="25"/>
      <c r="I554" s="25"/>
      <c r="J554" s="53"/>
      <c r="K554" s="53"/>
      <c r="L554" s="53"/>
      <c r="M554" s="53"/>
      <c r="N554" s="53"/>
      <c r="O554" s="53"/>
      <c r="P554" s="53"/>
      <c r="Q554" s="57"/>
      <c r="R554" s="53"/>
      <c r="S554" s="53"/>
      <c r="T554" s="53"/>
      <c r="U554" s="53"/>
      <c r="V554" s="53"/>
    </row>
    <row r="555" spans="1:22" s="9" customFormat="1" x14ac:dyDescent="0.2">
      <c r="A555" s="48"/>
      <c r="B555" s="51" t="s">
        <v>0</v>
      </c>
      <c r="C555" s="51" t="s">
        <v>0</v>
      </c>
      <c r="D555" s="24">
        <f>E555+F555+G555+H555+I555</f>
        <v>0</v>
      </c>
      <c r="E555" s="25"/>
      <c r="F555" s="25"/>
      <c r="G555" s="25"/>
      <c r="H555" s="25"/>
      <c r="I555" s="25"/>
      <c r="J555" s="53"/>
      <c r="K555" s="53"/>
      <c r="L555" s="53"/>
      <c r="M555" s="53"/>
      <c r="N555" s="53"/>
      <c r="O555" s="53"/>
      <c r="P555" s="53"/>
      <c r="Q555" s="57"/>
      <c r="R555" s="53"/>
      <c r="S555" s="53"/>
      <c r="T555" s="53"/>
      <c r="U555" s="53"/>
      <c r="V555" s="53"/>
    </row>
    <row r="556" spans="1:22" s="9" customFormat="1" x14ac:dyDescent="0.2">
      <c r="A556" s="48"/>
      <c r="B556" s="51" t="s">
        <v>1</v>
      </c>
      <c r="C556" s="51" t="s">
        <v>1</v>
      </c>
      <c r="D556" s="24">
        <f>E556+F556+G556+H556+I556</f>
        <v>12000</v>
      </c>
      <c r="E556" s="25">
        <v>12000</v>
      </c>
      <c r="F556" s="25"/>
      <c r="G556" s="25"/>
      <c r="H556" s="25"/>
      <c r="I556" s="25"/>
      <c r="J556" s="53"/>
      <c r="K556" s="53"/>
      <c r="L556" s="53"/>
      <c r="M556" s="53"/>
      <c r="N556" s="53"/>
      <c r="O556" s="53"/>
      <c r="P556" s="53"/>
      <c r="Q556" s="57"/>
      <c r="R556" s="53"/>
      <c r="S556" s="53"/>
      <c r="T556" s="53"/>
      <c r="U556" s="53"/>
      <c r="V556" s="53"/>
    </row>
    <row r="557" spans="1:22" s="9" customFormat="1" x14ac:dyDescent="0.2">
      <c r="A557" s="48"/>
      <c r="B557" s="51" t="s">
        <v>2</v>
      </c>
      <c r="C557" s="51" t="s">
        <v>2</v>
      </c>
      <c r="D557" s="24">
        <f>E557+F557+G557+H557+I557</f>
        <v>240</v>
      </c>
      <c r="E557" s="25">
        <v>240</v>
      </c>
      <c r="F557" s="25"/>
      <c r="G557" s="25"/>
      <c r="H557" s="25"/>
      <c r="I557" s="25"/>
      <c r="J557" s="53"/>
      <c r="K557" s="53"/>
      <c r="L557" s="53"/>
      <c r="M557" s="53"/>
      <c r="N557" s="53"/>
      <c r="O557" s="53"/>
      <c r="P557" s="53"/>
      <c r="Q557" s="57"/>
      <c r="R557" s="53"/>
      <c r="S557" s="53"/>
      <c r="T557" s="53"/>
      <c r="U557" s="53"/>
      <c r="V557" s="53"/>
    </row>
    <row r="558" spans="1:22" s="9" customFormat="1" ht="21.75" customHeight="1" x14ac:dyDescent="0.2">
      <c r="A558" s="48"/>
      <c r="B558" s="51" t="s">
        <v>3</v>
      </c>
      <c r="C558" s="51" t="s">
        <v>3</v>
      </c>
      <c r="D558" s="24">
        <f>E558+F558+G558+H558+I558</f>
        <v>0</v>
      </c>
      <c r="E558" s="25"/>
      <c r="F558" s="25"/>
      <c r="G558" s="25"/>
      <c r="H558" s="25"/>
      <c r="I558" s="25"/>
      <c r="J558" s="53"/>
      <c r="K558" s="53"/>
      <c r="L558" s="53"/>
      <c r="M558" s="53"/>
      <c r="N558" s="53"/>
      <c r="O558" s="53"/>
      <c r="P558" s="53"/>
      <c r="Q558" s="57"/>
      <c r="R558" s="53"/>
      <c r="S558" s="53"/>
      <c r="T558" s="53"/>
      <c r="U558" s="53"/>
      <c r="V558" s="53"/>
    </row>
    <row r="559" spans="1:22" ht="12.75" customHeight="1" x14ac:dyDescent="0.2">
      <c r="A559" s="48" t="s">
        <v>51</v>
      </c>
      <c r="B559" s="49" t="s">
        <v>21</v>
      </c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</row>
    <row r="560" spans="1:22" s="9" customFormat="1" ht="23.25" customHeight="1" x14ac:dyDescent="0.2">
      <c r="A560" s="48"/>
      <c r="B560" s="52" t="s">
        <v>460</v>
      </c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</row>
    <row r="561" spans="1:22" s="9" customFormat="1" ht="45" customHeight="1" x14ac:dyDescent="0.2">
      <c r="A561" s="48"/>
      <c r="B561" s="50" t="s">
        <v>698</v>
      </c>
      <c r="C561" s="50" t="s">
        <v>486</v>
      </c>
      <c r="D561" s="50"/>
      <c r="E561" s="50"/>
      <c r="F561" s="50"/>
      <c r="G561" s="50"/>
      <c r="H561" s="50"/>
      <c r="I561" s="50"/>
      <c r="J561" s="53" t="s">
        <v>60</v>
      </c>
      <c r="K561" s="53" t="s">
        <v>60</v>
      </c>
      <c r="L561" s="53" t="s">
        <v>72</v>
      </c>
      <c r="M561" s="53" t="s">
        <v>499</v>
      </c>
      <c r="N561" s="53" t="s">
        <v>493</v>
      </c>
      <c r="O561" s="53" t="s">
        <v>500</v>
      </c>
      <c r="P561" s="53" t="s">
        <v>500</v>
      </c>
      <c r="Q561" s="57" t="s">
        <v>501</v>
      </c>
      <c r="R561" s="53" t="s">
        <v>9</v>
      </c>
      <c r="S561" s="53" t="s">
        <v>203</v>
      </c>
      <c r="T561" s="53" t="s">
        <v>18</v>
      </c>
      <c r="U561" s="53"/>
      <c r="V561" s="53"/>
    </row>
    <row r="562" spans="1:22" s="9" customFormat="1" x14ac:dyDescent="0.2">
      <c r="A562" s="48"/>
      <c r="B562" s="51" t="s">
        <v>5</v>
      </c>
      <c r="C562" s="51" t="s">
        <v>5</v>
      </c>
      <c r="D562" s="24">
        <f>SUM(D563:D566)</f>
        <v>17266.560000000001</v>
      </c>
      <c r="E562" s="25">
        <f>SUM(E563:E566)</f>
        <v>17266.560000000001</v>
      </c>
      <c r="F562" s="25"/>
      <c r="G562" s="25"/>
      <c r="H562" s="25"/>
      <c r="I562" s="25"/>
      <c r="J562" s="53"/>
      <c r="K562" s="53"/>
      <c r="L562" s="53"/>
      <c r="M562" s="53"/>
      <c r="N562" s="53"/>
      <c r="O562" s="53"/>
      <c r="P562" s="53"/>
      <c r="Q562" s="57"/>
      <c r="R562" s="53"/>
      <c r="S562" s="53"/>
      <c r="T562" s="53"/>
      <c r="U562" s="53"/>
      <c r="V562" s="53"/>
    </row>
    <row r="563" spans="1:22" s="9" customFormat="1" x14ac:dyDescent="0.2">
      <c r="A563" s="48"/>
      <c r="B563" s="51" t="s">
        <v>0</v>
      </c>
      <c r="C563" s="51" t="s">
        <v>0</v>
      </c>
      <c r="D563" s="24">
        <f>E563+F563+G563+H563+I563</f>
        <v>0</v>
      </c>
      <c r="E563" s="25"/>
      <c r="F563" s="25"/>
      <c r="G563" s="25"/>
      <c r="H563" s="25"/>
      <c r="I563" s="25"/>
      <c r="J563" s="53"/>
      <c r="K563" s="53"/>
      <c r="L563" s="53"/>
      <c r="M563" s="53"/>
      <c r="N563" s="53"/>
      <c r="O563" s="53"/>
      <c r="P563" s="53"/>
      <c r="Q563" s="57"/>
      <c r="R563" s="53"/>
      <c r="S563" s="53"/>
      <c r="T563" s="53"/>
      <c r="U563" s="53"/>
      <c r="V563" s="53"/>
    </row>
    <row r="564" spans="1:22" s="9" customFormat="1" x14ac:dyDescent="0.2">
      <c r="A564" s="48"/>
      <c r="B564" s="51" t="s">
        <v>1</v>
      </c>
      <c r="C564" s="51" t="s">
        <v>1</v>
      </c>
      <c r="D564" s="24">
        <f>E564+F564+G564+H564+I564</f>
        <v>16928</v>
      </c>
      <c r="E564" s="25">
        <v>16928</v>
      </c>
      <c r="F564" s="25"/>
      <c r="G564" s="25"/>
      <c r="H564" s="25"/>
      <c r="I564" s="25"/>
      <c r="J564" s="53"/>
      <c r="K564" s="53"/>
      <c r="L564" s="53"/>
      <c r="M564" s="53"/>
      <c r="N564" s="53"/>
      <c r="O564" s="53"/>
      <c r="P564" s="53"/>
      <c r="Q564" s="57"/>
      <c r="R564" s="53"/>
      <c r="S564" s="53"/>
      <c r="T564" s="53"/>
      <c r="U564" s="53"/>
      <c r="V564" s="53"/>
    </row>
    <row r="565" spans="1:22" s="9" customFormat="1" x14ac:dyDescent="0.2">
      <c r="A565" s="48"/>
      <c r="B565" s="51" t="s">
        <v>2</v>
      </c>
      <c r="C565" s="51" t="s">
        <v>2</v>
      </c>
      <c r="D565" s="24">
        <f>E565+F565+G565+H565+I565</f>
        <v>338.56</v>
      </c>
      <c r="E565" s="25">
        <v>338.56</v>
      </c>
      <c r="F565" s="25"/>
      <c r="G565" s="25"/>
      <c r="H565" s="25"/>
      <c r="I565" s="25"/>
      <c r="J565" s="53"/>
      <c r="K565" s="53"/>
      <c r="L565" s="53"/>
      <c r="M565" s="53"/>
      <c r="N565" s="53"/>
      <c r="O565" s="53"/>
      <c r="P565" s="53"/>
      <c r="Q565" s="57"/>
      <c r="R565" s="53"/>
      <c r="S565" s="53"/>
      <c r="T565" s="53"/>
      <c r="U565" s="53"/>
      <c r="V565" s="53"/>
    </row>
    <row r="566" spans="1:22" s="9" customFormat="1" ht="21.75" customHeight="1" x14ac:dyDescent="0.2">
      <c r="A566" s="48"/>
      <c r="B566" s="51" t="s">
        <v>3</v>
      </c>
      <c r="C566" s="51" t="s">
        <v>3</v>
      </c>
      <c r="D566" s="24">
        <f>E566+F566+G566+H566+I566</f>
        <v>0</v>
      </c>
      <c r="E566" s="25"/>
      <c r="F566" s="25"/>
      <c r="G566" s="25"/>
      <c r="H566" s="25"/>
      <c r="I566" s="25"/>
      <c r="J566" s="53"/>
      <c r="K566" s="53"/>
      <c r="L566" s="53"/>
      <c r="M566" s="53"/>
      <c r="N566" s="53"/>
      <c r="O566" s="53"/>
      <c r="P566" s="53"/>
      <c r="Q566" s="57"/>
      <c r="R566" s="53"/>
      <c r="S566" s="53"/>
      <c r="T566" s="53"/>
      <c r="U566" s="53"/>
      <c r="V566" s="53"/>
    </row>
    <row r="567" spans="1:22" ht="12.75" customHeight="1" x14ac:dyDescent="0.2">
      <c r="A567" s="48" t="s">
        <v>139</v>
      </c>
      <c r="B567" s="49" t="s">
        <v>21</v>
      </c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</row>
    <row r="568" spans="1:22" s="9" customFormat="1" ht="24" customHeight="1" x14ac:dyDescent="0.2">
      <c r="A568" s="48"/>
      <c r="B568" s="52" t="s">
        <v>460</v>
      </c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</row>
    <row r="569" spans="1:22" s="9" customFormat="1" ht="42" customHeight="1" x14ac:dyDescent="0.2">
      <c r="A569" s="48"/>
      <c r="B569" s="50" t="s">
        <v>481</v>
      </c>
      <c r="C569" s="50" t="s">
        <v>481</v>
      </c>
      <c r="D569" s="50"/>
      <c r="E569" s="50"/>
      <c r="F569" s="50"/>
      <c r="G569" s="50"/>
      <c r="H569" s="50"/>
      <c r="I569" s="50"/>
      <c r="J569" s="53" t="s">
        <v>60</v>
      </c>
      <c r="K569" s="53" t="s">
        <v>60</v>
      </c>
      <c r="L569" s="53" t="s">
        <v>72</v>
      </c>
      <c r="M569" s="53" t="s">
        <v>499</v>
      </c>
      <c r="N569" s="53" t="s">
        <v>493</v>
      </c>
      <c r="O569" s="53" t="s">
        <v>500</v>
      </c>
      <c r="P569" s="53" t="s">
        <v>500</v>
      </c>
      <c r="Q569" s="57" t="s">
        <v>502</v>
      </c>
      <c r="R569" s="53" t="s">
        <v>9</v>
      </c>
      <c r="S569" s="53" t="s">
        <v>203</v>
      </c>
      <c r="T569" s="53" t="s">
        <v>18</v>
      </c>
      <c r="U569" s="53"/>
      <c r="V569" s="53"/>
    </row>
    <row r="570" spans="1:22" s="9" customFormat="1" x14ac:dyDescent="0.2">
      <c r="A570" s="48"/>
      <c r="B570" s="51" t="s">
        <v>5</v>
      </c>
      <c r="C570" s="51" t="s">
        <v>5</v>
      </c>
      <c r="D570" s="24">
        <f>SUM(D571:D574)</f>
        <v>4216.3040199999996</v>
      </c>
      <c r="E570" s="25">
        <f>SUM(E571:E574)</f>
        <v>4216.3040199999996</v>
      </c>
      <c r="F570" s="25"/>
      <c r="G570" s="25"/>
      <c r="H570" s="25"/>
      <c r="I570" s="25"/>
      <c r="J570" s="53"/>
      <c r="K570" s="53"/>
      <c r="L570" s="53"/>
      <c r="M570" s="53"/>
      <c r="N570" s="53"/>
      <c r="O570" s="53"/>
      <c r="P570" s="53"/>
      <c r="Q570" s="57"/>
      <c r="R570" s="53"/>
      <c r="S570" s="53"/>
      <c r="T570" s="53"/>
      <c r="U570" s="53"/>
      <c r="V570" s="53"/>
    </row>
    <row r="571" spans="1:22" s="9" customFormat="1" x14ac:dyDescent="0.2">
      <c r="A571" s="48"/>
      <c r="B571" s="51" t="s">
        <v>0</v>
      </c>
      <c r="C571" s="51" t="s">
        <v>0</v>
      </c>
      <c r="D571" s="24">
        <f>E571+F571+G571+H571+I571</f>
        <v>0</v>
      </c>
      <c r="E571" s="25"/>
      <c r="F571" s="25"/>
      <c r="G571" s="25"/>
      <c r="H571" s="25"/>
      <c r="I571" s="25"/>
      <c r="J571" s="53"/>
      <c r="K571" s="53"/>
      <c r="L571" s="53"/>
      <c r="M571" s="53"/>
      <c r="N571" s="53"/>
      <c r="O571" s="53"/>
      <c r="P571" s="53"/>
      <c r="Q571" s="57"/>
      <c r="R571" s="53"/>
      <c r="S571" s="53"/>
      <c r="T571" s="53"/>
      <c r="U571" s="53"/>
      <c r="V571" s="53"/>
    </row>
    <row r="572" spans="1:22" s="9" customFormat="1" x14ac:dyDescent="0.2">
      <c r="A572" s="48"/>
      <c r="B572" s="51" t="s">
        <v>1</v>
      </c>
      <c r="C572" s="51" t="s">
        <v>1</v>
      </c>
      <c r="D572" s="24">
        <f>E572+F572+G572+H572+I572</f>
        <v>4088.32402</v>
      </c>
      <c r="E572" s="25">
        <f>6399-2310.67598</f>
        <v>4088.32402</v>
      </c>
      <c r="F572" s="25"/>
      <c r="G572" s="25"/>
      <c r="H572" s="25"/>
      <c r="I572" s="25"/>
      <c r="J572" s="53"/>
      <c r="K572" s="53"/>
      <c r="L572" s="53"/>
      <c r="M572" s="53"/>
      <c r="N572" s="53"/>
      <c r="O572" s="53"/>
      <c r="P572" s="53"/>
      <c r="Q572" s="57"/>
      <c r="R572" s="53"/>
      <c r="S572" s="53"/>
      <c r="T572" s="53"/>
      <c r="U572" s="53"/>
      <c r="V572" s="53"/>
    </row>
    <row r="573" spans="1:22" s="9" customFormat="1" x14ac:dyDescent="0.2">
      <c r="A573" s="48"/>
      <c r="B573" s="51" t="s">
        <v>2</v>
      </c>
      <c r="C573" s="51" t="s">
        <v>2</v>
      </c>
      <c r="D573" s="24">
        <f>E573+F573+G573+H573+I573</f>
        <v>127.98</v>
      </c>
      <c r="E573" s="25">
        <v>127.98</v>
      </c>
      <c r="F573" s="25"/>
      <c r="G573" s="25"/>
      <c r="H573" s="25"/>
      <c r="I573" s="25"/>
      <c r="J573" s="53"/>
      <c r="K573" s="53"/>
      <c r="L573" s="53"/>
      <c r="M573" s="53"/>
      <c r="N573" s="53"/>
      <c r="O573" s="53"/>
      <c r="P573" s="53"/>
      <c r="Q573" s="57"/>
      <c r="R573" s="53"/>
      <c r="S573" s="53"/>
      <c r="T573" s="53"/>
      <c r="U573" s="53"/>
      <c r="V573" s="53"/>
    </row>
    <row r="574" spans="1:22" s="9" customFormat="1" ht="21.75" customHeight="1" x14ac:dyDescent="0.2">
      <c r="A574" s="48"/>
      <c r="B574" s="51" t="s">
        <v>3</v>
      </c>
      <c r="C574" s="51" t="s">
        <v>3</v>
      </c>
      <c r="D574" s="24">
        <f>E574+F574+G574+H574+I574</f>
        <v>0</v>
      </c>
      <c r="E574" s="25"/>
      <c r="F574" s="25"/>
      <c r="G574" s="25"/>
      <c r="H574" s="25"/>
      <c r="I574" s="25"/>
      <c r="J574" s="53"/>
      <c r="K574" s="53"/>
      <c r="L574" s="53"/>
      <c r="M574" s="53"/>
      <c r="N574" s="53"/>
      <c r="O574" s="53"/>
      <c r="P574" s="53"/>
      <c r="Q574" s="57"/>
      <c r="R574" s="53"/>
      <c r="S574" s="53"/>
      <c r="T574" s="53"/>
      <c r="U574" s="53"/>
      <c r="V574" s="53"/>
    </row>
    <row r="575" spans="1:22" ht="12.75" customHeight="1" x14ac:dyDescent="0.2">
      <c r="A575" s="48" t="s">
        <v>144</v>
      </c>
      <c r="B575" s="49" t="s">
        <v>21</v>
      </c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</row>
    <row r="576" spans="1:22" s="9" customFormat="1" ht="22.5" customHeight="1" x14ac:dyDescent="0.2">
      <c r="A576" s="48"/>
      <c r="B576" s="52" t="s">
        <v>460</v>
      </c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</row>
    <row r="577" spans="1:22" s="9" customFormat="1" ht="47.25" customHeight="1" x14ac:dyDescent="0.2">
      <c r="A577" s="48"/>
      <c r="B577" s="50" t="s">
        <v>482</v>
      </c>
      <c r="C577" s="50" t="s">
        <v>482</v>
      </c>
      <c r="D577" s="50"/>
      <c r="E577" s="50"/>
      <c r="F577" s="50"/>
      <c r="G577" s="50"/>
      <c r="H577" s="50"/>
      <c r="I577" s="50"/>
      <c r="J577" s="53" t="s">
        <v>60</v>
      </c>
      <c r="K577" s="53" t="s">
        <v>60</v>
      </c>
      <c r="L577" s="53" t="s">
        <v>72</v>
      </c>
      <c r="M577" s="53" t="s">
        <v>503</v>
      </c>
      <c r="N577" s="53" t="s">
        <v>493</v>
      </c>
      <c r="O577" s="53" t="s">
        <v>500</v>
      </c>
      <c r="P577" s="53" t="s">
        <v>500</v>
      </c>
      <c r="Q577" s="57" t="s">
        <v>504</v>
      </c>
      <c r="R577" s="53" t="s">
        <v>9</v>
      </c>
      <c r="S577" s="53" t="s">
        <v>203</v>
      </c>
      <c r="T577" s="53" t="s">
        <v>18</v>
      </c>
      <c r="U577" s="53"/>
      <c r="V577" s="53"/>
    </row>
    <row r="578" spans="1:22" s="9" customFormat="1" x14ac:dyDescent="0.2">
      <c r="A578" s="48"/>
      <c r="B578" s="51" t="s">
        <v>5</v>
      </c>
      <c r="C578" s="51" t="s">
        <v>5</v>
      </c>
      <c r="D578" s="24">
        <f>SUM(D579:D582)</f>
        <v>32307.85598</v>
      </c>
      <c r="E578" s="25">
        <f>SUM(E579:E582)</f>
        <v>32307.85598</v>
      </c>
      <c r="F578" s="25"/>
      <c r="G578" s="25"/>
      <c r="H578" s="25"/>
      <c r="I578" s="25"/>
      <c r="J578" s="53"/>
      <c r="K578" s="53"/>
      <c r="L578" s="53"/>
      <c r="M578" s="53"/>
      <c r="N578" s="53"/>
      <c r="O578" s="53"/>
      <c r="P578" s="53"/>
      <c r="Q578" s="57"/>
      <c r="R578" s="53"/>
      <c r="S578" s="53"/>
      <c r="T578" s="53"/>
      <c r="U578" s="53"/>
      <c r="V578" s="53"/>
    </row>
    <row r="579" spans="1:22" s="9" customFormat="1" x14ac:dyDescent="0.2">
      <c r="A579" s="48"/>
      <c r="B579" s="51" t="s">
        <v>0</v>
      </c>
      <c r="C579" s="51" t="s">
        <v>0</v>
      </c>
      <c r="D579" s="24">
        <f>E579+F579+G579+H579+I579</f>
        <v>0</v>
      </c>
      <c r="E579" s="25"/>
      <c r="F579" s="25"/>
      <c r="G579" s="25"/>
      <c r="H579" s="25"/>
      <c r="I579" s="25"/>
      <c r="J579" s="53"/>
      <c r="K579" s="53"/>
      <c r="L579" s="53"/>
      <c r="M579" s="53"/>
      <c r="N579" s="53"/>
      <c r="O579" s="53"/>
      <c r="P579" s="53"/>
      <c r="Q579" s="57"/>
      <c r="R579" s="53"/>
      <c r="S579" s="53"/>
      <c r="T579" s="53"/>
      <c r="U579" s="53"/>
      <c r="V579" s="53"/>
    </row>
    <row r="580" spans="1:22" s="9" customFormat="1" x14ac:dyDescent="0.2">
      <c r="A580" s="48"/>
      <c r="B580" s="51" t="s">
        <v>1</v>
      </c>
      <c r="C580" s="51" t="s">
        <v>1</v>
      </c>
      <c r="D580" s="24">
        <f>E580+F580+G580+H580+I580</f>
        <v>31719.67598</v>
      </c>
      <c r="E580" s="25">
        <f>29409+2310.67598</f>
        <v>31719.67598</v>
      </c>
      <c r="F580" s="25"/>
      <c r="G580" s="25"/>
      <c r="H580" s="25"/>
      <c r="I580" s="25"/>
      <c r="J580" s="53"/>
      <c r="K580" s="53"/>
      <c r="L580" s="53"/>
      <c r="M580" s="53"/>
      <c r="N580" s="53"/>
      <c r="O580" s="53"/>
      <c r="P580" s="53"/>
      <c r="Q580" s="57"/>
      <c r="R580" s="53"/>
      <c r="S580" s="53"/>
      <c r="T580" s="53"/>
      <c r="U580" s="53"/>
      <c r="V580" s="53"/>
    </row>
    <row r="581" spans="1:22" s="9" customFormat="1" x14ac:dyDescent="0.2">
      <c r="A581" s="48"/>
      <c r="B581" s="51" t="s">
        <v>2</v>
      </c>
      <c r="C581" s="51" t="s">
        <v>2</v>
      </c>
      <c r="D581" s="24">
        <f>E581+F581+G581+H581+I581</f>
        <v>588.18000000000006</v>
      </c>
      <c r="E581" s="25">
        <v>588.18000000000006</v>
      </c>
      <c r="F581" s="25"/>
      <c r="G581" s="25"/>
      <c r="H581" s="25"/>
      <c r="I581" s="25"/>
      <c r="J581" s="53"/>
      <c r="K581" s="53"/>
      <c r="L581" s="53"/>
      <c r="M581" s="53"/>
      <c r="N581" s="53"/>
      <c r="O581" s="53"/>
      <c r="P581" s="53"/>
      <c r="Q581" s="57"/>
      <c r="R581" s="53"/>
      <c r="S581" s="53"/>
      <c r="T581" s="53"/>
      <c r="U581" s="53"/>
      <c r="V581" s="53"/>
    </row>
    <row r="582" spans="1:22" s="9" customFormat="1" ht="21.75" customHeight="1" x14ac:dyDescent="0.2">
      <c r="A582" s="48"/>
      <c r="B582" s="51" t="s">
        <v>3</v>
      </c>
      <c r="C582" s="51" t="s">
        <v>3</v>
      </c>
      <c r="D582" s="24">
        <f>E582+F582+G582+H582+I582</f>
        <v>0</v>
      </c>
      <c r="E582" s="25"/>
      <c r="F582" s="25"/>
      <c r="G582" s="25"/>
      <c r="H582" s="25"/>
      <c r="I582" s="25"/>
      <c r="J582" s="53"/>
      <c r="K582" s="53"/>
      <c r="L582" s="53"/>
      <c r="M582" s="53"/>
      <c r="N582" s="53"/>
      <c r="O582" s="53"/>
      <c r="P582" s="53"/>
      <c r="Q582" s="57"/>
      <c r="R582" s="53"/>
      <c r="S582" s="53"/>
      <c r="T582" s="53"/>
      <c r="U582" s="53"/>
      <c r="V582" s="53"/>
    </row>
    <row r="583" spans="1:22" ht="12.75" customHeight="1" x14ac:dyDescent="0.2">
      <c r="A583" s="48" t="s">
        <v>258</v>
      </c>
      <c r="B583" s="49" t="s">
        <v>21</v>
      </c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</row>
    <row r="584" spans="1:22" s="9" customFormat="1" ht="21.75" customHeight="1" x14ac:dyDescent="0.2">
      <c r="A584" s="48"/>
      <c r="B584" s="52" t="s">
        <v>460</v>
      </c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</row>
    <row r="585" spans="1:22" s="9" customFormat="1" ht="42" customHeight="1" x14ac:dyDescent="0.2">
      <c r="A585" s="48"/>
      <c r="B585" s="50" t="s">
        <v>492</v>
      </c>
      <c r="C585" s="50" t="s">
        <v>492</v>
      </c>
      <c r="D585" s="50"/>
      <c r="E585" s="50"/>
      <c r="F585" s="50"/>
      <c r="G585" s="50"/>
      <c r="H585" s="50"/>
      <c r="I585" s="50"/>
      <c r="J585" s="53" t="s">
        <v>60</v>
      </c>
      <c r="K585" s="53" t="s">
        <v>60</v>
      </c>
      <c r="L585" s="53" t="s">
        <v>72</v>
      </c>
      <c r="M585" s="53" t="s">
        <v>507</v>
      </c>
      <c r="N585" s="53" t="s">
        <v>494</v>
      </c>
      <c r="O585" s="53" t="s">
        <v>505</v>
      </c>
      <c r="P585" s="53" t="s">
        <v>505</v>
      </c>
      <c r="Q585" s="57" t="s">
        <v>506</v>
      </c>
      <c r="R585" s="53" t="s">
        <v>9</v>
      </c>
      <c r="S585" s="53" t="s">
        <v>494</v>
      </c>
      <c r="T585" s="53" t="s">
        <v>18</v>
      </c>
      <c r="U585" s="53"/>
      <c r="V585" s="53"/>
    </row>
    <row r="586" spans="1:22" s="9" customFormat="1" x14ac:dyDescent="0.2">
      <c r="A586" s="48"/>
      <c r="B586" s="51" t="s">
        <v>5</v>
      </c>
      <c r="C586" s="51" t="s">
        <v>5</v>
      </c>
      <c r="D586" s="24">
        <f>SUM(D587:D590)</f>
        <v>8849.9241299999994</v>
      </c>
      <c r="E586" s="25">
        <f>SUM(E587:E590)</f>
        <v>8849.9241299999994</v>
      </c>
      <c r="F586" s="25"/>
      <c r="G586" s="25"/>
      <c r="H586" s="25"/>
      <c r="I586" s="25"/>
      <c r="J586" s="53"/>
      <c r="K586" s="53"/>
      <c r="L586" s="53"/>
      <c r="M586" s="53"/>
      <c r="N586" s="53"/>
      <c r="O586" s="53"/>
      <c r="P586" s="53"/>
      <c r="Q586" s="57"/>
      <c r="R586" s="53"/>
      <c r="S586" s="53"/>
      <c r="T586" s="53"/>
      <c r="U586" s="53"/>
      <c r="V586" s="53"/>
    </row>
    <row r="587" spans="1:22" s="9" customFormat="1" x14ac:dyDescent="0.2">
      <c r="A587" s="48"/>
      <c r="B587" s="51" t="s">
        <v>0</v>
      </c>
      <c r="C587" s="51" t="s">
        <v>0</v>
      </c>
      <c r="D587" s="24">
        <f>E587+F587+G587+H587+I587</f>
        <v>0</v>
      </c>
      <c r="E587" s="25"/>
      <c r="F587" s="25"/>
      <c r="G587" s="25"/>
      <c r="H587" s="25"/>
      <c r="I587" s="25"/>
      <c r="J587" s="53"/>
      <c r="K587" s="53"/>
      <c r="L587" s="53"/>
      <c r="M587" s="53"/>
      <c r="N587" s="53"/>
      <c r="O587" s="53"/>
      <c r="P587" s="53"/>
      <c r="Q587" s="57"/>
      <c r="R587" s="53"/>
      <c r="S587" s="53"/>
      <c r="T587" s="53"/>
      <c r="U587" s="53"/>
      <c r="V587" s="53"/>
    </row>
    <row r="588" spans="1:22" s="9" customFormat="1" x14ac:dyDescent="0.2">
      <c r="A588" s="48"/>
      <c r="B588" s="51" t="s">
        <v>1</v>
      </c>
      <c r="C588" s="51" t="s">
        <v>1</v>
      </c>
      <c r="D588" s="24">
        <f>E588+F588+G588+H588+I588</f>
        <v>8718.8441299999995</v>
      </c>
      <c r="E588" s="25">
        <f>6554+2164.84413</f>
        <v>8718.8441299999995</v>
      </c>
      <c r="F588" s="25"/>
      <c r="G588" s="25"/>
      <c r="H588" s="25"/>
      <c r="I588" s="25"/>
      <c r="J588" s="53"/>
      <c r="K588" s="53"/>
      <c r="L588" s="53"/>
      <c r="M588" s="53"/>
      <c r="N588" s="53"/>
      <c r="O588" s="53"/>
      <c r="P588" s="53"/>
      <c r="Q588" s="57"/>
      <c r="R588" s="53"/>
      <c r="S588" s="53"/>
      <c r="T588" s="53"/>
      <c r="U588" s="53"/>
      <c r="V588" s="53"/>
    </row>
    <row r="589" spans="1:22" s="9" customFormat="1" x14ac:dyDescent="0.2">
      <c r="A589" s="48"/>
      <c r="B589" s="51" t="s">
        <v>2</v>
      </c>
      <c r="C589" s="51" t="s">
        <v>2</v>
      </c>
      <c r="D589" s="24">
        <f>E589+F589+G589+H589+I589</f>
        <v>131.08000000000001</v>
      </c>
      <c r="E589" s="25">
        <v>131.08000000000001</v>
      </c>
      <c r="F589" s="25"/>
      <c r="G589" s="25"/>
      <c r="H589" s="25"/>
      <c r="I589" s="25"/>
      <c r="J589" s="53"/>
      <c r="K589" s="53"/>
      <c r="L589" s="53"/>
      <c r="M589" s="53"/>
      <c r="N589" s="53"/>
      <c r="O589" s="53"/>
      <c r="P589" s="53"/>
      <c r="Q589" s="57"/>
      <c r="R589" s="53"/>
      <c r="S589" s="53"/>
      <c r="T589" s="53"/>
      <c r="U589" s="53"/>
      <c r="V589" s="53"/>
    </row>
    <row r="590" spans="1:22" s="9" customFormat="1" ht="21.75" customHeight="1" x14ac:dyDescent="0.2">
      <c r="A590" s="48"/>
      <c r="B590" s="51" t="s">
        <v>3</v>
      </c>
      <c r="C590" s="51" t="s">
        <v>3</v>
      </c>
      <c r="D590" s="24">
        <f>E590+F590+G590+H590+I590</f>
        <v>0</v>
      </c>
      <c r="E590" s="25"/>
      <c r="F590" s="25"/>
      <c r="G590" s="25"/>
      <c r="H590" s="25"/>
      <c r="I590" s="25"/>
      <c r="J590" s="53"/>
      <c r="K590" s="53"/>
      <c r="L590" s="53"/>
      <c r="M590" s="53"/>
      <c r="N590" s="53"/>
      <c r="O590" s="53"/>
      <c r="P590" s="53"/>
      <c r="Q590" s="57"/>
      <c r="R590" s="53"/>
      <c r="S590" s="53"/>
      <c r="T590" s="53"/>
      <c r="U590" s="53"/>
      <c r="V590" s="53"/>
    </row>
    <row r="591" spans="1:22" s="9" customFormat="1" ht="12.75" customHeight="1" x14ac:dyDescent="0.2">
      <c r="A591" s="48" t="s">
        <v>259</v>
      </c>
      <c r="B591" s="49" t="s">
        <v>21</v>
      </c>
      <c r="C591" s="49"/>
      <c r="D591" s="49"/>
      <c r="E591" s="49"/>
      <c r="F591" s="49"/>
      <c r="G591" s="49"/>
      <c r="H591" s="49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</row>
    <row r="592" spans="1:22" s="9" customFormat="1" ht="22.5" customHeight="1" x14ac:dyDescent="0.2">
      <c r="A592" s="48"/>
      <c r="B592" s="52" t="s">
        <v>460</v>
      </c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</row>
    <row r="593" spans="1:22" s="9" customFormat="1" ht="42" customHeight="1" x14ac:dyDescent="0.2">
      <c r="A593" s="48"/>
      <c r="B593" s="50" t="s">
        <v>479</v>
      </c>
      <c r="C593" s="50" t="s">
        <v>479</v>
      </c>
      <c r="D593" s="50"/>
      <c r="E593" s="50"/>
      <c r="F593" s="50"/>
      <c r="G593" s="50"/>
      <c r="H593" s="50"/>
      <c r="I593" s="50"/>
      <c r="J593" s="53" t="s">
        <v>508</v>
      </c>
      <c r="K593" s="53" t="s">
        <v>509</v>
      </c>
      <c r="L593" s="53" t="s">
        <v>71</v>
      </c>
      <c r="M593" s="53" t="s">
        <v>510</v>
      </c>
      <c r="N593" s="53" t="s">
        <v>495</v>
      </c>
      <c r="O593" s="53" t="s">
        <v>206</v>
      </c>
      <c r="P593" s="53" t="s">
        <v>206</v>
      </c>
      <c r="Q593" s="57" t="s">
        <v>511</v>
      </c>
      <c r="R593" s="53" t="s">
        <v>9</v>
      </c>
      <c r="S593" s="53" t="s">
        <v>495</v>
      </c>
      <c r="T593" s="53" t="s">
        <v>18</v>
      </c>
      <c r="U593" s="53"/>
      <c r="V593" s="53" t="s">
        <v>213</v>
      </c>
    </row>
    <row r="594" spans="1:22" s="9" customFormat="1" x14ac:dyDescent="0.2">
      <c r="A594" s="48"/>
      <c r="B594" s="51" t="s">
        <v>5</v>
      </c>
      <c r="C594" s="51" t="s">
        <v>5</v>
      </c>
      <c r="D594" s="24">
        <f>SUM(D595:D598)</f>
        <v>980.00342999999998</v>
      </c>
      <c r="E594" s="25">
        <f>SUM(E595:E598)</f>
        <v>980.00342999999998</v>
      </c>
      <c r="F594" s="25"/>
      <c r="G594" s="25"/>
      <c r="H594" s="25"/>
      <c r="I594" s="25"/>
      <c r="J594" s="53"/>
      <c r="K594" s="53"/>
      <c r="L594" s="53"/>
      <c r="M594" s="53"/>
      <c r="N594" s="53"/>
      <c r="O594" s="53"/>
      <c r="P594" s="53"/>
      <c r="Q594" s="57"/>
      <c r="R594" s="53"/>
      <c r="S594" s="53"/>
      <c r="T594" s="53"/>
      <c r="U594" s="53"/>
      <c r="V594" s="53"/>
    </row>
    <row r="595" spans="1:22" s="9" customFormat="1" x14ac:dyDescent="0.2">
      <c r="A595" s="48"/>
      <c r="B595" s="51" t="s">
        <v>0</v>
      </c>
      <c r="C595" s="51" t="s">
        <v>0</v>
      </c>
      <c r="D595" s="24">
        <f>E595+F595+G595+H595+I595</f>
        <v>0</v>
      </c>
      <c r="E595" s="25"/>
      <c r="F595" s="25"/>
      <c r="G595" s="25"/>
      <c r="H595" s="25"/>
      <c r="I595" s="25"/>
      <c r="J595" s="53"/>
      <c r="K595" s="53"/>
      <c r="L595" s="53"/>
      <c r="M595" s="53"/>
      <c r="N595" s="53"/>
      <c r="O595" s="53"/>
      <c r="P595" s="53"/>
      <c r="Q595" s="57"/>
      <c r="R595" s="53"/>
      <c r="S595" s="53"/>
      <c r="T595" s="53"/>
      <c r="U595" s="53"/>
      <c r="V595" s="53"/>
    </row>
    <row r="596" spans="1:22" s="9" customFormat="1" x14ac:dyDescent="0.2">
      <c r="A596" s="48"/>
      <c r="B596" s="51" t="s">
        <v>1</v>
      </c>
      <c r="C596" s="51" t="s">
        <v>1</v>
      </c>
      <c r="D596" s="24">
        <f>E596+F596+G596+H596+I596</f>
        <v>960.78768000000002</v>
      </c>
      <c r="E596" s="25">
        <v>960.78768000000002</v>
      </c>
      <c r="F596" s="25"/>
      <c r="G596" s="25"/>
      <c r="H596" s="25"/>
      <c r="I596" s="25"/>
      <c r="J596" s="53"/>
      <c r="K596" s="53"/>
      <c r="L596" s="53"/>
      <c r="M596" s="53"/>
      <c r="N596" s="53"/>
      <c r="O596" s="53"/>
      <c r="P596" s="53"/>
      <c r="Q596" s="57"/>
      <c r="R596" s="53"/>
      <c r="S596" s="53"/>
      <c r="T596" s="53"/>
      <c r="U596" s="53"/>
      <c r="V596" s="53"/>
    </row>
    <row r="597" spans="1:22" s="9" customFormat="1" x14ac:dyDescent="0.2">
      <c r="A597" s="48"/>
      <c r="B597" s="51" t="s">
        <v>2</v>
      </c>
      <c r="C597" s="51" t="s">
        <v>2</v>
      </c>
      <c r="D597" s="24">
        <f>E597+F597+G597+H597+I597</f>
        <v>19.21575</v>
      </c>
      <c r="E597" s="25">
        <v>19.21575</v>
      </c>
      <c r="F597" s="25"/>
      <c r="G597" s="25"/>
      <c r="H597" s="25"/>
      <c r="I597" s="25"/>
      <c r="J597" s="53"/>
      <c r="K597" s="53"/>
      <c r="L597" s="53"/>
      <c r="M597" s="53"/>
      <c r="N597" s="53"/>
      <c r="O597" s="53"/>
      <c r="P597" s="53"/>
      <c r="Q597" s="57"/>
      <c r="R597" s="53"/>
      <c r="S597" s="53"/>
      <c r="T597" s="53"/>
      <c r="U597" s="53"/>
      <c r="V597" s="53"/>
    </row>
    <row r="598" spans="1:22" s="9" customFormat="1" ht="21.75" customHeight="1" x14ac:dyDescent="0.2">
      <c r="A598" s="48"/>
      <c r="B598" s="51" t="s">
        <v>3</v>
      </c>
      <c r="C598" s="51" t="s">
        <v>3</v>
      </c>
      <c r="D598" s="24">
        <f>E598+F598+G598+H598+I598</f>
        <v>0</v>
      </c>
      <c r="E598" s="25"/>
      <c r="F598" s="25"/>
      <c r="G598" s="25"/>
      <c r="H598" s="25"/>
      <c r="I598" s="25"/>
      <c r="J598" s="53"/>
      <c r="K598" s="53"/>
      <c r="L598" s="53"/>
      <c r="M598" s="53"/>
      <c r="N598" s="53"/>
      <c r="O598" s="53"/>
      <c r="P598" s="53"/>
      <c r="Q598" s="57"/>
      <c r="R598" s="53"/>
      <c r="S598" s="53"/>
      <c r="T598" s="53"/>
      <c r="U598" s="53"/>
      <c r="V598" s="53"/>
    </row>
    <row r="599" spans="1:22" s="9" customFormat="1" ht="12.75" customHeight="1" x14ac:dyDescent="0.2">
      <c r="A599" s="48" t="s">
        <v>260</v>
      </c>
      <c r="B599" s="49" t="s">
        <v>21</v>
      </c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</row>
    <row r="600" spans="1:22" s="9" customFormat="1" x14ac:dyDescent="0.2">
      <c r="A600" s="48"/>
      <c r="B600" s="52" t="s">
        <v>461</v>
      </c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</row>
    <row r="601" spans="1:22" s="9" customFormat="1" ht="42.75" customHeight="1" x14ac:dyDescent="0.2">
      <c r="A601" s="48"/>
      <c r="B601" s="50" t="s">
        <v>210</v>
      </c>
      <c r="C601" s="50" t="s">
        <v>210</v>
      </c>
      <c r="D601" s="50"/>
      <c r="E601" s="50"/>
      <c r="F601" s="50"/>
      <c r="G601" s="50"/>
      <c r="H601" s="50"/>
      <c r="I601" s="50"/>
      <c r="J601" s="53" t="s">
        <v>174</v>
      </c>
      <c r="K601" s="53" t="s">
        <v>60</v>
      </c>
      <c r="L601" s="53" t="s">
        <v>71</v>
      </c>
      <c r="M601" s="53" t="s">
        <v>209</v>
      </c>
      <c r="N601" s="53" t="s">
        <v>211</v>
      </c>
      <c r="O601" s="53" t="s">
        <v>212</v>
      </c>
      <c r="P601" s="53" t="s">
        <v>212</v>
      </c>
      <c r="Q601" s="57" t="s">
        <v>319</v>
      </c>
      <c r="R601" s="53" t="s">
        <v>9</v>
      </c>
      <c r="S601" s="53" t="s">
        <v>211</v>
      </c>
      <c r="T601" s="53" t="s">
        <v>18</v>
      </c>
      <c r="U601" s="53"/>
      <c r="V601" s="53"/>
    </row>
    <row r="602" spans="1:22" s="9" customFormat="1" x14ac:dyDescent="0.2">
      <c r="A602" s="48"/>
      <c r="B602" s="51" t="s">
        <v>5</v>
      </c>
      <c r="C602" s="51" t="s">
        <v>5</v>
      </c>
      <c r="D602" s="24">
        <f>SUM(D603:D606)</f>
        <v>70140.280561122243</v>
      </c>
      <c r="E602" s="25">
        <f>SUM(E603:E606)</f>
        <v>10020.040080160321</v>
      </c>
      <c r="F602" s="25">
        <f>SUM(F603:F606)</f>
        <v>50100.200400801601</v>
      </c>
      <c r="G602" s="25">
        <f>SUM(G603:G606)</f>
        <v>10020.040080160321</v>
      </c>
      <c r="H602" s="25"/>
      <c r="I602" s="25"/>
      <c r="J602" s="53"/>
      <c r="K602" s="53"/>
      <c r="L602" s="53"/>
      <c r="M602" s="53"/>
      <c r="N602" s="53"/>
      <c r="O602" s="53"/>
      <c r="P602" s="53"/>
      <c r="Q602" s="57"/>
      <c r="R602" s="53"/>
      <c r="S602" s="53"/>
      <c r="T602" s="53"/>
      <c r="U602" s="53"/>
      <c r="V602" s="53"/>
    </row>
    <row r="603" spans="1:22" s="9" customFormat="1" x14ac:dyDescent="0.2">
      <c r="A603" s="48"/>
      <c r="B603" s="51" t="s">
        <v>0</v>
      </c>
      <c r="C603" s="51" t="s">
        <v>0</v>
      </c>
      <c r="D603" s="24">
        <f>E603+F603+G603+H603+I603</f>
        <v>0</v>
      </c>
      <c r="E603" s="25"/>
      <c r="F603" s="25"/>
      <c r="G603" s="25"/>
      <c r="H603" s="25"/>
      <c r="I603" s="25"/>
      <c r="J603" s="53"/>
      <c r="K603" s="53"/>
      <c r="L603" s="53"/>
      <c r="M603" s="53"/>
      <c r="N603" s="53"/>
      <c r="O603" s="53"/>
      <c r="P603" s="53"/>
      <c r="Q603" s="57"/>
      <c r="R603" s="53"/>
      <c r="S603" s="53"/>
      <c r="T603" s="53"/>
      <c r="U603" s="53"/>
      <c r="V603" s="53"/>
    </row>
    <row r="604" spans="1:22" s="9" customFormat="1" x14ac:dyDescent="0.2">
      <c r="A604" s="48"/>
      <c r="B604" s="51" t="s">
        <v>1</v>
      </c>
      <c r="C604" s="51" t="s">
        <v>1</v>
      </c>
      <c r="D604" s="24">
        <f>E604+F604+G604+H604+I604</f>
        <v>70000</v>
      </c>
      <c r="E604" s="25">
        <v>10000</v>
      </c>
      <c r="F604" s="25">
        <v>50000</v>
      </c>
      <c r="G604" s="25">
        <v>10000</v>
      </c>
      <c r="H604" s="25"/>
      <c r="I604" s="25"/>
      <c r="J604" s="53"/>
      <c r="K604" s="53"/>
      <c r="L604" s="53"/>
      <c r="M604" s="53"/>
      <c r="N604" s="53"/>
      <c r="O604" s="53"/>
      <c r="P604" s="53"/>
      <c r="Q604" s="57"/>
      <c r="R604" s="53"/>
      <c r="S604" s="53"/>
      <c r="T604" s="53"/>
      <c r="U604" s="53"/>
      <c r="V604" s="53"/>
    </row>
    <row r="605" spans="1:22" s="9" customFormat="1" x14ac:dyDescent="0.2">
      <c r="A605" s="48"/>
      <c r="B605" s="51" t="s">
        <v>2</v>
      </c>
      <c r="C605" s="51" t="s">
        <v>2</v>
      </c>
      <c r="D605" s="24">
        <f>E605+F605+G605+H605+I605</f>
        <v>140.28056112224451</v>
      </c>
      <c r="E605" s="25">
        <v>20.040080160320642</v>
      </c>
      <c r="F605" s="25">
        <v>100.20040080160322</v>
      </c>
      <c r="G605" s="25">
        <v>20.040080160320642</v>
      </c>
      <c r="H605" s="25"/>
      <c r="I605" s="25"/>
      <c r="J605" s="53"/>
      <c r="K605" s="53"/>
      <c r="L605" s="53"/>
      <c r="M605" s="53"/>
      <c r="N605" s="53"/>
      <c r="O605" s="53"/>
      <c r="P605" s="53"/>
      <c r="Q605" s="57"/>
      <c r="R605" s="53"/>
      <c r="S605" s="53"/>
      <c r="T605" s="53"/>
      <c r="U605" s="53"/>
      <c r="V605" s="53"/>
    </row>
    <row r="606" spans="1:22" s="9" customFormat="1" ht="21.75" customHeight="1" x14ac:dyDescent="0.2">
      <c r="A606" s="48"/>
      <c r="B606" s="51" t="s">
        <v>3</v>
      </c>
      <c r="C606" s="51" t="s">
        <v>3</v>
      </c>
      <c r="D606" s="24">
        <f>E606+F606+G606+H606+I606</f>
        <v>0</v>
      </c>
      <c r="E606" s="25"/>
      <c r="F606" s="25"/>
      <c r="G606" s="25"/>
      <c r="H606" s="25"/>
      <c r="I606" s="25"/>
      <c r="J606" s="53"/>
      <c r="K606" s="53"/>
      <c r="L606" s="53"/>
      <c r="M606" s="53"/>
      <c r="N606" s="53"/>
      <c r="O606" s="53"/>
      <c r="P606" s="53"/>
      <c r="Q606" s="57"/>
      <c r="R606" s="53"/>
      <c r="S606" s="53"/>
      <c r="T606" s="53"/>
      <c r="U606" s="53"/>
      <c r="V606" s="53"/>
    </row>
    <row r="607" spans="1:22" s="9" customFormat="1" ht="12.75" customHeight="1" x14ac:dyDescent="0.2">
      <c r="A607" s="48" t="s">
        <v>261</v>
      </c>
      <c r="B607" s="49" t="s">
        <v>21</v>
      </c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</row>
    <row r="608" spans="1:22" s="9" customFormat="1" x14ac:dyDescent="0.2">
      <c r="A608" s="48"/>
      <c r="B608" s="52" t="s">
        <v>461</v>
      </c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</row>
    <row r="609" spans="1:22" s="9" customFormat="1" ht="42" customHeight="1" x14ac:dyDescent="0.2">
      <c r="A609" s="48"/>
      <c r="B609" s="50" t="s">
        <v>303</v>
      </c>
      <c r="C609" s="50" t="s">
        <v>303</v>
      </c>
      <c r="D609" s="50"/>
      <c r="E609" s="50"/>
      <c r="F609" s="50"/>
      <c r="G609" s="50"/>
      <c r="H609" s="50"/>
      <c r="I609" s="50"/>
      <c r="J609" s="53" t="s">
        <v>76</v>
      </c>
      <c r="K609" s="53" t="s">
        <v>60</v>
      </c>
      <c r="L609" s="53" t="s">
        <v>71</v>
      </c>
      <c r="M609" s="53" t="s">
        <v>207</v>
      </c>
      <c r="N609" s="53" t="s">
        <v>295</v>
      </c>
      <c r="O609" s="53" t="s">
        <v>296</v>
      </c>
      <c r="P609" s="53" t="s">
        <v>296</v>
      </c>
      <c r="Q609" s="57" t="s">
        <v>286</v>
      </c>
      <c r="R609" s="53" t="s">
        <v>9</v>
      </c>
      <c r="S609" s="53" t="s">
        <v>295</v>
      </c>
      <c r="T609" s="53" t="s">
        <v>18</v>
      </c>
      <c r="U609" s="53"/>
      <c r="V609" s="53"/>
    </row>
    <row r="610" spans="1:22" s="9" customFormat="1" x14ac:dyDescent="0.2">
      <c r="A610" s="48"/>
      <c r="B610" s="51" t="s">
        <v>5</v>
      </c>
      <c r="C610" s="51" t="s">
        <v>5</v>
      </c>
      <c r="D610" s="24">
        <f>SUM(D611:D614)</f>
        <v>92685.37074148297</v>
      </c>
      <c r="E610" s="25">
        <f>SUM(E611:E614)</f>
        <v>10020.040080160321</v>
      </c>
      <c r="F610" s="25">
        <f>SUM(F611:F614)</f>
        <v>82665.330661322645</v>
      </c>
      <c r="G610" s="25"/>
      <c r="H610" s="25"/>
      <c r="I610" s="25"/>
      <c r="J610" s="53"/>
      <c r="K610" s="53"/>
      <c r="L610" s="53"/>
      <c r="M610" s="53"/>
      <c r="N610" s="53"/>
      <c r="O610" s="53"/>
      <c r="P610" s="53"/>
      <c r="Q610" s="57"/>
      <c r="R610" s="53"/>
      <c r="S610" s="53"/>
      <c r="T610" s="53"/>
      <c r="U610" s="53"/>
      <c r="V610" s="53"/>
    </row>
    <row r="611" spans="1:22" s="9" customFormat="1" x14ac:dyDescent="0.2">
      <c r="A611" s="48"/>
      <c r="B611" s="51" t="s">
        <v>0</v>
      </c>
      <c r="C611" s="51" t="s">
        <v>0</v>
      </c>
      <c r="D611" s="24">
        <f>E611+F611+G611+H611+I611</f>
        <v>0</v>
      </c>
      <c r="E611" s="25"/>
      <c r="F611" s="25"/>
      <c r="G611" s="25"/>
      <c r="H611" s="25"/>
      <c r="I611" s="25"/>
      <c r="J611" s="53"/>
      <c r="K611" s="53"/>
      <c r="L611" s="53"/>
      <c r="M611" s="53"/>
      <c r="N611" s="53"/>
      <c r="O611" s="53"/>
      <c r="P611" s="53"/>
      <c r="Q611" s="57"/>
      <c r="R611" s="53"/>
      <c r="S611" s="53"/>
      <c r="T611" s="53"/>
      <c r="U611" s="53"/>
      <c r="V611" s="53"/>
    </row>
    <row r="612" spans="1:22" s="9" customFormat="1" x14ac:dyDescent="0.2">
      <c r="A612" s="48"/>
      <c r="B612" s="51" t="s">
        <v>1</v>
      </c>
      <c r="C612" s="51" t="s">
        <v>1</v>
      </c>
      <c r="D612" s="24">
        <f>E612+F612+G612+H612+I612</f>
        <v>92500</v>
      </c>
      <c r="E612" s="25">
        <v>10000</v>
      </c>
      <c r="F612" s="25">
        <v>82500</v>
      </c>
      <c r="G612" s="25"/>
      <c r="H612" s="25"/>
      <c r="I612" s="25"/>
      <c r="J612" s="53"/>
      <c r="K612" s="53"/>
      <c r="L612" s="53"/>
      <c r="M612" s="53"/>
      <c r="N612" s="53"/>
      <c r="O612" s="53"/>
      <c r="P612" s="53"/>
      <c r="Q612" s="57"/>
      <c r="R612" s="53"/>
      <c r="S612" s="53"/>
      <c r="T612" s="53"/>
      <c r="U612" s="53"/>
      <c r="V612" s="53"/>
    </row>
    <row r="613" spans="1:22" s="9" customFormat="1" x14ac:dyDescent="0.2">
      <c r="A613" s="48"/>
      <c r="B613" s="51" t="s">
        <v>2</v>
      </c>
      <c r="C613" s="51" t="s">
        <v>2</v>
      </c>
      <c r="D613" s="24">
        <f>E613+F613+G613+H613+I613</f>
        <v>185.37074148296597</v>
      </c>
      <c r="E613" s="25">
        <v>20.040080160320642</v>
      </c>
      <c r="F613" s="25">
        <v>165.33066132264531</v>
      </c>
      <c r="G613" s="25"/>
      <c r="H613" s="25"/>
      <c r="I613" s="25"/>
      <c r="J613" s="53"/>
      <c r="K613" s="53"/>
      <c r="L613" s="53"/>
      <c r="M613" s="53"/>
      <c r="N613" s="53"/>
      <c r="O613" s="53"/>
      <c r="P613" s="53"/>
      <c r="Q613" s="57"/>
      <c r="R613" s="53"/>
      <c r="S613" s="53"/>
      <c r="T613" s="53"/>
      <c r="U613" s="53"/>
      <c r="V613" s="53"/>
    </row>
    <row r="614" spans="1:22" s="9" customFormat="1" ht="21.75" customHeight="1" x14ac:dyDescent="0.2">
      <c r="A614" s="48"/>
      <c r="B614" s="51" t="s">
        <v>3</v>
      </c>
      <c r="C614" s="51" t="s">
        <v>3</v>
      </c>
      <c r="D614" s="24">
        <f>E614+F614+G614+H614+I614</f>
        <v>0</v>
      </c>
      <c r="E614" s="25"/>
      <c r="F614" s="25"/>
      <c r="G614" s="25"/>
      <c r="H614" s="25"/>
      <c r="I614" s="25"/>
      <c r="J614" s="53"/>
      <c r="K614" s="53"/>
      <c r="L614" s="53"/>
      <c r="M614" s="53"/>
      <c r="N614" s="53"/>
      <c r="O614" s="53"/>
      <c r="P614" s="53"/>
      <c r="Q614" s="57"/>
      <c r="R614" s="53"/>
      <c r="S614" s="53"/>
      <c r="T614" s="53"/>
      <c r="U614" s="53"/>
      <c r="V614" s="53"/>
    </row>
    <row r="615" spans="1:22" s="9" customFormat="1" ht="12.75" customHeight="1" x14ac:dyDescent="0.2">
      <c r="A615" s="48" t="s">
        <v>262</v>
      </c>
      <c r="B615" s="49" t="s">
        <v>21</v>
      </c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</row>
    <row r="616" spans="1:22" s="9" customFormat="1" x14ac:dyDescent="0.2">
      <c r="A616" s="48"/>
      <c r="B616" s="52" t="s">
        <v>461</v>
      </c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</row>
    <row r="617" spans="1:22" s="9" customFormat="1" ht="44.25" customHeight="1" x14ac:dyDescent="0.2">
      <c r="A617" s="48"/>
      <c r="B617" s="50" t="s">
        <v>302</v>
      </c>
      <c r="C617" s="50" t="s">
        <v>302</v>
      </c>
      <c r="D617" s="50"/>
      <c r="E617" s="50"/>
      <c r="F617" s="50"/>
      <c r="G617" s="50"/>
      <c r="H617" s="50"/>
      <c r="I617" s="50"/>
      <c r="J617" s="53" t="s">
        <v>76</v>
      </c>
      <c r="K617" s="53" t="s">
        <v>60</v>
      </c>
      <c r="L617" s="53" t="s">
        <v>71</v>
      </c>
      <c r="M617" s="53" t="s">
        <v>208</v>
      </c>
      <c r="N617" s="53" t="s">
        <v>294</v>
      </c>
      <c r="O617" s="53" t="s">
        <v>293</v>
      </c>
      <c r="P617" s="53" t="s">
        <v>293</v>
      </c>
      <c r="Q617" s="57" t="s">
        <v>287</v>
      </c>
      <c r="R617" s="53" t="s">
        <v>9</v>
      </c>
      <c r="S617" s="53" t="s">
        <v>294</v>
      </c>
      <c r="T617" s="53" t="s">
        <v>18</v>
      </c>
      <c r="U617" s="53"/>
      <c r="V617" s="53"/>
    </row>
    <row r="618" spans="1:22" s="9" customFormat="1" x14ac:dyDescent="0.2">
      <c r="A618" s="48"/>
      <c r="B618" s="51" t="s">
        <v>5</v>
      </c>
      <c r="C618" s="51" t="s">
        <v>5</v>
      </c>
      <c r="D618" s="24">
        <f>SUM(D619:D622)</f>
        <v>88020.567342225404</v>
      </c>
      <c r="E618" s="25">
        <f>SUM(E619:E622)</f>
        <v>10204.081630000001</v>
      </c>
      <c r="F618" s="25">
        <f>SUM(F619:F622)</f>
        <v>77816.485712225403</v>
      </c>
      <c r="G618" s="25"/>
      <c r="H618" s="25"/>
      <c r="I618" s="25"/>
      <c r="J618" s="53"/>
      <c r="K618" s="53"/>
      <c r="L618" s="53"/>
      <c r="M618" s="53"/>
      <c r="N618" s="53"/>
      <c r="O618" s="53"/>
      <c r="P618" s="53"/>
      <c r="Q618" s="57"/>
      <c r="R618" s="53"/>
      <c r="S618" s="53"/>
      <c r="T618" s="53"/>
      <c r="U618" s="53"/>
      <c r="V618" s="53"/>
    </row>
    <row r="619" spans="1:22" s="9" customFormat="1" x14ac:dyDescent="0.2">
      <c r="A619" s="48"/>
      <c r="B619" s="51" t="s">
        <v>0</v>
      </c>
      <c r="C619" s="51" t="s">
        <v>0</v>
      </c>
      <c r="D619" s="24">
        <f>E619+F619+G619+H619+I619</f>
        <v>0</v>
      </c>
      <c r="E619" s="25"/>
      <c r="F619" s="25"/>
      <c r="G619" s="25"/>
      <c r="H619" s="25"/>
      <c r="I619" s="25"/>
      <c r="J619" s="53"/>
      <c r="K619" s="53"/>
      <c r="L619" s="53"/>
      <c r="M619" s="53"/>
      <c r="N619" s="53"/>
      <c r="O619" s="53"/>
      <c r="P619" s="53"/>
      <c r="Q619" s="57"/>
      <c r="R619" s="53"/>
      <c r="S619" s="53"/>
      <c r="T619" s="53"/>
      <c r="U619" s="53"/>
      <c r="V619" s="53"/>
    </row>
    <row r="620" spans="1:22" s="9" customFormat="1" x14ac:dyDescent="0.2">
      <c r="A620" s="48"/>
      <c r="B620" s="51" t="s">
        <v>1</v>
      </c>
      <c r="C620" s="51" t="s">
        <v>1</v>
      </c>
      <c r="D620" s="24">
        <f>E620+F620+G620+H620+I620</f>
        <v>87658</v>
      </c>
      <c r="E620" s="25">
        <v>10000</v>
      </c>
      <c r="F620" s="25">
        <v>77658</v>
      </c>
      <c r="G620" s="25"/>
      <c r="H620" s="25"/>
      <c r="I620" s="25"/>
      <c r="J620" s="53"/>
      <c r="K620" s="53"/>
      <c r="L620" s="53"/>
      <c r="M620" s="53"/>
      <c r="N620" s="53"/>
      <c r="O620" s="53"/>
      <c r="P620" s="53"/>
      <c r="Q620" s="57"/>
      <c r="R620" s="53"/>
      <c r="S620" s="53"/>
      <c r="T620" s="53"/>
      <c r="U620" s="53"/>
      <c r="V620" s="53"/>
    </row>
    <row r="621" spans="1:22" s="9" customFormat="1" x14ac:dyDescent="0.2">
      <c r="A621" s="48"/>
      <c r="B621" s="51" t="s">
        <v>2</v>
      </c>
      <c r="C621" s="51" t="s">
        <v>2</v>
      </c>
      <c r="D621" s="24">
        <f>E621+F621+G621+H621+I621</f>
        <v>362.56734222540001</v>
      </c>
      <c r="E621" s="25">
        <v>204.08162999999999</v>
      </c>
      <c r="F621" s="25">
        <v>158.48571222539999</v>
      </c>
      <c r="G621" s="25"/>
      <c r="H621" s="25"/>
      <c r="I621" s="25"/>
      <c r="J621" s="53"/>
      <c r="K621" s="53"/>
      <c r="L621" s="53"/>
      <c r="M621" s="53"/>
      <c r="N621" s="53"/>
      <c r="O621" s="53"/>
      <c r="P621" s="53"/>
      <c r="Q621" s="57"/>
      <c r="R621" s="53"/>
      <c r="S621" s="53"/>
      <c r="T621" s="53"/>
      <c r="U621" s="53"/>
      <c r="V621" s="53"/>
    </row>
    <row r="622" spans="1:22" s="9" customFormat="1" ht="21.75" customHeight="1" x14ac:dyDescent="0.2">
      <c r="A622" s="48"/>
      <c r="B622" s="51" t="s">
        <v>3</v>
      </c>
      <c r="C622" s="51" t="s">
        <v>3</v>
      </c>
      <c r="D622" s="24">
        <f>E622+F622+G622+H622+I622</f>
        <v>0</v>
      </c>
      <c r="E622" s="25"/>
      <c r="F622" s="25"/>
      <c r="G622" s="25"/>
      <c r="H622" s="25"/>
      <c r="I622" s="25"/>
      <c r="J622" s="53"/>
      <c r="K622" s="53"/>
      <c r="L622" s="53"/>
      <c r="M622" s="53"/>
      <c r="N622" s="53"/>
      <c r="O622" s="53"/>
      <c r="P622" s="53"/>
      <c r="Q622" s="57"/>
      <c r="R622" s="53"/>
      <c r="S622" s="53"/>
      <c r="T622" s="53"/>
      <c r="U622" s="53"/>
      <c r="V622" s="53"/>
    </row>
    <row r="623" spans="1:22" s="9" customFormat="1" ht="12.75" customHeight="1" x14ac:dyDescent="0.2">
      <c r="A623" s="48" t="s">
        <v>263</v>
      </c>
      <c r="B623" s="49" t="s">
        <v>21</v>
      </c>
      <c r="C623" s="49"/>
      <c r="D623" s="49"/>
      <c r="E623" s="49"/>
      <c r="F623" s="49"/>
      <c r="G623" s="49"/>
      <c r="H623" s="49"/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</row>
    <row r="624" spans="1:22" s="9" customFormat="1" x14ac:dyDescent="0.2">
      <c r="A624" s="48"/>
      <c r="B624" s="52" t="s">
        <v>461</v>
      </c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</row>
    <row r="625" spans="1:22" s="9" customFormat="1" ht="42" customHeight="1" x14ac:dyDescent="0.2">
      <c r="A625" s="48"/>
      <c r="B625" s="50" t="s">
        <v>364</v>
      </c>
      <c r="C625" s="50" t="s">
        <v>364</v>
      </c>
      <c r="D625" s="50"/>
      <c r="E625" s="50"/>
      <c r="F625" s="50"/>
      <c r="G625" s="50"/>
      <c r="H625" s="50"/>
      <c r="I625" s="50"/>
      <c r="J625" s="53" t="s">
        <v>174</v>
      </c>
      <c r="K625" s="53" t="s">
        <v>60</v>
      </c>
      <c r="L625" s="53" t="s">
        <v>71</v>
      </c>
      <c r="M625" s="53" t="s">
        <v>361</v>
      </c>
      <c r="N625" s="53" t="s">
        <v>362</v>
      </c>
      <c r="O625" s="53" t="s">
        <v>371</v>
      </c>
      <c r="P625" s="53" t="s">
        <v>371</v>
      </c>
      <c r="Q625" s="57" t="s">
        <v>363</v>
      </c>
      <c r="R625" s="53" t="s">
        <v>9</v>
      </c>
      <c r="S625" s="53" t="s">
        <v>372</v>
      </c>
      <c r="T625" s="53" t="s">
        <v>18</v>
      </c>
      <c r="U625" s="53"/>
      <c r="V625" s="53"/>
    </row>
    <row r="626" spans="1:22" s="9" customFormat="1" x14ac:dyDescent="0.2">
      <c r="A626" s="48"/>
      <c r="B626" s="51" t="s">
        <v>5</v>
      </c>
      <c r="C626" s="51" t="s">
        <v>5</v>
      </c>
      <c r="D626" s="24">
        <f>SUM(D627:D630)</f>
        <v>2802.8027999999999</v>
      </c>
      <c r="E626" s="25">
        <f>SUM(E627:E630)</f>
        <v>2802.8027999999999</v>
      </c>
      <c r="F626" s="25"/>
      <c r="G626" s="25"/>
      <c r="H626" s="25"/>
      <c r="I626" s="25"/>
      <c r="J626" s="53"/>
      <c r="K626" s="53"/>
      <c r="L626" s="53"/>
      <c r="M626" s="53"/>
      <c r="N626" s="53"/>
      <c r="O626" s="53"/>
      <c r="P626" s="53"/>
      <c r="Q626" s="57"/>
      <c r="R626" s="53"/>
      <c r="S626" s="53"/>
      <c r="T626" s="53"/>
      <c r="U626" s="53"/>
      <c r="V626" s="53"/>
    </row>
    <row r="627" spans="1:22" s="9" customFormat="1" x14ac:dyDescent="0.2">
      <c r="A627" s="48"/>
      <c r="B627" s="51" t="s">
        <v>0</v>
      </c>
      <c r="C627" s="51" t="s">
        <v>0</v>
      </c>
      <c r="D627" s="24">
        <f>E627+F627+G627+H627+I627</f>
        <v>0</v>
      </c>
      <c r="E627" s="25"/>
      <c r="F627" s="25"/>
      <c r="G627" s="25"/>
      <c r="H627" s="25"/>
      <c r="I627" s="25"/>
      <c r="J627" s="53"/>
      <c r="K627" s="53"/>
      <c r="L627" s="53"/>
      <c r="M627" s="53"/>
      <c r="N627" s="53"/>
      <c r="O627" s="53"/>
      <c r="P627" s="53"/>
      <c r="Q627" s="57"/>
      <c r="R627" s="53"/>
      <c r="S627" s="53"/>
      <c r="T627" s="53"/>
      <c r="U627" s="53"/>
      <c r="V627" s="53"/>
    </row>
    <row r="628" spans="1:22" s="9" customFormat="1" x14ac:dyDescent="0.2">
      <c r="A628" s="48"/>
      <c r="B628" s="51" t="s">
        <v>1</v>
      </c>
      <c r="C628" s="51" t="s">
        <v>1</v>
      </c>
      <c r="D628" s="24">
        <f>E628+F628+G628+H628+I628</f>
        <v>2800</v>
      </c>
      <c r="E628" s="25">
        <f>11062+10000-18262</f>
        <v>2800</v>
      </c>
      <c r="F628" s="25"/>
      <c r="G628" s="25"/>
      <c r="H628" s="25"/>
      <c r="I628" s="25"/>
      <c r="J628" s="53"/>
      <c r="K628" s="53"/>
      <c r="L628" s="53"/>
      <c r="M628" s="53"/>
      <c r="N628" s="53"/>
      <c r="O628" s="53"/>
      <c r="P628" s="53"/>
      <c r="Q628" s="57"/>
      <c r="R628" s="53"/>
      <c r="S628" s="53"/>
      <c r="T628" s="53"/>
      <c r="U628" s="53"/>
      <c r="V628" s="53"/>
    </row>
    <row r="629" spans="1:22" s="9" customFormat="1" x14ac:dyDescent="0.2">
      <c r="A629" s="48"/>
      <c r="B629" s="51" t="s">
        <v>2</v>
      </c>
      <c r="C629" s="51" t="s">
        <v>2</v>
      </c>
      <c r="D629" s="24">
        <f>E629+F629+G629+H629+I629</f>
        <v>2.8028</v>
      </c>
      <c r="E629" s="25">
        <v>2.8028</v>
      </c>
      <c r="F629" s="25"/>
      <c r="G629" s="25"/>
      <c r="H629" s="25"/>
      <c r="I629" s="25"/>
      <c r="J629" s="53"/>
      <c r="K629" s="53"/>
      <c r="L629" s="53"/>
      <c r="M629" s="53"/>
      <c r="N629" s="53"/>
      <c r="O629" s="53"/>
      <c r="P629" s="53"/>
      <c r="Q629" s="57"/>
      <c r="R629" s="53"/>
      <c r="S629" s="53"/>
      <c r="T629" s="53"/>
      <c r="U629" s="53"/>
      <c r="V629" s="53"/>
    </row>
    <row r="630" spans="1:22" s="9" customFormat="1" ht="21.75" customHeight="1" x14ac:dyDescent="0.2">
      <c r="A630" s="48"/>
      <c r="B630" s="51" t="s">
        <v>3</v>
      </c>
      <c r="C630" s="51" t="s">
        <v>3</v>
      </c>
      <c r="D630" s="24">
        <f>E630+F630+G630+H630+I630</f>
        <v>0</v>
      </c>
      <c r="E630" s="25"/>
      <c r="F630" s="25"/>
      <c r="G630" s="25"/>
      <c r="H630" s="25"/>
      <c r="I630" s="25"/>
      <c r="J630" s="53"/>
      <c r="K630" s="53"/>
      <c r="L630" s="53"/>
      <c r="M630" s="53"/>
      <c r="N630" s="53"/>
      <c r="O630" s="53"/>
      <c r="P630" s="53"/>
      <c r="Q630" s="57"/>
      <c r="R630" s="53"/>
      <c r="S630" s="53"/>
      <c r="T630" s="53"/>
      <c r="U630" s="53"/>
      <c r="V630" s="53"/>
    </row>
    <row r="631" spans="1:22" s="9" customFormat="1" ht="12.75" customHeight="1" x14ac:dyDescent="0.2">
      <c r="A631" s="48" t="s">
        <v>264</v>
      </c>
      <c r="B631" s="49" t="s">
        <v>16</v>
      </c>
      <c r="C631" s="49"/>
      <c r="D631" s="49"/>
      <c r="E631" s="49"/>
      <c r="F631" s="49"/>
      <c r="G631" s="49"/>
      <c r="H631" s="49"/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</row>
    <row r="632" spans="1:22" s="9" customFormat="1" ht="22.5" customHeight="1" x14ac:dyDescent="0.2">
      <c r="A632" s="48"/>
      <c r="B632" s="52" t="s">
        <v>462</v>
      </c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</row>
    <row r="633" spans="1:22" s="9" customFormat="1" ht="42.75" customHeight="1" x14ac:dyDescent="0.2">
      <c r="A633" s="48"/>
      <c r="B633" s="50" t="s">
        <v>374</v>
      </c>
      <c r="C633" s="50" t="s">
        <v>374</v>
      </c>
      <c r="D633" s="50"/>
      <c r="E633" s="50"/>
      <c r="F633" s="50"/>
      <c r="G633" s="50"/>
      <c r="H633" s="50"/>
      <c r="I633" s="50"/>
      <c r="J633" s="53" t="s">
        <v>284</v>
      </c>
      <c r="K633" s="53"/>
      <c r="L633" s="53" t="s">
        <v>70</v>
      </c>
      <c r="M633" s="53" t="s">
        <v>375</v>
      </c>
      <c r="N633" s="53" t="s">
        <v>103</v>
      </c>
      <c r="O633" s="53" t="s">
        <v>16</v>
      </c>
      <c r="P633" s="53" t="s">
        <v>103</v>
      </c>
      <c r="Q633" s="57" t="s">
        <v>376</v>
      </c>
      <c r="R633" s="53" t="s">
        <v>9</v>
      </c>
      <c r="S633" s="53" t="s">
        <v>204</v>
      </c>
      <c r="T633" s="53" t="s">
        <v>18</v>
      </c>
      <c r="U633" s="53"/>
      <c r="V633" s="53" t="s">
        <v>660</v>
      </c>
    </row>
    <row r="634" spans="1:22" s="9" customFormat="1" x14ac:dyDescent="0.2">
      <c r="A634" s="48"/>
      <c r="B634" s="51" t="s">
        <v>5</v>
      </c>
      <c r="C634" s="51" t="s">
        <v>5</v>
      </c>
      <c r="D634" s="24">
        <f>SUM(D635:D638)</f>
        <v>288621.18000000005</v>
      </c>
      <c r="E634" s="25">
        <f>SUM(E635:E638)</f>
        <v>288621.18000000005</v>
      </c>
      <c r="F634" s="25"/>
      <c r="G634" s="25"/>
      <c r="H634" s="25"/>
      <c r="I634" s="25"/>
      <c r="J634" s="53"/>
      <c r="K634" s="53"/>
      <c r="L634" s="53"/>
      <c r="M634" s="53"/>
      <c r="N634" s="53"/>
      <c r="O634" s="53"/>
      <c r="P634" s="53"/>
      <c r="Q634" s="57"/>
      <c r="R634" s="53"/>
      <c r="S634" s="53"/>
      <c r="T634" s="53"/>
      <c r="U634" s="53"/>
      <c r="V634" s="53"/>
    </row>
    <row r="635" spans="1:22" s="9" customFormat="1" x14ac:dyDescent="0.2">
      <c r="A635" s="48"/>
      <c r="B635" s="51" t="s">
        <v>0</v>
      </c>
      <c r="C635" s="51" t="s">
        <v>0</v>
      </c>
      <c r="D635" s="24">
        <f>E635+F635+G635+H635+I635</f>
        <v>265911.90000000002</v>
      </c>
      <c r="E635" s="25">
        <v>265911.90000000002</v>
      </c>
      <c r="F635" s="25"/>
      <c r="G635" s="25"/>
      <c r="H635" s="25"/>
      <c r="I635" s="25"/>
      <c r="J635" s="53"/>
      <c r="K635" s="53"/>
      <c r="L635" s="53"/>
      <c r="M635" s="53"/>
      <c r="N635" s="53"/>
      <c r="O635" s="53"/>
      <c r="P635" s="53"/>
      <c r="Q635" s="57"/>
      <c r="R635" s="53"/>
      <c r="S635" s="53"/>
      <c r="T635" s="53"/>
      <c r="U635" s="53"/>
      <c r="V635" s="53"/>
    </row>
    <row r="636" spans="1:22" s="9" customFormat="1" x14ac:dyDescent="0.2">
      <c r="A636" s="48"/>
      <c r="B636" s="51" t="s">
        <v>1</v>
      </c>
      <c r="C636" s="51" t="s">
        <v>1</v>
      </c>
      <c r="D636" s="24">
        <f>E636+F636+G636+H636+I636</f>
        <v>22709.279999999999</v>
      </c>
      <c r="E636" s="25">
        <f>34209.28-11500</f>
        <v>22709.279999999999</v>
      </c>
      <c r="F636" s="25"/>
      <c r="G636" s="25"/>
      <c r="H636" s="25"/>
      <c r="I636" s="25"/>
      <c r="J636" s="53"/>
      <c r="K636" s="53"/>
      <c r="L636" s="53"/>
      <c r="M636" s="53"/>
      <c r="N636" s="53"/>
      <c r="O636" s="53"/>
      <c r="P636" s="53"/>
      <c r="Q636" s="57"/>
      <c r="R636" s="53"/>
      <c r="S636" s="53"/>
      <c r="T636" s="53"/>
      <c r="U636" s="53"/>
      <c r="V636" s="53"/>
    </row>
    <row r="637" spans="1:22" s="9" customFormat="1" x14ac:dyDescent="0.2">
      <c r="A637" s="48"/>
      <c r="B637" s="51" t="s">
        <v>2</v>
      </c>
      <c r="C637" s="51" t="s">
        <v>2</v>
      </c>
      <c r="D637" s="24">
        <f>E637+F637+G637+H637+I637</f>
        <v>0</v>
      </c>
      <c r="E637" s="25"/>
      <c r="F637" s="25"/>
      <c r="G637" s="25"/>
      <c r="H637" s="25"/>
      <c r="I637" s="25"/>
      <c r="J637" s="53"/>
      <c r="K637" s="53"/>
      <c r="L637" s="53"/>
      <c r="M637" s="53"/>
      <c r="N637" s="53"/>
      <c r="O637" s="53"/>
      <c r="P637" s="53"/>
      <c r="Q637" s="57"/>
      <c r="R637" s="53"/>
      <c r="S637" s="53"/>
      <c r="T637" s="53"/>
      <c r="U637" s="53"/>
      <c r="V637" s="53"/>
    </row>
    <row r="638" spans="1:22" s="9" customFormat="1" ht="21.75" customHeight="1" x14ac:dyDescent="0.2">
      <c r="A638" s="48"/>
      <c r="B638" s="51" t="s">
        <v>3</v>
      </c>
      <c r="C638" s="51" t="s">
        <v>3</v>
      </c>
      <c r="D638" s="24">
        <f>E638+F638+G638+H638+I638</f>
        <v>0</v>
      </c>
      <c r="E638" s="25"/>
      <c r="F638" s="25"/>
      <c r="G638" s="25"/>
      <c r="H638" s="25"/>
      <c r="I638" s="25"/>
      <c r="J638" s="53"/>
      <c r="K638" s="53"/>
      <c r="L638" s="53"/>
      <c r="M638" s="53"/>
      <c r="N638" s="53"/>
      <c r="O638" s="53"/>
      <c r="P638" s="53"/>
      <c r="Q638" s="57"/>
      <c r="R638" s="53"/>
      <c r="S638" s="53"/>
      <c r="T638" s="53"/>
      <c r="U638" s="53"/>
      <c r="V638" s="53"/>
    </row>
    <row r="639" spans="1:22" s="9" customFormat="1" ht="12.75" customHeight="1" x14ac:dyDescent="0.2">
      <c r="A639" s="48" t="s">
        <v>265</v>
      </c>
      <c r="B639" s="49" t="s">
        <v>16</v>
      </c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</row>
    <row r="640" spans="1:22" s="9" customFormat="1" x14ac:dyDescent="0.2">
      <c r="A640" s="48"/>
      <c r="B640" s="52" t="s">
        <v>461</v>
      </c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</row>
    <row r="641" spans="1:22" s="9" customFormat="1" ht="46.5" customHeight="1" x14ac:dyDescent="0.2">
      <c r="A641" s="48"/>
      <c r="B641" s="50" t="s">
        <v>530</v>
      </c>
      <c r="C641" s="50" t="s">
        <v>530</v>
      </c>
      <c r="D641" s="50"/>
      <c r="E641" s="50"/>
      <c r="F641" s="50"/>
      <c r="G641" s="50"/>
      <c r="H641" s="50"/>
      <c r="I641" s="50"/>
      <c r="J641" s="53" t="s">
        <v>60</v>
      </c>
      <c r="K641" s="53"/>
      <c r="L641" s="53" t="s">
        <v>70</v>
      </c>
      <c r="M641" s="53" t="s">
        <v>366</v>
      </c>
      <c r="N641" s="53" t="s">
        <v>103</v>
      </c>
      <c r="O641" s="53" t="s">
        <v>21</v>
      </c>
      <c r="P641" s="53" t="s">
        <v>103</v>
      </c>
      <c r="Q641" s="57" t="s">
        <v>288</v>
      </c>
      <c r="R641" s="53" t="s">
        <v>11</v>
      </c>
      <c r="S641" s="53" t="s">
        <v>214</v>
      </c>
      <c r="T641" s="53" t="s">
        <v>18</v>
      </c>
      <c r="U641" s="53"/>
      <c r="V641" s="53" t="s">
        <v>659</v>
      </c>
    </row>
    <row r="642" spans="1:22" s="9" customFormat="1" x14ac:dyDescent="0.2">
      <c r="A642" s="48"/>
      <c r="B642" s="51" t="s">
        <v>5</v>
      </c>
      <c r="C642" s="51" t="s">
        <v>5</v>
      </c>
      <c r="D642" s="24">
        <f>SUM(D643:D646)</f>
        <v>23690.201000000001</v>
      </c>
      <c r="E642" s="25">
        <f>SUM(E643:E646)</f>
        <v>23690.201000000001</v>
      </c>
      <c r="F642" s="25"/>
      <c r="G642" s="25"/>
      <c r="H642" s="25"/>
      <c r="I642" s="25"/>
      <c r="J642" s="53"/>
      <c r="K642" s="53"/>
      <c r="L642" s="53"/>
      <c r="M642" s="53"/>
      <c r="N642" s="53"/>
      <c r="O642" s="53"/>
      <c r="P642" s="53"/>
      <c r="Q642" s="57"/>
      <c r="R642" s="53"/>
      <c r="S642" s="53"/>
      <c r="T642" s="53"/>
      <c r="U642" s="53"/>
      <c r="V642" s="53"/>
    </row>
    <row r="643" spans="1:22" s="9" customFormat="1" x14ac:dyDescent="0.2">
      <c r="A643" s="48"/>
      <c r="B643" s="51" t="s">
        <v>0</v>
      </c>
      <c r="C643" s="51" t="s">
        <v>0</v>
      </c>
      <c r="D643" s="24">
        <f>E643+F643+G643+H643+I643</f>
        <v>0</v>
      </c>
      <c r="E643" s="25"/>
      <c r="F643" s="25"/>
      <c r="G643" s="25"/>
      <c r="H643" s="25"/>
      <c r="I643" s="25"/>
      <c r="J643" s="53"/>
      <c r="K643" s="53"/>
      <c r="L643" s="53"/>
      <c r="M643" s="53"/>
      <c r="N643" s="53"/>
      <c r="O643" s="53"/>
      <c r="P643" s="53"/>
      <c r="Q643" s="57"/>
      <c r="R643" s="53"/>
      <c r="S643" s="53"/>
      <c r="T643" s="53"/>
      <c r="U643" s="53"/>
      <c r="V643" s="53"/>
    </row>
    <row r="644" spans="1:22" s="9" customFormat="1" x14ac:dyDescent="0.2">
      <c r="A644" s="48"/>
      <c r="B644" s="51" t="s">
        <v>1</v>
      </c>
      <c r="C644" s="51" t="s">
        <v>1</v>
      </c>
      <c r="D644" s="24">
        <f>E644+F644+G644+H644+I644</f>
        <v>23690.201000000001</v>
      </c>
      <c r="E644" s="25">
        <f>23140.201+550</f>
        <v>23690.201000000001</v>
      </c>
      <c r="F644" s="25"/>
      <c r="G644" s="25"/>
      <c r="H644" s="25"/>
      <c r="I644" s="25"/>
      <c r="J644" s="53"/>
      <c r="K644" s="53"/>
      <c r="L644" s="53"/>
      <c r="M644" s="53"/>
      <c r="N644" s="53"/>
      <c r="O644" s="53"/>
      <c r="P644" s="53"/>
      <c r="Q644" s="57"/>
      <c r="R644" s="53"/>
      <c r="S644" s="53"/>
      <c r="T644" s="53"/>
      <c r="U644" s="53"/>
      <c r="V644" s="53"/>
    </row>
    <row r="645" spans="1:22" s="9" customFormat="1" x14ac:dyDescent="0.2">
      <c r="A645" s="48"/>
      <c r="B645" s="51" t="s">
        <v>2</v>
      </c>
      <c r="C645" s="51" t="s">
        <v>2</v>
      </c>
      <c r="D645" s="24">
        <v>0</v>
      </c>
      <c r="E645" s="25"/>
      <c r="F645" s="25"/>
      <c r="G645" s="25"/>
      <c r="H645" s="25"/>
      <c r="I645" s="25"/>
      <c r="J645" s="53"/>
      <c r="K645" s="53"/>
      <c r="L645" s="53"/>
      <c r="M645" s="53"/>
      <c r="N645" s="53"/>
      <c r="O645" s="53"/>
      <c r="P645" s="53"/>
      <c r="Q645" s="57"/>
      <c r="R645" s="53"/>
      <c r="S645" s="53"/>
      <c r="T645" s="53"/>
      <c r="U645" s="53"/>
      <c r="V645" s="53"/>
    </row>
    <row r="646" spans="1:22" s="9" customFormat="1" ht="21.75" customHeight="1" x14ac:dyDescent="0.2">
      <c r="A646" s="48"/>
      <c r="B646" s="51" t="s">
        <v>3</v>
      </c>
      <c r="C646" s="51" t="s">
        <v>3</v>
      </c>
      <c r="D646" s="24">
        <f>E646+F646+G646+H646+I646</f>
        <v>0</v>
      </c>
      <c r="E646" s="25"/>
      <c r="F646" s="25"/>
      <c r="G646" s="25"/>
      <c r="H646" s="25"/>
      <c r="I646" s="25"/>
      <c r="J646" s="53"/>
      <c r="K646" s="53"/>
      <c r="L646" s="53"/>
      <c r="M646" s="53"/>
      <c r="N646" s="53"/>
      <c r="O646" s="53"/>
      <c r="P646" s="53"/>
      <c r="Q646" s="57"/>
      <c r="R646" s="53"/>
      <c r="S646" s="53"/>
      <c r="T646" s="53"/>
      <c r="U646" s="53"/>
      <c r="V646" s="53"/>
    </row>
    <row r="647" spans="1:22" s="9" customFormat="1" ht="12.75" customHeight="1" x14ac:dyDescent="0.2">
      <c r="A647" s="48" t="s">
        <v>266</v>
      </c>
      <c r="B647" s="49" t="s">
        <v>21</v>
      </c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</row>
    <row r="648" spans="1:22" s="9" customFormat="1" x14ac:dyDescent="0.2">
      <c r="A648" s="48"/>
      <c r="B648" s="52" t="s">
        <v>461</v>
      </c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</row>
    <row r="649" spans="1:22" s="9" customFormat="1" ht="42.75" customHeight="1" x14ac:dyDescent="0.2">
      <c r="A649" s="48"/>
      <c r="B649" s="50" t="s">
        <v>215</v>
      </c>
      <c r="C649" s="50" t="s">
        <v>215</v>
      </c>
      <c r="D649" s="50"/>
      <c r="E649" s="50"/>
      <c r="F649" s="50"/>
      <c r="G649" s="50"/>
      <c r="H649" s="50"/>
      <c r="I649" s="50"/>
      <c r="J649" s="53" t="s">
        <v>174</v>
      </c>
      <c r="K649" s="53"/>
      <c r="L649" s="53" t="s">
        <v>549</v>
      </c>
      <c r="M649" s="53" t="s">
        <v>216</v>
      </c>
      <c r="N649" s="53" t="s">
        <v>21</v>
      </c>
      <c r="O649" s="53" t="s">
        <v>21</v>
      </c>
      <c r="P649" s="53" t="s">
        <v>172</v>
      </c>
      <c r="Q649" s="57" t="s">
        <v>289</v>
      </c>
      <c r="R649" s="53" t="s">
        <v>11</v>
      </c>
      <c r="S649" s="53" t="s">
        <v>10</v>
      </c>
      <c r="T649" s="53" t="s">
        <v>18</v>
      </c>
      <c r="U649" s="53"/>
      <c r="V649" s="53" t="s">
        <v>661</v>
      </c>
    </row>
    <row r="650" spans="1:22" s="9" customFormat="1" x14ac:dyDescent="0.2">
      <c r="A650" s="48"/>
      <c r="B650" s="51" t="s">
        <v>5</v>
      </c>
      <c r="C650" s="51" t="s">
        <v>5</v>
      </c>
      <c r="D650" s="24">
        <f>SUM(D651:D654)</f>
        <v>115107.091</v>
      </c>
      <c r="E650" s="25">
        <f>SUM(E651:E654)</f>
        <v>115107.091</v>
      </c>
      <c r="F650" s="25"/>
      <c r="G650" s="25"/>
      <c r="H650" s="25"/>
      <c r="I650" s="25"/>
      <c r="J650" s="53"/>
      <c r="K650" s="53"/>
      <c r="L650" s="53"/>
      <c r="M650" s="53"/>
      <c r="N650" s="53"/>
      <c r="O650" s="53"/>
      <c r="P650" s="53"/>
      <c r="Q650" s="57"/>
      <c r="R650" s="53"/>
      <c r="S650" s="53"/>
      <c r="T650" s="53"/>
      <c r="U650" s="53"/>
      <c r="V650" s="53"/>
    </row>
    <row r="651" spans="1:22" s="9" customFormat="1" x14ac:dyDescent="0.2">
      <c r="A651" s="48"/>
      <c r="B651" s="51" t="s">
        <v>0</v>
      </c>
      <c r="C651" s="51" t="s">
        <v>0</v>
      </c>
      <c r="D651" s="24">
        <f>E651+F651+G651+H651+I651</f>
        <v>0</v>
      </c>
      <c r="E651" s="25"/>
      <c r="F651" s="25"/>
      <c r="G651" s="25"/>
      <c r="H651" s="25"/>
      <c r="I651" s="25"/>
      <c r="J651" s="53"/>
      <c r="K651" s="53"/>
      <c r="L651" s="53"/>
      <c r="M651" s="53"/>
      <c r="N651" s="53"/>
      <c r="O651" s="53"/>
      <c r="P651" s="53"/>
      <c r="Q651" s="57"/>
      <c r="R651" s="53"/>
      <c r="S651" s="53"/>
      <c r="T651" s="53"/>
      <c r="U651" s="53"/>
      <c r="V651" s="53"/>
    </row>
    <row r="652" spans="1:22" s="9" customFormat="1" x14ac:dyDescent="0.2">
      <c r="A652" s="48"/>
      <c r="B652" s="51" t="s">
        <v>1</v>
      </c>
      <c r="C652" s="51" t="s">
        <v>1</v>
      </c>
      <c r="D652" s="24">
        <f>E652+F652+G652+H652+I652</f>
        <v>115107.091</v>
      </c>
      <c r="E652" s="25">
        <v>115107.091</v>
      </c>
      <c r="F652" s="25"/>
      <c r="G652" s="25"/>
      <c r="H652" s="25"/>
      <c r="I652" s="25"/>
      <c r="J652" s="53"/>
      <c r="K652" s="53"/>
      <c r="L652" s="53"/>
      <c r="M652" s="53"/>
      <c r="N652" s="53"/>
      <c r="O652" s="53"/>
      <c r="P652" s="53"/>
      <c r="Q652" s="57"/>
      <c r="R652" s="53"/>
      <c r="S652" s="53"/>
      <c r="T652" s="53"/>
      <c r="U652" s="53"/>
      <c r="V652" s="53"/>
    </row>
    <row r="653" spans="1:22" s="9" customFormat="1" x14ac:dyDescent="0.2">
      <c r="A653" s="48"/>
      <c r="B653" s="51" t="s">
        <v>2</v>
      </c>
      <c r="C653" s="51" t="s">
        <v>2</v>
      </c>
      <c r="D653" s="24">
        <f>E653+F653+G653+H653+I653</f>
        <v>0</v>
      </c>
      <c r="E653" s="25"/>
      <c r="F653" s="25"/>
      <c r="G653" s="25"/>
      <c r="H653" s="25"/>
      <c r="I653" s="25"/>
      <c r="J653" s="53"/>
      <c r="K653" s="53"/>
      <c r="L653" s="53"/>
      <c r="M653" s="53"/>
      <c r="N653" s="53"/>
      <c r="O653" s="53"/>
      <c r="P653" s="53"/>
      <c r="Q653" s="57"/>
      <c r="R653" s="53"/>
      <c r="S653" s="53"/>
      <c r="T653" s="53"/>
      <c r="U653" s="53"/>
      <c r="V653" s="53"/>
    </row>
    <row r="654" spans="1:22" s="9" customFormat="1" ht="21.75" customHeight="1" x14ac:dyDescent="0.2">
      <c r="A654" s="48"/>
      <c r="B654" s="51" t="s">
        <v>3</v>
      </c>
      <c r="C654" s="51" t="s">
        <v>3</v>
      </c>
      <c r="D654" s="24">
        <f>E654+F654+G654+H654+I654</f>
        <v>0</v>
      </c>
      <c r="E654" s="25"/>
      <c r="F654" s="25"/>
      <c r="G654" s="25"/>
      <c r="H654" s="25"/>
      <c r="I654" s="25"/>
      <c r="J654" s="53"/>
      <c r="K654" s="53"/>
      <c r="L654" s="53"/>
      <c r="M654" s="53"/>
      <c r="N654" s="53"/>
      <c r="O654" s="53"/>
      <c r="P654" s="53"/>
      <c r="Q654" s="57"/>
      <c r="R654" s="53"/>
      <c r="S654" s="53"/>
      <c r="T654" s="53"/>
      <c r="U654" s="53"/>
      <c r="V654" s="53"/>
    </row>
    <row r="655" spans="1:22" s="9" customFormat="1" ht="12.75" customHeight="1" x14ac:dyDescent="0.2">
      <c r="A655" s="48" t="s">
        <v>267</v>
      </c>
      <c r="B655" s="49" t="s">
        <v>21</v>
      </c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</row>
    <row r="656" spans="1:22" s="9" customFormat="1" x14ac:dyDescent="0.2">
      <c r="A656" s="48"/>
      <c r="B656" s="52" t="s">
        <v>461</v>
      </c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</row>
    <row r="657" spans="1:22" s="9" customFormat="1" ht="42" customHeight="1" x14ac:dyDescent="0.2">
      <c r="A657" s="48"/>
      <c r="B657" s="50" t="s">
        <v>217</v>
      </c>
      <c r="C657" s="50" t="s">
        <v>217</v>
      </c>
      <c r="D657" s="50"/>
      <c r="E657" s="50"/>
      <c r="F657" s="50"/>
      <c r="G657" s="50"/>
      <c r="H657" s="50"/>
      <c r="I657" s="50"/>
      <c r="J657" s="53" t="s">
        <v>60</v>
      </c>
      <c r="K657" s="53"/>
      <c r="L657" s="53" t="s">
        <v>549</v>
      </c>
      <c r="M657" s="53" t="s">
        <v>218</v>
      </c>
      <c r="N657" s="53" t="s">
        <v>21</v>
      </c>
      <c r="O657" s="53" t="s">
        <v>21</v>
      </c>
      <c r="P657" s="53" t="s">
        <v>172</v>
      </c>
      <c r="Q657" s="57" t="s">
        <v>320</v>
      </c>
      <c r="R657" s="53" t="s">
        <v>11</v>
      </c>
      <c r="S657" s="53" t="s">
        <v>163</v>
      </c>
      <c r="T657" s="53" t="s">
        <v>18</v>
      </c>
      <c r="U657" s="53"/>
      <c r="V657" s="53" t="s">
        <v>662</v>
      </c>
    </row>
    <row r="658" spans="1:22" s="9" customFormat="1" x14ac:dyDescent="0.2">
      <c r="A658" s="48"/>
      <c r="B658" s="51" t="s">
        <v>5</v>
      </c>
      <c r="C658" s="51" t="s">
        <v>5</v>
      </c>
      <c r="D658" s="24">
        <f>SUM(D659:D662)</f>
        <v>6115.2839999999997</v>
      </c>
      <c r="E658" s="25">
        <f>SUM(E659:E662)</f>
        <v>6115.2839999999997</v>
      </c>
      <c r="F658" s="25"/>
      <c r="G658" s="25"/>
      <c r="H658" s="25"/>
      <c r="I658" s="25"/>
      <c r="J658" s="53"/>
      <c r="K658" s="53"/>
      <c r="L658" s="53"/>
      <c r="M658" s="53"/>
      <c r="N658" s="53"/>
      <c r="O658" s="53"/>
      <c r="P658" s="53"/>
      <c r="Q658" s="57"/>
      <c r="R658" s="53"/>
      <c r="S658" s="53"/>
      <c r="T658" s="53"/>
      <c r="U658" s="53"/>
      <c r="V658" s="53"/>
    </row>
    <row r="659" spans="1:22" s="9" customFormat="1" x14ac:dyDescent="0.2">
      <c r="A659" s="48"/>
      <c r="B659" s="51" t="s">
        <v>0</v>
      </c>
      <c r="C659" s="51" t="s">
        <v>0</v>
      </c>
      <c r="D659" s="24">
        <f>E659+F659+G659+H659+I659</f>
        <v>0</v>
      </c>
      <c r="E659" s="25"/>
      <c r="F659" s="25"/>
      <c r="G659" s="25"/>
      <c r="H659" s="25"/>
      <c r="I659" s="25"/>
      <c r="J659" s="53"/>
      <c r="K659" s="53"/>
      <c r="L659" s="53"/>
      <c r="M659" s="53"/>
      <c r="N659" s="53"/>
      <c r="O659" s="53"/>
      <c r="P659" s="53"/>
      <c r="Q659" s="57"/>
      <c r="R659" s="53"/>
      <c r="S659" s="53"/>
      <c r="T659" s="53"/>
      <c r="U659" s="53"/>
      <c r="V659" s="53"/>
    </row>
    <row r="660" spans="1:22" s="9" customFormat="1" x14ac:dyDescent="0.2">
      <c r="A660" s="48"/>
      <c r="B660" s="51" t="s">
        <v>1</v>
      </c>
      <c r="C660" s="51" t="s">
        <v>1</v>
      </c>
      <c r="D660" s="24">
        <f>E660+F660+G660+H660+I660</f>
        <v>6115.2839999999997</v>
      </c>
      <c r="E660" s="25">
        <f>16762.64-10647.356</f>
        <v>6115.2839999999997</v>
      </c>
      <c r="F660" s="25"/>
      <c r="G660" s="25"/>
      <c r="H660" s="25"/>
      <c r="I660" s="25"/>
      <c r="J660" s="53"/>
      <c r="K660" s="53"/>
      <c r="L660" s="53"/>
      <c r="M660" s="53"/>
      <c r="N660" s="53"/>
      <c r="O660" s="53"/>
      <c r="P660" s="53"/>
      <c r="Q660" s="57"/>
      <c r="R660" s="53"/>
      <c r="S660" s="53"/>
      <c r="T660" s="53"/>
      <c r="U660" s="53"/>
      <c r="V660" s="53"/>
    </row>
    <row r="661" spans="1:22" s="9" customFormat="1" x14ac:dyDescent="0.2">
      <c r="A661" s="48"/>
      <c r="B661" s="51" t="s">
        <v>2</v>
      </c>
      <c r="C661" s="51" t="s">
        <v>2</v>
      </c>
      <c r="D661" s="24">
        <f>E661+F661+G661+H661+I661</f>
        <v>0</v>
      </c>
      <c r="E661" s="25"/>
      <c r="F661" s="25"/>
      <c r="G661" s="25"/>
      <c r="H661" s="25"/>
      <c r="I661" s="25"/>
      <c r="J661" s="53"/>
      <c r="K661" s="53"/>
      <c r="L661" s="53"/>
      <c r="M661" s="53"/>
      <c r="N661" s="53"/>
      <c r="O661" s="53"/>
      <c r="P661" s="53"/>
      <c r="Q661" s="57"/>
      <c r="R661" s="53"/>
      <c r="S661" s="53"/>
      <c r="T661" s="53"/>
      <c r="U661" s="53"/>
      <c r="V661" s="53"/>
    </row>
    <row r="662" spans="1:22" s="9" customFormat="1" ht="21.75" customHeight="1" x14ac:dyDescent="0.2">
      <c r="A662" s="48"/>
      <c r="B662" s="51" t="s">
        <v>3</v>
      </c>
      <c r="C662" s="51" t="s">
        <v>3</v>
      </c>
      <c r="D662" s="24">
        <f>E662+F662+G662+H662+I662</f>
        <v>0</v>
      </c>
      <c r="E662" s="25"/>
      <c r="F662" s="25"/>
      <c r="G662" s="25"/>
      <c r="H662" s="25"/>
      <c r="I662" s="25"/>
      <c r="J662" s="53"/>
      <c r="K662" s="53"/>
      <c r="L662" s="53"/>
      <c r="M662" s="53"/>
      <c r="N662" s="53"/>
      <c r="O662" s="53"/>
      <c r="P662" s="53"/>
      <c r="Q662" s="57"/>
      <c r="R662" s="53"/>
      <c r="S662" s="53"/>
      <c r="T662" s="53"/>
      <c r="U662" s="53"/>
      <c r="V662" s="53"/>
    </row>
    <row r="663" spans="1:22" s="9" customFormat="1" ht="12.75" customHeight="1" x14ac:dyDescent="0.2">
      <c r="A663" s="48" t="s">
        <v>268</v>
      </c>
      <c r="B663" s="49" t="s">
        <v>21</v>
      </c>
      <c r="C663" s="49"/>
      <c r="D663" s="49"/>
      <c r="E663" s="49"/>
      <c r="F663" s="49"/>
      <c r="G663" s="49"/>
      <c r="H663" s="49"/>
      <c r="I663" s="49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</row>
    <row r="664" spans="1:22" s="9" customFormat="1" x14ac:dyDescent="0.2">
      <c r="A664" s="48"/>
      <c r="B664" s="52" t="s">
        <v>461</v>
      </c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</row>
    <row r="665" spans="1:22" s="9" customFormat="1" ht="41.25" customHeight="1" x14ac:dyDescent="0.2">
      <c r="A665" s="48"/>
      <c r="B665" s="50" t="s">
        <v>465</v>
      </c>
      <c r="C665" s="50" t="s">
        <v>465</v>
      </c>
      <c r="D665" s="50"/>
      <c r="E665" s="50"/>
      <c r="F665" s="50"/>
      <c r="G665" s="50"/>
      <c r="H665" s="50"/>
      <c r="I665" s="50"/>
      <c r="J665" s="53" t="s">
        <v>76</v>
      </c>
      <c r="K665" s="53"/>
      <c r="L665" s="53" t="s">
        <v>549</v>
      </c>
      <c r="M665" s="53" t="s">
        <v>219</v>
      </c>
      <c r="N665" s="53" t="s">
        <v>21</v>
      </c>
      <c r="O665" s="53" t="s">
        <v>21</v>
      </c>
      <c r="P665" s="53" t="s">
        <v>172</v>
      </c>
      <c r="Q665" s="57" t="s">
        <v>290</v>
      </c>
      <c r="R665" s="53" t="s">
        <v>11</v>
      </c>
      <c r="S665" s="53" t="s">
        <v>163</v>
      </c>
      <c r="T665" s="53" t="s">
        <v>18</v>
      </c>
      <c r="U665" s="53"/>
      <c r="V665" s="53"/>
    </row>
    <row r="666" spans="1:22" s="9" customFormat="1" x14ac:dyDescent="0.2">
      <c r="A666" s="48"/>
      <c r="B666" s="51" t="s">
        <v>5</v>
      </c>
      <c r="C666" s="51" t="s">
        <v>5</v>
      </c>
      <c r="D666" s="24">
        <f>SUM(D667:D670)</f>
        <v>1234.3616600000241</v>
      </c>
      <c r="E666" s="25">
        <f>SUM(E667:E670)</f>
        <v>1234.3616600000241</v>
      </c>
      <c r="F666" s="25"/>
      <c r="G666" s="25"/>
      <c r="H666" s="25"/>
      <c r="I666" s="25"/>
      <c r="J666" s="53"/>
      <c r="K666" s="53"/>
      <c r="L666" s="53"/>
      <c r="M666" s="53"/>
      <c r="N666" s="53"/>
      <c r="O666" s="53"/>
      <c r="P666" s="53"/>
      <c r="Q666" s="57"/>
      <c r="R666" s="53"/>
      <c r="S666" s="53"/>
      <c r="T666" s="53"/>
      <c r="U666" s="53"/>
      <c r="V666" s="53"/>
    </row>
    <row r="667" spans="1:22" s="9" customFormat="1" x14ac:dyDescent="0.2">
      <c r="A667" s="48"/>
      <c r="B667" s="51" t="s">
        <v>0</v>
      </c>
      <c r="C667" s="51" t="s">
        <v>0</v>
      </c>
      <c r="D667" s="24">
        <f>E667+F667+G667+H667+I667</f>
        <v>0</v>
      </c>
      <c r="E667" s="25"/>
      <c r="F667" s="25"/>
      <c r="G667" s="25"/>
      <c r="H667" s="25"/>
      <c r="I667" s="25"/>
      <c r="J667" s="53"/>
      <c r="K667" s="53"/>
      <c r="L667" s="53"/>
      <c r="M667" s="53"/>
      <c r="N667" s="53"/>
      <c r="O667" s="53"/>
      <c r="P667" s="53"/>
      <c r="Q667" s="57"/>
      <c r="R667" s="53"/>
      <c r="S667" s="53"/>
      <c r="T667" s="53"/>
      <c r="U667" s="53"/>
      <c r="V667" s="53"/>
    </row>
    <row r="668" spans="1:22" s="9" customFormat="1" x14ac:dyDescent="0.2">
      <c r="A668" s="48"/>
      <c r="B668" s="51" t="s">
        <v>1</v>
      </c>
      <c r="C668" s="51" t="s">
        <v>1</v>
      </c>
      <c r="D668" s="24">
        <f>E668+F668+G668+H668+I668</f>
        <v>1234.3616600000241</v>
      </c>
      <c r="E668" s="25">
        <f>149137.746-18621.74568-97132.66699-32148.97167</f>
        <v>1234.3616600000241</v>
      </c>
      <c r="F668" s="25"/>
      <c r="G668" s="25"/>
      <c r="H668" s="25"/>
      <c r="I668" s="25"/>
      <c r="J668" s="53"/>
      <c r="K668" s="53"/>
      <c r="L668" s="53"/>
      <c r="M668" s="53"/>
      <c r="N668" s="53"/>
      <c r="O668" s="53"/>
      <c r="P668" s="53"/>
      <c r="Q668" s="57"/>
      <c r="R668" s="53"/>
      <c r="S668" s="53"/>
      <c r="T668" s="53"/>
      <c r="U668" s="53"/>
      <c r="V668" s="53"/>
    </row>
    <row r="669" spans="1:22" s="9" customFormat="1" x14ac:dyDescent="0.2">
      <c r="A669" s="48"/>
      <c r="B669" s="51" t="s">
        <v>2</v>
      </c>
      <c r="C669" s="51" t="s">
        <v>2</v>
      </c>
      <c r="D669" s="24">
        <f>E669+F669+G669+H669+I669</f>
        <v>0</v>
      </c>
      <c r="E669" s="25"/>
      <c r="F669" s="25"/>
      <c r="G669" s="25"/>
      <c r="H669" s="25"/>
      <c r="I669" s="25"/>
      <c r="J669" s="53"/>
      <c r="K669" s="53"/>
      <c r="L669" s="53"/>
      <c r="M669" s="53"/>
      <c r="N669" s="53"/>
      <c r="O669" s="53"/>
      <c r="P669" s="53"/>
      <c r="Q669" s="57"/>
      <c r="R669" s="53"/>
      <c r="S669" s="53"/>
      <c r="T669" s="53"/>
      <c r="U669" s="53"/>
      <c r="V669" s="53"/>
    </row>
    <row r="670" spans="1:22" s="9" customFormat="1" ht="21.75" customHeight="1" x14ac:dyDescent="0.2">
      <c r="A670" s="48"/>
      <c r="B670" s="51" t="s">
        <v>3</v>
      </c>
      <c r="C670" s="51" t="s">
        <v>3</v>
      </c>
      <c r="D670" s="24">
        <f>E670+F670+G670+H670+I670</f>
        <v>0</v>
      </c>
      <c r="E670" s="25"/>
      <c r="F670" s="25"/>
      <c r="G670" s="25"/>
      <c r="H670" s="25"/>
      <c r="I670" s="25"/>
      <c r="J670" s="53"/>
      <c r="K670" s="53"/>
      <c r="L670" s="53"/>
      <c r="M670" s="53"/>
      <c r="N670" s="53"/>
      <c r="O670" s="53"/>
      <c r="P670" s="53"/>
      <c r="Q670" s="57"/>
      <c r="R670" s="53"/>
      <c r="S670" s="53"/>
      <c r="T670" s="53"/>
      <c r="U670" s="53"/>
      <c r="V670" s="53"/>
    </row>
    <row r="671" spans="1:22" s="9" customFormat="1" ht="12.75" customHeight="1" x14ac:dyDescent="0.2">
      <c r="A671" s="48" t="s">
        <v>269</v>
      </c>
      <c r="B671" s="49" t="s">
        <v>21</v>
      </c>
      <c r="C671" s="49"/>
      <c r="D671" s="49"/>
      <c r="E671" s="49"/>
      <c r="F671" s="49"/>
      <c r="G671" s="49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</row>
    <row r="672" spans="1:22" s="9" customFormat="1" x14ac:dyDescent="0.2">
      <c r="A672" s="48"/>
      <c r="B672" s="52" t="s">
        <v>461</v>
      </c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</row>
    <row r="673" spans="1:22" s="9" customFormat="1" ht="41.25" customHeight="1" x14ac:dyDescent="0.2">
      <c r="A673" s="48"/>
      <c r="B673" s="50" t="s">
        <v>346</v>
      </c>
      <c r="C673" s="50" t="s">
        <v>346</v>
      </c>
      <c r="D673" s="50"/>
      <c r="E673" s="50"/>
      <c r="F673" s="50"/>
      <c r="G673" s="50"/>
      <c r="H673" s="50"/>
      <c r="I673" s="50"/>
      <c r="J673" s="53" t="s">
        <v>76</v>
      </c>
      <c r="K673" s="53"/>
      <c r="L673" s="53" t="s">
        <v>71</v>
      </c>
      <c r="M673" s="53" t="s">
        <v>347</v>
      </c>
      <c r="N673" s="53" t="s">
        <v>205</v>
      </c>
      <c r="O673" s="53" t="s">
        <v>206</v>
      </c>
      <c r="P673" s="53" t="s">
        <v>206</v>
      </c>
      <c r="Q673" s="57" t="s">
        <v>291</v>
      </c>
      <c r="R673" s="53" t="s">
        <v>9</v>
      </c>
      <c r="S673" s="53" t="s">
        <v>205</v>
      </c>
      <c r="T673" s="53" t="s">
        <v>18</v>
      </c>
      <c r="U673" s="53"/>
      <c r="V673" s="53" t="s">
        <v>663</v>
      </c>
    </row>
    <row r="674" spans="1:22" s="9" customFormat="1" x14ac:dyDescent="0.2">
      <c r="A674" s="48"/>
      <c r="B674" s="51" t="s">
        <v>5</v>
      </c>
      <c r="C674" s="51" t="s">
        <v>5</v>
      </c>
      <c r="D674" s="24">
        <f>SUM(D675:D678)</f>
        <v>62173.651120000002</v>
      </c>
      <c r="E674" s="25">
        <f>SUM(E675:E678)</f>
        <v>35552.911119999997</v>
      </c>
      <c r="F674" s="25">
        <f>SUM(F675:F678)</f>
        <v>26620.74</v>
      </c>
      <c r="G674" s="25"/>
      <c r="H674" s="25"/>
      <c r="I674" s="25"/>
      <c r="J674" s="53"/>
      <c r="K674" s="53"/>
      <c r="L674" s="53"/>
      <c r="M674" s="53"/>
      <c r="N674" s="53"/>
      <c r="O674" s="53"/>
      <c r="P674" s="53"/>
      <c r="Q674" s="57"/>
      <c r="R674" s="53"/>
      <c r="S674" s="53"/>
      <c r="T674" s="53"/>
      <c r="U674" s="53"/>
      <c r="V674" s="53"/>
    </row>
    <row r="675" spans="1:22" s="9" customFormat="1" x14ac:dyDescent="0.2">
      <c r="A675" s="48"/>
      <c r="B675" s="51" t="s">
        <v>0</v>
      </c>
      <c r="C675" s="51" t="s">
        <v>0</v>
      </c>
      <c r="D675" s="24">
        <f>E675+F675+G675+H675+I675</f>
        <v>0</v>
      </c>
      <c r="E675" s="25"/>
      <c r="F675" s="25"/>
      <c r="G675" s="25"/>
      <c r="H675" s="25"/>
      <c r="I675" s="25"/>
      <c r="J675" s="53"/>
      <c r="K675" s="53"/>
      <c r="L675" s="53"/>
      <c r="M675" s="53"/>
      <c r="N675" s="53"/>
      <c r="O675" s="53"/>
      <c r="P675" s="53"/>
      <c r="Q675" s="57"/>
      <c r="R675" s="53"/>
      <c r="S675" s="53"/>
      <c r="T675" s="53"/>
      <c r="U675" s="53"/>
      <c r="V675" s="53"/>
    </row>
    <row r="676" spans="1:22" s="9" customFormat="1" x14ac:dyDescent="0.2">
      <c r="A676" s="48"/>
      <c r="B676" s="51" t="s">
        <v>1</v>
      </c>
      <c r="C676" s="51" t="s">
        <v>1</v>
      </c>
      <c r="D676" s="24">
        <f>E676+F676+G676+H676+I676</f>
        <v>59578.611120000001</v>
      </c>
      <c r="E676" s="25">
        <f>24016.81+13300-3027.89888</f>
        <v>34288.911119999997</v>
      </c>
      <c r="F676" s="25">
        <v>25289.7</v>
      </c>
      <c r="G676" s="25"/>
      <c r="H676" s="25"/>
      <c r="I676" s="25"/>
      <c r="J676" s="53"/>
      <c r="K676" s="53"/>
      <c r="L676" s="53"/>
      <c r="M676" s="53"/>
      <c r="N676" s="53"/>
      <c r="O676" s="53"/>
      <c r="P676" s="53"/>
      <c r="Q676" s="57"/>
      <c r="R676" s="53"/>
      <c r="S676" s="53"/>
      <c r="T676" s="53"/>
      <c r="U676" s="53"/>
      <c r="V676" s="53"/>
    </row>
    <row r="677" spans="1:22" s="9" customFormat="1" x14ac:dyDescent="0.2">
      <c r="A677" s="48"/>
      <c r="B677" s="51" t="s">
        <v>2</v>
      </c>
      <c r="C677" s="51" t="s">
        <v>2</v>
      </c>
      <c r="D677" s="24">
        <f>E677+F677+G677+H677+I677</f>
        <v>2595.04</v>
      </c>
      <c r="E677" s="25">
        <v>1264</v>
      </c>
      <c r="F677" s="25">
        <v>1331.04</v>
      </c>
      <c r="G677" s="25"/>
      <c r="H677" s="25"/>
      <c r="I677" s="25"/>
      <c r="J677" s="53"/>
      <c r="K677" s="53"/>
      <c r="L677" s="53"/>
      <c r="M677" s="53"/>
      <c r="N677" s="53"/>
      <c r="O677" s="53"/>
      <c r="P677" s="53"/>
      <c r="Q677" s="57"/>
      <c r="R677" s="53"/>
      <c r="S677" s="53"/>
      <c r="T677" s="53"/>
      <c r="U677" s="53"/>
      <c r="V677" s="53"/>
    </row>
    <row r="678" spans="1:22" s="9" customFormat="1" ht="21.75" customHeight="1" x14ac:dyDescent="0.2">
      <c r="A678" s="48"/>
      <c r="B678" s="51" t="s">
        <v>3</v>
      </c>
      <c r="C678" s="51" t="s">
        <v>3</v>
      </c>
      <c r="D678" s="24">
        <f>E678+F678+G678+H678+I678</f>
        <v>0</v>
      </c>
      <c r="E678" s="25"/>
      <c r="F678" s="25"/>
      <c r="G678" s="25"/>
      <c r="H678" s="25"/>
      <c r="I678" s="25"/>
      <c r="J678" s="53"/>
      <c r="K678" s="53"/>
      <c r="L678" s="53"/>
      <c r="M678" s="53"/>
      <c r="N678" s="53"/>
      <c r="O678" s="53"/>
      <c r="P678" s="53"/>
      <c r="Q678" s="57"/>
      <c r="R678" s="53"/>
      <c r="S678" s="53"/>
      <c r="T678" s="53"/>
      <c r="U678" s="53"/>
      <c r="V678" s="53"/>
    </row>
    <row r="679" spans="1:22" s="9" customFormat="1" ht="12.75" customHeight="1" x14ac:dyDescent="0.2">
      <c r="A679" s="48" t="s">
        <v>270</v>
      </c>
      <c r="B679" s="49" t="s">
        <v>21</v>
      </c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</row>
    <row r="680" spans="1:22" s="9" customFormat="1" x14ac:dyDescent="0.2">
      <c r="A680" s="48"/>
      <c r="B680" s="52" t="s">
        <v>461</v>
      </c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</row>
    <row r="681" spans="1:22" s="9" customFormat="1" ht="43.5" customHeight="1" x14ac:dyDescent="0.2">
      <c r="A681" s="48"/>
      <c r="B681" s="50" t="s">
        <v>483</v>
      </c>
      <c r="C681" s="50" t="s">
        <v>483</v>
      </c>
      <c r="D681" s="50"/>
      <c r="E681" s="50"/>
      <c r="F681" s="50"/>
      <c r="G681" s="50"/>
      <c r="H681" s="50"/>
      <c r="I681" s="50"/>
      <c r="J681" s="53" t="s">
        <v>111</v>
      </c>
      <c r="K681" s="53" t="s">
        <v>76</v>
      </c>
      <c r="L681" s="53" t="s">
        <v>71</v>
      </c>
      <c r="M681" s="53" t="s">
        <v>512</v>
      </c>
      <c r="N681" s="53" t="s">
        <v>513</v>
      </c>
      <c r="O681" s="53" t="s">
        <v>514</v>
      </c>
      <c r="P681" s="53" t="s">
        <v>514</v>
      </c>
      <c r="Q681" s="57" t="s">
        <v>515</v>
      </c>
      <c r="R681" s="53" t="s">
        <v>9</v>
      </c>
      <c r="S681" s="53" t="s">
        <v>513</v>
      </c>
      <c r="T681" s="53" t="s">
        <v>18</v>
      </c>
      <c r="U681" s="53"/>
      <c r="V681" s="53"/>
    </row>
    <row r="682" spans="1:22" s="9" customFormat="1" x14ac:dyDescent="0.2">
      <c r="A682" s="48"/>
      <c r="B682" s="51" t="s">
        <v>5</v>
      </c>
      <c r="C682" s="51" t="s">
        <v>5</v>
      </c>
      <c r="D682" s="24">
        <f>SUM(D683:D686)</f>
        <v>8408.4</v>
      </c>
      <c r="E682" s="25">
        <f>SUM(E683:E686)</f>
        <v>8408.4</v>
      </c>
      <c r="F682" s="25"/>
      <c r="G682" s="25"/>
      <c r="H682" s="25"/>
      <c r="I682" s="25"/>
      <c r="J682" s="53"/>
      <c r="K682" s="53"/>
      <c r="L682" s="53"/>
      <c r="M682" s="53"/>
      <c r="N682" s="53"/>
      <c r="O682" s="53"/>
      <c r="P682" s="53"/>
      <c r="Q682" s="57"/>
      <c r="R682" s="53"/>
      <c r="S682" s="53"/>
      <c r="T682" s="53"/>
      <c r="U682" s="53"/>
      <c r="V682" s="53"/>
    </row>
    <row r="683" spans="1:22" s="9" customFormat="1" x14ac:dyDescent="0.2">
      <c r="A683" s="48"/>
      <c r="B683" s="51" t="s">
        <v>0</v>
      </c>
      <c r="C683" s="51" t="s">
        <v>0</v>
      </c>
      <c r="D683" s="24">
        <f>E683+F683+G683+H683+I683</f>
        <v>0</v>
      </c>
      <c r="E683" s="25"/>
      <c r="F683" s="25"/>
      <c r="G683" s="25"/>
      <c r="H683" s="25"/>
      <c r="I683" s="25"/>
      <c r="J683" s="53"/>
      <c r="K683" s="53"/>
      <c r="L683" s="53"/>
      <c r="M683" s="53"/>
      <c r="N683" s="53"/>
      <c r="O683" s="53"/>
      <c r="P683" s="53"/>
      <c r="Q683" s="57"/>
      <c r="R683" s="53"/>
      <c r="S683" s="53"/>
      <c r="T683" s="53"/>
      <c r="U683" s="53"/>
      <c r="V683" s="53"/>
    </row>
    <row r="684" spans="1:22" s="9" customFormat="1" x14ac:dyDescent="0.2">
      <c r="A684" s="48"/>
      <c r="B684" s="51" t="s">
        <v>1</v>
      </c>
      <c r="C684" s="51" t="s">
        <v>1</v>
      </c>
      <c r="D684" s="24">
        <f>E684+F684+G684+H684+I684</f>
        <v>8408.4</v>
      </c>
      <c r="E684" s="25">
        <f>8500-91.6</f>
        <v>8408.4</v>
      </c>
      <c r="F684" s="25"/>
      <c r="G684" s="25"/>
      <c r="H684" s="25"/>
      <c r="I684" s="25"/>
      <c r="J684" s="53"/>
      <c r="K684" s="53"/>
      <c r="L684" s="53"/>
      <c r="M684" s="53"/>
      <c r="N684" s="53"/>
      <c r="O684" s="53"/>
      <c r="P684" s="53"/>
      <c r="Q684" s="57"/>
      <c r="R684" s="53"/>
      <c r="S684" s="53"/>
      <c r="T684" s="53"/>
      <c r="U684" s="53"/>
      <c r="V684" s="53"/>
    </row>
    <row r="685" spans="1:22" s="9" customFormat="1" x14ac:dyDescent="0.2">
      <c r="A685" s="48"/>
      <c r="B685" s="51" t="s">
        <v>2</v>
      </c>
      <c r="C685" s="51" t="s">
        <v>2</v>
      </c>
      <c r="D685" s="24">
        <f>E685+F685+G685+H685+I685</f>
        <v>0</v>
      </c>
      <c r="E685" s="25"/>
      <c r="F685" s="25"/>
      <c r="G685" s="25"/>
      <c r="H685" s="25"/>
      <c r="I685" s="25"/>
      <c r="J685" s="53"/>
      <c r="K685" s="53"/>
      <c r="L685" s="53"/>
      <c r="M685" s="53"/>
      <c r="N685" s="53"/>
      <c r="O685" s="53"/>
      <c r="P685" s="53"/>
      <c r="Q685" s="57"/>
      <c r="R685" s="53"/>
      <c r="S685" s="53"/>
      <c r="T685" s="53"/>
      <c r="U685" s="53"/>
      <c r="V685" s="53"/>
    </row>
    <row r="686" spans="1:22" s="9" customFormat="1" ht="21.75" customHeight="1" x14ac:dyDescent="0.2">
      <c r="A686" s="48"/>
      <c r="B686" s="51" t="s">
        <v>3</v>
      </c>
      <c r="C686" s="51" t="s">
        <v>3</v>
      </c>
      <c r="D686" s="24">
        <f>E686+F686+G686+H686+I686</f>
        <v>0</v>
      </c>
      <c r="E686" s="25"/>
      <c r="F686" s="25"/>
      <c r="G686" s="25"/>
      <c r="H686" s="25"/>
      <c r="I686" s="25"/>
      <c r="J686" s="53"/>
      <c r="K686" s="53"/>
      <c r="L686" s="53"/>
      <c r="M686" s="53"/>
      <c r="N686" s="53"/>
      <c r="O686" s="53"/>
      <c r="P686" s="53"/>
      <c r="Q686" s="57"/>
      <c r="R686" s="53"/>
      <c r="S686" s="53"/>
      <c r="T686" s="53"/>
      <c r="U686" s="53"/>
      <c r="V686" s="53"/>
    </row>
    <row r="687" spans="1:22" s="9" customFormat="1" ht="12.75" customHeight="1" x14ac:dyDescent="0.2">
      <c r="A687" s="48" t="s">
        <v>699</v>
      </c>
      <c r="B687" s="49" t="s">
        <v>21</v>
      </c>
      <c r="C687" s="49"/>
      <c r="D687" s="49"/>
      <c r="E687" s="49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</row>
    <row r="688" spans="1:22" s="9" customFormat="1" x14ac:dyDescent="0.2">
      <c r="A688" s="48"/>
      <c r="B688" s="52" t="s">
        <v>461</v>
      </c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</row>
    <row r="689" spans="1:22" s="9" customFormat="1" ht="42.75" customHeight="1" x14ac:dyDescent="0.2">
      <c r="A689" s="48"/>
      <c r="B689" s="50" t="s">
        <v>304</v>
      </c>
      <c r="C689" s="50" t="s">
        <v>304</v>
      </c>
      <c r="D689" s="50"/>
      <c r="E689" s="50"/>
      <c r="F689" s="50"/>
      <c r="G689" s="50"/>
      <c r="H689" s="50"/>
      <c r="I689" s="50"/>
      <c r="J689" s="53" t="s">
        <v>231</v>
      </c>
      <c r="K689" s="53"/>
      <c r="L689" s="53" t="s">
        <v>71</v>
      </c>
      <c r="M689" s="53" t="s">
        <v>220</v>
      </c>
      <c r="N689" s="53" t="s">
        <v>91</v>
      </c>
      <c r="O689" s="53" t="s">
        <v>333</v>
      </c>
      <c r="P689" s="53" t="s">
        <v>333</v>
      </c>
      <c r="Q689" s="57" t="s">
        <v>292</v>
      </c>
      <c r="R689" s="53" t="s">
        <v>9</v>
      </c>
      <c r="S689" s="53" t="s">
        <v>91</v>
      </c>
      <c r="T689" s="53" t="s">
        <v>7</v>
      </c>
      <c r="U689" s="53"/>
      <c r="V689" s="53" t="s">
        <v>664</v>
      </c>
    </row>
    <row r="690" spans="1:22" s="9" customFormat="1" x14ac:dyDescent="0.2">
      <c r="A690" s="48"/>
      <c r="B690" s="51" t="s">
        <v>5</v>
      </c>
      <c r="C690" s="51" t="s">
        <v>5</v>
      </c>
      <c r="D690" s="24">
        <f>SUM(D691:D694)</f>
        <v>83000</v>
      </c>
      <c r="E690" s="25">
        <f>SUM(E691:E694)</f>
        <v>24000</v>
      </c>
      <c r="F690" s="25">
        <f>SUM(F691:F694)</f>
        <v>28000</v>
      </c>
      <c r="G690" s="25">
        <f>SUM(G691:G694)</f>
        <v>31000</v>
      </c>
      <c r="H690" s="25"/>
      <c r="I690" s="25"/>
      <c r="J690" s="53"/>
      <c r="K690" s="53"/>
      <c r="L690" s="53"/>
      <c r="M690" s="53"/>
      <c r="N690" s="53"/>
      <c r="O690" s="53"/>
      <c r="P690" s="53"/>
      <c r="Q690" s="57"/>
      <c r="R690" s="53"/>
      <c r="S690" s="53"/>
      <c r="T690" s="53"/>
      <c r="U690" s="53"/>
      <c r="V690" s="53"/>
    </row>
    <row r="691" spans="1:22" s="9" customFormat="1" x14ac:dyDescent="0.2">
      <c r="A691" s="48"/>
      <c r="B691" s="51" t="s">
        <v>0</v>
      </c>
      <c r="C691" s="51" t="s">
        <v>0</v>
      </c>
      <c r="D691" s="24">
        <f>E691+F691+G691+H691+I691</f>
        <v>0</v>
      </c>
      <c r="E691" s="25"/>
      <c r="F691" s="25"/>
      <c r="G691" s="25"/>
      <c r="H691" s="25"/>
      <c r="I691" s="25"/>
      <c r="J691" s="53"/>
      <c r="K691" s="53"/>
      <c r="L691" s="53"/>
      <c r="M691" s="53"/>
      <c r="N691" s="53"/>
      <c r="O691" s="53"/>
      <c r="P691" s="53"/>
      <c r="Q691" s="57"/>
      <c r="R691" s="53"/>
      <c r="S691" s="53"/>
      <c r="T691" s="53"/>
      <c r="U691" s="53"/>
      <c r="V691" s="53"/>
    </row>
    <row r="692" spans="1:22" s="9" customFormat="1" x14ac:dyDescent="0.2">
      <c r="A692" s="48"/>
      <c r="B692" s="51" t="s">
        <v>1</v>
      </c>
      <c r="C692" s="51" t="s">
        <v>1</v>
      </c>
      <c r="D692" s="24">
        <f>E692+F692+G692+H692+I692</f>
        <v>81340</v>
      </c>
      <c r="E692" s="25">
        <v>23520</v>
      </c>
      <c r="F692" s="25">
        <v>27440</v>
      </c>
      <c r="G692" s="25">
        <v>30380</v>
      </c>
      <c r="H692" s="25"/>
      <c r="I692" s="25"/>
      <c r="J692" s="53"/>
      <c r="K692" s="53"/>
      <c r="L692" s="53"/>
      <c r="M692" s="53"/>
      <c r="N692" s="53"/>
      <c r="O692" s="53"/>
      <c r="P692" s="53"/>
      <c r="Q692" s="57"/>
      <c r="R692" s="53"/>
      <c r="S692" s="53"/>
      <c r="T692" s="53"/>
      <c r="U692" s="53"/>
      <c r="V692" s="53"/>
    </row>
    <row r="693" spans="1:22" s="9" customFormat="1" x14ac:dyDescent="0.2">
      <c r="A693" s="48"/>
      <c r="B693" s="51" t="s">
        <v>2</v>
      </c>
      <c r="C693" s="51" t="s">
        <v>2</v>
      </c>
      <c r="D693" s="24">
        <f>E693+F693+G693+H693+I693</f>
        <v>1660</v>
      </c>
      <c r="E693" s="25">
        <v>480</v>
      </c>
      <c r="F693" s="25">
        <v>560</v>
      </c>
      <c r="G693" s="25">
        <v>620</v>
      </c>
      <c r="H693" s="25"/>
      <c r="I693" s="25"/>
      <c r="J693" s="53"/>
      <c r="K693" s="53"/>
      <c r="L693" s="53"/>
      <c r="M693" s="53"/>
      <c r="N693" s="53"/>
      <c r="O693" s="53"/>
      <c r="P693" s="53"/>
      <c r="Q693" s="57"/>
      <c r="R693" s="53"/>
      <c r="S693" s="53"/>
      <c r="T693" s="53"/>
      <c r="U693" s="53"/>
      <c r="V693" s="53"/>
    </row>
    <row r="694" spans="1:22" s="9" customFormat="1" ht="21.75" customHeight="1" x14ac:dyDescent="0.2">
      <c r="A694" s="48"/>
      <c r="B694" s="51" t="s">
        <v>3</v>
      </c>
      <c r="C694" s="51" t="s">
        <v>3</v>
      </c>
      <c r="D694" s="24">
        <f>E694+F694+G694+H694+I694</f>
        <v>0</v>
      </c>
      <c r="E694" s="25"/>
      <c r="F694" s="25"/>
      <c r="G694" s="25"/>
      <c r="H694" s="25"/>
      <c r="I694" s="25"/>
      <c r="J694" s="53"/>
      <c r="K694" s="53"/>
      <c r="L694" s="53"/>
      <c r="M694" s="53"/>
      <c r="N694" s="53"/>
      <c r="O694" s="53"/>
      <c r="P694" s="53"/>
      <c r="Q694" s="57"/>
      <c r="R694" s="53"/>
      <c r="S694" s="53"/>
      <c r="T694" s="53"/>
      <c r="U694" s="53"/>
      <c r="V694" s="53"/>
    </row>
    <row r="695" spans="1:22" s="9" customFormat="1" ht="12.75" customHeight="1" x14ac:dyDescent="0.2">
      <c r="A695" s="48" t="s">
        <v>271</v>
      </c>
      <c r="B695" s="49" t="s">
        <v>21</v>
      </c>
      <c r="C695" s="49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</row>
    <row r="696" spans="1:22" s="9" customFormat="1" x14ac:dyDescent="0.2">
      <c r="A696" s="48"/>
      <c r="B696" s="52" t="s">
        <v>460</v>
      </c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</row>
    <row r="697" spans="1:22" s="9" customFormat="1" ht="44.25" customHeight="1" x14ac:dyDescent="0.2">
      <c r="A697" s="48"/>
      <c r="B697" s="50" t="s">
        <v>696</v>
      </c>
      <c r="C697" s="50" t="s">
        <v>594</v>
      </c>
      <c r="D697" s="50"/>
      <c r="E697" s="50"/>
      <c r="F697" s="50"/>
      <c r="G697" s="50"/>
      <c r="H697" s="50"/>
      <c r="I697" s="50"/>
      <c r="J697" s="53"/>
      <c r="K697" s="53" t="s">
        <v>60</v>
      </c>
      <c r="L697" s="53" t="s">
        <v>71</v>
      </c>
      <c r="M697" s="53"/>
      <c r="N697" s="53" t="s">
        <v>533</v>
      </c>
      <c r="O697" s="53" t="s">
        <v>505</v>
      </c>
      <c r="P697" s="53" t="s">
        <v>505</v>
      </c>
      <c r="Q697" s="57"/>
      <c r="R697" s="53" t="s">
        <v>9</v>
      </c>
      <c r="S697" s="53" t="s">
        <v>12</v>
      </c>
      <c r="T697" s="53" t="s">
        <v>85</v>
      </c>
      <c r="U697" s="53"/>
      <c r="V697" s="53"/>
    </row>
    <row r="698" spans="1:22" s="9" customFormat="1" x14ac:dyDescent="0.2">
      <c r="A698" s="48"/>
      <c r="B698" s="51" t="s">
        <v>5</v>
      </c>
      <c r="C698" s="51" t="s">
        <v>5</v>
      </c>
      <c r="D698" s="24">
        <f t="shared" ref="D698" si="52">SUM(D699:D702)</f>
        <v>7141.13886</v>
      </c>
      <c r="E698" s="25">
        <f>SUM(E699:E702)</f>
        <v>7141.13886</v>
      </c>
      <c r="F698" s="25"/>
      <c r="G698" s="25"/>
      <c r="H698" s="25"/>
      <c r="I698" s="25"/>
      <c r="J698" s="53"/>
      <c r="K698" s="53"/>
      <c r="L698" s="53"/>
      <c r="M698" s="53"/>
      <c r="N698" s="53"/>
      <c r="O698" s="53"/>
      <c r="P698" s="53"/>
      <c r="Q698" s="57"/>
      <c r="R698" s="53"/>
      <c r="S698" s="53"/>
      <c r="T698" s="53"/>
      <c r="U698" s="53"/>
      <c r="V698" s="53"/>
    </row>
    <row r="699" spans="1:22" s="9" customFormat="1" x14ac:dyDescent="0.2">
      <c r="A699" s="48"/>
      <c r="B699" s="51" t="s">
        <v>0</v>
      </c>
      <c r="C699" s="51" t="s">
        <v>0</v>
      </c>
      <c r="D699" s="24">
        <f>E699+F699+G699+H699+I699</f>
        <v>0</v>
      </c>
      <c r="E699" s="25"/>
      <c r="F699" s="25"/>
      <c r="G699" s="25"/>
      <c r="H699" s="25"/>
      <c r="I699" s="25"/>
      <c r="J699" s="53"/>
      <c r="K699" s="53"/>
      <c r="L699" s="53"/>
      <c r="M699" s="53"/>
      <c r="N699" s="53"/>
      <c r="O699" s="53"/>
      <c r="P699" s="53"/>
      <c r="Q699" s="57"/>
      <c r="R699" s="53"/>
      <c r="S699" s="53"/>
      <c r="T699" s="53"/>
      <c r="U699" s="53"/>
      <c r="V699" s="53"/>
    </row>
    <row r="700" spans="1:22" s="9" customFormat="1" x14ac:dyDescent="0.2">
      <c r="A700" s="48"/>
      <c r="B700" s="51" t="s">
        <v>1</v>
      </c>
      <c r="C700" s="51" t="s">
        <v>1</v>
      </c>
      <c r="D700" s="24">
        <f>E700+F700+G700+H700+I700</f>
        <v>6917.5244599999996</v>
      </c>
      <c r="E700" s="25">
        <f>11180.72-4263.19554</f>
        <v>6917.5244599999996</v>
      </c>
      <c r="F700" s="25"/>
      <c r="G700" s="25"/>
      <c r="H700" s="25"/>
      <c r="I700" s="25"/>
      <c r="J700" s="53"/>
      <c r="K700" s="53"/>
      <c r="L700" s="53"/>
      <c r="M700" s="53"/>
      <c r="N700" s="53"/>
      <c r="O700" s="53"/>
      <c r="P700" s="53"/>
      <c r="Q700" s="57"/>
      <c r="R700" s="53"/>
      <c r="S700" s="53"/>
      <c r="T700" s="53"/>
      <c r="U700" s="53"/>
      <c r="V700" s="53"/>
    </row>
    <row r="701" spans="1:22" s="9" customFormat="1" x14ac:dyDescent="0.2">
      <c r="A701" s="48"/>
      <c r="B701" s="51" t="s">
        <v>2</v>
      </c>
      <c r="C701" s="51" t="s">
        <v>2</v>
      </c>
      <c r="D701" s="24">
        <f>E701+F701+G701+H701+I701</f>
        <v>223.61439999999999</v>
      </c>
      <c r="E701" s="25">
        <v>223.61439999999999</v>
      </c>
      <c r="F701" s="25"/>
      <c r="G701" s="25"/>
      <c r="H701" s="25"/>
      <c r="I701" s="25"/>
      <c r="J701" s="53"/>
      <c r="K701" s="53"/>
      <c r="L701" s="53"/>
      <c r="M701" s="53"/>
      <c r="N701" s="53"/>
      <c r="O701" s="53"/>
      <c r="P701" s="53"/>
      <c r="Q701" s="57"/>
      <c r="R701" s="53"/>
      <c r="S701" s="53"/>
      <c r="T701" s="53"/>
      <c r="U701" s="53"/>
      <c r="V701" s="53"/>
    </row>
    <row r="702" spans="1:22" s="9" customFormat="1" ht="21.75" customHeight="1" x14ac:dyDescent="0.2">
      <c r="A702" s="48"/>
      <c r="B702" s="51" t="s">
        <v>3</v>
      </c>
      <c r="C702" s="51" t="s">
        <v>3</v>
      </c>
      <c r="D702" s="24">
        <f>E702+F702+G702+H702+I702</f>
        <v>0</v>
      </c>
      <c r="E702" s="25"/>
      <c r="F702" s="25"/>
      <c r="G702" s="25"/>
      <c r="H702" s="25"/>
      <c r="I702" s="25"/>
      <c r="J702" s="53"/>
      <c r="K702" s="53"/>
      <c r="L702" s="53"/>
      <c r="M702" s="53"/>
      <c r="N702" s="53"/>
      <c r="O702" s="53"/>
      <c r="P702" s="53"/>
      <c r="Q702" s="57"/>
      <c r="R702" s="53"/>
      <c r="S702" s="53"/>
      <c r="T702" s="53"/>
      <c r="U702" s="53"/>
      <c r="V702" s="53"/>
    </row>
    <row r="703" spans="1:22" s="9" customFormat="1" ht="12.75" customHeight="1" x14ac:dyDescent="0.2">
      <c r="A703" s="48" t="s">
        <v>478</v>
      </c>
      <c r="B703" s="49" t="s">
        <v>21</v>
      </c>
      <c r="C703" s="49"/>
      <c r="D703" s="49"/>
      <c r="E703" s="49"/>
      <c r="F703" s="49"/>
      <c r="G703" s="49"/>
      <c r="H703" s="49"/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49"/>
    </row>
    <row r="704" spans="1:22" s="9" customFormat="1" x14ac:dyDescent="0.2">
      <c r="A704" s="48"/>
      <c r="B704" s="52" t="s">
        <v>460</v>
      </c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</row>
    <row r="705" spans="1:22" s="9" customFormat="1" ht="41.25" customHeight="1" x14ac:dyDescent="0.2">
      <c r="A705" s="48"/>
      <c r="B705" s="50" t="s">
        <v>697</v>
      </c>
      <c r="C705" s="50" t="s">
        <v>595</v>
      </c>
      <c r="D705" s="50"/>
      <c r="E705" s="50"/>
      <c r="F705" s="50"/>
      <c r="G705" s="50"/>
      <c r="H705" s="50"/>
      <c r="I705" s="50"/>
      <c r="J705" s="53"/>
      <c r="K705" s="53" t="s">
        <v>60</v>
      </c>
      <c r="L705" s="53" t="s">
        <v>71</v>
      </c>
      <c r="M705" s="53"/>
      <c r="N705" s="53" t="s">
        <v>533</v>
      </c>
      <c r="O705" s="53" t="s">
        <v>505</v>
      </c>
      <c r="P705" s="53" t="s">
        <v>505</v>
      </c>
      <c r="Q705" s="57"/>
      <c r="R705" s="53" t="s">
        <v>9</v>
      </c>
      <c r="S705" s="53" t="s">
        <v>12</v>
      </c>
      <c r="T705" s="53" t="s">
        <v>85</v>
      </c>
      <c r="U705" s="53"/>
      <c r="V705" s="53"/>
    </row>
    <row r="706" spans="1:22" s="9" customFormat="1" x14ac:dyDescent="0.2">
      <c r="A706" s="48"/>
      <c r="B706" s="51" t="s">
        <v>5</v>
      </c>
      <c r="C706" s="51" t="s">
        <v>5</v>
      </c>
      <c r="D706" s="24">
        <f t="shared" ref="D706" si="53">SUM(D707:D710)</f>
        <v>19328.191409999999</v>
      </c>
      <c r="E706" s="25">
        <f>SUM(E707:E710)</f>
        <v>19328.191409999999</v>
      </c>
      <c r="F706" s="25"/>
      <c r="G706" s="25"/>
      <c r="H706" s="25"/>
      <c r="I706" s="25"/>
      <c r="J706" s="53"/>
      <c r="K706" s="53"/>
      <c r="L706" s="53"/>
      <c r="M706" s="53"/>
      <c r="N706" s="53"/>
      <c r="O706" s="53"/>
      <c r="P706" s="53"/>
      <c r="Q706" s="57"/>
      <c r="R706" s="53"/>
      <c r="S706" s="53"/>
      <c r="T706" s="53"/>
      <c r="U706" s="53"/>
      <c r="V706" s="53"/>
    </row>
    <row r="707" spans="1:22" s="9" customFormat="1" x14ac:dyDescent="0.2">
      <c r="A707" s="48"/>
      <c r="B707" s="51" t="s">
        <v>0</v>
      </c>
      <c r="C707" s="51" t="s">
        <v>0</v>
      </c>
      <c r="D707" s="24">
        <f>E707+F707+G707+H707+I707</f>
        <v>0</v>
      </c>
      <c r="E707" s="25"/>
      <c r="F707" s="25"/>
      <c r="G707" s="25"/>
      <c r="H707" s="25"/>
      <c r="I707" s="25"/>
      <c r="J707" s="53"/>
      <c r="K707" s="53"/>
      <c r="L707" s="53"/>
      <c r="M707" s="53"/>
      <c r="N707" s="53"/>
      <c r="O707" s="53"/>
      <c r="P707" s="53"/>
      <c r="Q707" s="57"/>
      <c r="R707" s="53"/>
      <c r="S707" s="53"/>
      <c r="T707" s="53"/>
      <c r="U707" s="53"/>
      <c r="V707" s="53"/>
    </row>
    <row r="708" spans="1:22" s="9" customFormat="1" x14ac:dyDescent="0.2">
      <c r="A708" s="48"/>
      <c r="B708" s="51" t="s">
        <v>1</v>
      </c>
      <c r="C708" s="51" t="s">
        <v>1</v>
      </c>
      <c r="D708" s="24">
        <f>E708+F708+G708+H708+I708</f>
        <v>18990.351409999999</v>
      </c>
      <c r="E708" s="25">
        <f>16892+2098.35141</f>
        <v>18990.351409999999</v>
      </c>
      <c r="F708" s="25"/>
      <c r="G708" s="25"/>
      <c r="H708" s="25"/>
      <c r="I708" s="25"/>
      <c r="J708" s="53"/>
      <c r="K708" s="53"/>
      <c r="L708" s="53"/>
      <c r="M708" s="53"/>
      <c r="N708" s="53"/>
      <c r="O708" s="53"/>
      <c r="P708" s="53"/>
      <c r="Q708" s="57"/>
      <c r="R708" s="53"/>
      <c r="S708" s="53"/>
      <c r="T708" s="53"/>
      <c r="U708" s="53"/>
      <c r="V708" s="53"/>
    </row>
    <row r="709" spans="1:22" s="9" customFormat="1" x14ac:dyDescent="0.2">
      <c r="A709" s="48"/>
      <c r="B709" s="51" t="s">
        <v>2</v>
      </c>
      <c r="C709" s="51" t="s">
        <v>2</v>
      </c>
      <c r="D709" s="24">
        <f>E709+F709+G709+H709+I709</f>
        <v>337.84000000000003</v>
      </c>
      <c r="E709" s="25">
        <v>337.84000000000003</v>
      </c>
      <c r="F709" s="25"/>
      <c r="G709" s="25"/>
      <c r="H709" s="25"/>
      <c r="I709" s="25"/>
      <c r="J709" s="53"/>
      <c r="K709" s="53"/>
      <c r="L709" s="53"/>
      <c r="M709" s="53"/>
      <c r="N709" s="53"/>
      <c r="O709" s="53"/>
      <c r="P709" s="53"/>
      <c r="Q709" s="57"/>
      <c r="R709" s="53"/>
      <c r="S709" s="53"/>
      <c r="T709" s="53"/>
      <c r="U709" s="53"/>
      <c r="V709" s="53"/>
    </row>
    <row r="710" spans="1:22" s="9" customFormat="1" ht="21.75" customHeight="1" x14ac:dyDescent="0.2">
      <c r="A710" s="48"/>
      <c r="B710" s="51" t="s">
        <v>3</v>
      </c>
      <c r="C710" s="51" t="s">
        <v>3</v>
      </c>
      <c r="D710" s="24">
        <f>E710+F710+G710+H710+I710</f>
        <v>0</v>
      </c>
      <c r="E710" s="25"/>
      <c r="F710" s="25"/>
      <c r="G710" s="25"/>
      <c r="H710" s="25"/>
      <c r="I710" s="25"/>
      <c r="J710" s="53"/>
      <c r="K710" s="53"/>
      <c r="L710" s="53"/>
      <c r="M710" s="53"/>
      <c r="N710" s="53"/>
      <c r="O710" s="53"/>
      <c r="P710" s="53"/>
      <c r="Q710" s="57"/>
      <c r="R710" s="53"/>
      <c r="S710" s="53"/>
      <c r="T710" s="53"/>
      <c r="U710" s="53"/>
      <c r="V710" s="53"/>
    </row>
    <row r="711" spans="1:22" s="9" customFormat="1" ht="12.75" customHeight="1" x14ac:dyDescent="0.2">
      <c r="A711" s="54" t="s">
        <v>52</v>
      </c>
      <c r="B711" s="55" t="s">
        <v>122</v>
      </c>
      <c r="C711" s="55"/>
      <c r="D711" s="55"/>
      <c r="E711" s="55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</row>
    <row r="712" spans="1:22" s="9" customFormat="1" ht="12.75" customHeight="1" x14ac:dyDescent="0.2">
      <c r="A712" s="54"/>
      <c r="B712" s="56" t="s">
        <v>5</v>
      </c>
      <c r="C712" s="56"/>
      <c r="D712" s="23">
        <f>SUM(D713:D716)</f>
        <v>1929757.6773944446</v>
      </c>
      <c r="E712" s="23">
        <f>SUM(E713:E716)</f>
        <v>1037906.6603044444</v>
      </c>
      <c r="F712" s="23">
        <f t="shared" ref="F712:I712" si="54">SUM(F713:F716)</f>
        <v>282241.26909999998</v>
      </c>
      <c r="G712" s="23">
        <f t="shared" si="54"/>
        <v>183657.95199000003</v>
      </c>
      <c r="H712" s="23">
        <f t="shared" si="54"/>
        <v>425951.79599999997</v>
      </c>
      <c r="I712" s="23">
        <f t="shared" si="54"/>
        <v>0</v>
      </c>
      <c r="J712" s="12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4"/>
    </row>
    <row r="713" spans="1:22" s="9" customFormat="1" x14ac:dyDescent="0.2">
      <c r="A713" s="54"/>
      <c r="B713" s="56" t="s">
        <v>0</v>
      </c>
      <c r="C713" s="56"/>
      <c r="D713" s="23">
        <f>E713+F713+G713+H713+I713</f>
        <v>804650</v>
      </c>
      <c r="E713" s="23">
        <f>E721+E729+E737+E745+E753+E761+E769+E777+E785+E793+E801+E809+E817+E825+E833+E841+E849+E857+E865+E873+E881+E889+E897+E905+E913+E921+E929+E937+E945+E953</f>
        <v>400000</v>
      </c>
      <c r="F713" s="23">
        <f t="shared" ref="F713:I713" si="55">F721+F729+F737+F745+F753+F761+F769+F777+F785+F793+F801+F809+F817+F825+F833+F841+F849+F857+F865+F873+F881+F889+F897+F905+F913+F921+F929+F937+F945+F953</f>
        <v>0</v>
      </c>
      <c r="G713" s="23">
        <f t="shared" si="55"/>
        <v>0</v>
      </c>
      <c r="H713" s="23">
        <f t="shared" si="55"/>
        <v>404650</v>
      </c>
      <c r="I713" s="23">
        <f t="shared" si="55"/>
        <v>0</v>
      </c>
      <c r="J713" s="15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7"/>
    </row>
    <row r="714" spans="1:22" s="9" customFormat="1" ht="12.75" customHeight="1" x14ac:dyDescent="0.2">
      <c r="A714" s="54"/>
      <c r="B714" s="56" t="s">
        <v>1</v>
      </c>
      <c r="C714" s="56"/>
      <c r="D714" s="23">
        <f>E714+F714+G714+H714+I714</f>
        <v>1089928.78428</v>
      </c>
      <c r="E714" s="23">
        <f t="shared" ref="E714:I714" si="56">E722+E730+E738+E746+E754+E762+E770+E778+E786+E794+E802+E810+E818+E826+E834+E842+E850+E858+E866+E874+E882+E890+E898+E906+E914+E922+E930+E938+E946+E954</f>
        <v>625679.54427999991</v>
      </c>
      <c r="F714" s="23">
        <f t="shared" si="56"/>
        <v>271820.24699999997</v>
      </c>
      <c r="G714" s="23">
        <f t="shared" si="56"/>
        <v>171127.19700000001</v>
      </c>
      <c r="H714" s="23">
        <f t="shared" si="56"/>
        <v>21301.795999999998</v>
      </c>
      <c r="I714" s="23">
        <f t="shared" si="56"/>
        <v>0</v>
      </c>
      <c r="J714" s="15"/>
      <c r="K714" s="18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7"/>
    </row>
    <row r="715" spans="1:22" s="9" customFormat="1" ht="12.75" customHeight="1" x14ac:dyDescent="0.2">
      <c r="A715" s="54"/>
      <c r="B715" s="56" t="s">
        <v>2</v>
      </c>
      <c r="C715" s="56"/>
      <c r="D715" s="23">
        <f>E715+F715+G715+H715+I715</f>
        <v>35178.89311444445</v>
      </c>
      <c r="E715" s="23">
        <f t="shared" ref="E715:I715" si="57">E723+E731+E739+E747+E755+E763+E771+E779+E787+E795+E803+E811+E819+E827+E835+E843+E851+E859+E867+E875+E883+E891+E899+E907+E915+E923+E931+E939+E947+E955</f>
        <v>12227.116024444445</v>
      </c>
      <c r="F715" s="23">
        <f t="shared" si="57"/>
        <v>10421.0221</v>
      </c>
      <c r="G715" s="23">
        <f t="shared" si="57"/>
        <v>12530.754990000001</v>
      </c>
      <c r="H715" s="23">
        <f t="shared" si="57"/>
        <v>0</v>
      </c>
      <c r="I715" s="23">
        <f t="shared" si="57"/>
        <v>0</v>
      </c>
      <c r="J715" s="15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7"/>
    </row>
    <row r="716" spans="1:22" s="9" customFormat="1" ht="21" customHeight="1" x14ac:dyDescent="0.2">
      <c r="A716" s="54"/>
      <c r="B716" s="56" t="s">
        <v>3</v>
      </c>
      <c r="C716" s="56"/>
      <c r="D716" s="23">
        <f>E716+F716+G716+H716+I716</f>
        <v>0</v>
      </c>
      <c r="E716" s="23">
        <f t="shared" ref="E716:I716" si="58">E724+E732+E740+E748+E756+E764+E772+E780+E788+E796+E804+E812+E820+E828+E836+E844+E852+E860+E868+E876+E884+E892+E900+E908+E916+E924+E932+E940+E948+E956</f>
        <v>0</v>
      </c>
      <c r="F716" s="23">
        <f t="shared" si="58"/>
        <v>0</v>
      </c>
      <c r="G716" s="23">
        <f t="shared" si="58"/>
        <v>0</v>
      </c>
      <c r="H716" s="23">
        <f t="shared" si="58"/>
        <v>0</v>
      </c>
      <c r="I716" s="23">
        <f t="shared" si="58"/>
        <v>0</v>
      </c>
      <c r="J716" s="19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1"/>
    </row>
    <row r="717" spans="1:22" s="9" customFormat="1" ht="12.75" customHeight="1" x14ac:dyDescent="0.2">
      <c r="A717" s="48" t="s">
        <v>53</v>
      </c>
      <c r="B717" s="49" t="s">
        <v>19</v>
      </c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</row>
    <row r="718" spans="1:22" s="9" customFormat="1" x14ac:dyDescent="0.2">
      <c r="A718" s="48"/>
      <c r="B718" s="52" t="s">
        <v>463</v>
      </c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</row>
    <row r="719" spans="1:22" s="9" customFormat="1" ht="45" customHeight="1" x14ac:dyDescent="0.2">
      <c r="A719" s="48"/>
      <c r="B719" s="50" t="s">
        <v>427</v>
      </c>
      <c r="C719" s="50" t="s">
        <v>427</v>
      </c>
      <c r="D719" s="50"/>
      <c r="E719" s="50"/>
      <c r="F719" s="50"/>
      <c r="G719" s="50"/>
      <c r="H719" s="50"/>
      <c r="I719" s="50"/>
      <c r="J719" s="53"/>
      <c r="K719" s="53" t="s">
        <v>60</v>
      </c>
      <c r="L719" s="53" t="s">
        <v>72</v>
      </c>
      <c r="M719" s="53" t="s">
        <v>428</v>
      </c>
      <c r="N719" s="53" t="s">
        <v>431</v>
      </c>
      <c r="O719" s="53" t="s">
        <v>429</v>
      </c>
      <c r="P719" s="53" t="s">
        <v>429</v>
      </c>
      <c r="Q719" s="57" t="s">
        <v>430</v>
      </c>
      <c r="R719" s="53" t="s">
        <v>9</v>
      </c>
      <c r="S719" s="53" t="s">
        <v>431</v>
      </c>
      <c r="T719" s="53" t="s">
        <v>85</v>
      </c>
      <c r="U719" s="53"/>
      <c r="V719" s="53"/>
    </row>
    <row r="720" spans="1:22" s="9" customFormat="1" x14ac:dyDescent="0.2">
      <c r="A720" s="48"/>
      <c r="B720" s="51" t="s">
        <v>5</v>
      </c>
      <c r="C720" s="51" t="s">
        <v>5</v>
      </c>
      <c r="D720" s="24">
        <f t="shared" ref="D720" si="59">SUM(D721:D724)</f>
        <v>9000</v>
      </c>
      <c r="E720" s="25">
        <f>SUM(E721:E724)</f>
        <v>9000</v>
      </c>
      <c r="F720" s="25"/>
      <c r="G720" s="25"/>
      <c r="H720" s="25"/>
      <c r="I720" s="25"/>
      <c r="J720" s="53"/>
      <c r="K720" s="53"/>
      <c r="L720" s="53"/>
      <c r="M720" s="53"/>
      <c r="N720" s="53"/>
      <c r="O720" s="53"/>
      <c r="P720" s="53"/>
      <c r="Q720" s="57"/>
      <c r="R720" s="53"/>
      <c r="S720" s="53"/>
      <c r="T720" s="53"/>
      <c r="U720" s="53"/>
      <c r="V720" s="53"/>
    </row>
    <row r="721" spans="1:22" s="9" customFormat="1" x14ac:dyDescent="0.2">
      <c r="A721" s="48"/>
      <c r="B721" s="51" t="s">
        <v>0</v>
      </c>
      <c r="C721" s="51" t="s">
        <v>0</v>
      </c>
      <c r="D721" s="24">
        <f>E721+F721+G721+H721+I721</f>
        <v>0</v>
      </c>
      <c r="E721" s="25"/>
      <c r="F721" s="25"/>
      <c r="G721" s="25"/>
      <c r="H721" s="25"/>
      <c r="I721" s="25"/>
      <c r="J721" s="53"/>
      <c r="K721" s="53"/>
      <c r="L721" s="53"/>
      <c r="M721" s="53"/>
      <c r="N721" s="53"/>
      <c r="O721" s="53"/>
      <c r="P721" s="53"/>
      <c r="Q721" s="57"/>
      <c r="R721" s="53"/>
      <c r="S721" s="53"/>
      <c r="T721" s="53"/>
      <c r="U721" s="53"/>
      <c r="V721" s="53"/>
    </row>
    <row r="722" spans="1:22" s="9" customFormat="1" x14ac:dyDescent="0.2">
      <c r="A722" s="48"/>
      <c r="B722" s="51" t="s">
        <v>1</v>
      </c>
      <c r="C722" s="51" t="s">
        <v>1</v>
      </c>
      <c r="D722" s="24">
        <f>E722+F722+G722+H722+I722</f>
        <v>8910</v>
      </c>
      <c r="E722" s="25">
        <v>8910</v>
      </c>
      <c r="F722" s="25"/>
      <c r="G722" s="25"/>
      <c r="H722" s="25"/>
      <c r="I722" s="25"/>
      <c r="J722" s="53"/>
      <c r="K722" s="53"/>
      <c r="L722" s="53"/>
      <c r="M722" s="53"/>
      <c r="N722" s="53"/>
      <c r="O722" s="53"/>
      <c r="P722" s="53"/>
      <c r="Q722" s="57"/>
      <c r="R722" s="53"/>
      <c r="S722" s="53"/>
      <c r="T722" s="53"/>
      <c r="U722" s="53"/>
      <c r="V722" s="53"/>
    </row>
    <row r="723" spans="1:22" s="9" customFormat="1" x14ac:dyDescent="0.2">
      <c r="A723" s="48"/>
      <c r="B723" s="51" t="s">
        <v>2</v>
      </c>
      <c r="C723" s="51" t="s">
        <v>2</v>
      </c>
      <c r="D723" s="24">
        <f>E723+F723+G723+H723+I723</f>
        <v>90</v>
      </c>
      <c r="E723" s="25">
        <v>90</v>
      </c>
      <c r="F723" s="25"/>
      <c r="G723" s="25"/>
      <c r="H723" s="25"/>
      <c r="I723" s="25"/>
      <c r="J723" s="53"/>
      <c r="K723" s="53"/>
      <c r="L723" s="53"/>
      <c r="M723" s="53"/>
      <c r="N723" s="53"/>
      <c r="O723" s="53"/>
      <c r="P723" s="53"/>
      <c r="Q723" s="57"/>
      <c r="R723" s="53"/>
      <c r="S723" s="53"/>
      <c r="T723" s="53"/>
      <c r="U723" s="53"/>
      <c r="V723" s="53"/>
    </row>
    <row r="724" spans="1:22" s="9" customFormat="1" ht="21.75" customHeight="1" x14ac:dyDescent="0.2">
      <c r="A724" s="48"/>
      <c r="B724" s="51" t="s">
        <v>3</v>
      </c>
      <c r="C724" s="51" t="s">
        <v>3</v>
      </c>
      <c r="D724" s="24">
        <f>E724+F724+G724+H724+I724</f>
        <v>0</v>
      </c>
      <c r="E724" s="25"/>
      <c r="F724" s="25"/>
      <c r="G724" s="25"/>
      <c r="H724" s="25"/>
      <c r="I724" s="25"/>
      <c r="J724" s="53"/>
      <c r="K724" s="53"/>
      <c r="L724" s="53"/>
      <c r="M724" s="53"/>
      <c r="N724" s="53"/>
      <c r="O724" s="53"/>
      <c r="P724" s="53"/>
      <c r="Q724" s="57"/>
      <c r="R724" s="53"/>
      <c r="S724" s="53"/>
      <c r="T724" s="53"/>
      <c r="U724" s="53"/>
      <c r="V724" s="53"/>
    </row>
    <row r="725" spans="1:22" ht="12.75" customHeight="1" x14ac:dyDescent="0.2">
      <c r="A725" s="48" t="s">
        <v>130</v>
      </c>
      <c r="B725" s="49" t="s">
        <v>19</v>
      </c>
      <c r="C725" s="49"/>
      <c r="D725" s="49"/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</row>
    <row r="726" spans="1:22" ht="12.75" customHeight="1" x14ac:dyDescent="0.2">
      <c r="A726" s="48"/>
      <c r="B726" s="52" t="s">
        <v>420</v>
      </c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</row>
    <row r="727" spans="1:22" ht="59.25" customHeight="1" x14ac:dyDescent="0.2">
      <c r="A727" s="48"/>
      <c r="B727" s="50" t="s">
        <v>421</v>
      </c>
      <c r="C727" s="50" t="s">
        <v>421</v>
      </c>
      <c r="D727" s="50"/>
      <c r="E727" s="50"/>
      <c r="F727" s="50"/>
      <c r="G727" s="50"/>
      <c r="H727" s="50"/>
      <c r="I727" s="50"/>
      <c r="J727" s="53" t="s">
        <v>60</v>
      </c>
      <c r="K727" s="53"/>
      <c r="L727" s="53" t="s">
        <v>70</v>
      </c>
      <c r="M727" s="53" t="s">
        <v>422</v>
      </c>
      <c r="N727" s="53" t="s">
        <v>20</v>
      </c>
      <c r="O727" s="53" t="s">
        <v>19</v>
      </c>
      <c r="P727" s="53" t="s">
        <v>20</v>
      </c>
      <c r="Q727" s="57" t="s">
        <v>567</v>
      </c>
      <c r="R727" s="53" t="s">
        <v>11</v>
      </c>
      <c r="S727" s="53" t="s">
        <v>12</v>
      </c>
      <c r="T727" s="53" t="s">
        <v>7</v>
      </c>
      <c r="U727" s="53"/>
      <c r="V727" s="53" t="s">
        <v>665</v>
      </c>
    </row>
    <row r="728" spans="1:22" x14ac:dyDescent="0.2">
      <c r="A728" s="48"/>
      <c r="B728" s="51" t="s">
        <v>5</v>
      </c>
      <c r="C728" s="51" t="s">
        <v>5</v>
      </c>
      <c r="D728" s="24">
        <f t="shared" ref="D728" si="60">SUM(D729:D732)</f>
        <v>1439.9929400000001</v>
      </c>
      <c r="E728" s="25">
        <f>SUM(E729:E732)</f>
        <v>1439.9929400000001</v>
      </c>
      <c r="F728" s="25"/>
      <c r="G728" s="25"/>
      <c r="H728" s="25"/>
      <c r="I728" s="25"/>
      <c r="J728" s="53"/>
      <c r="K728" s="53"/>
      <c r="L728" s="53"/>
      <c r="M728" s="53"/>
      <c r="N728" s="53"/>
      <c r="O728" s="53"/>
      <c r="P728" s="53"/>
      <c r="Q728" s="57"/>
      <c r="R728" s="53"/>
      <c r="S728" s="53"/>
      <c r="T728" s="53"/>
      <c r="U728" s="53"/>
      <c r="V728" s="53"/>
    </row>
    <row r="729" spans="1:22" x14ac:dyDescent="0.2">
      <c r="A729" s="48"/>
      <c r="B729" s="51" t="s">
        <v>0</v>
      </c>
      <c r="C729" s="51" t="s">
        <v>0</v>
      </c>
      <c r="D729" s="24">
        <f>E729+F729+G729+H729+I729</f>
        <v>0</v>
      </c>
      <c r="E729" s="25"/>
      <c r="F729" s="25"/>
      <c r="G729" s="25"/>
      <c r="H729" s="25"/>
      <c r="I729" s="25"/>
      <c r="J729" s="53"/>
      <c r="K729" s="53"/>
      <c r="L729" s="53"/>
      <c r="M729" s="53"/>
      <c r="N729" s="53"/>
      <c r="O729" s="53"/>
      <c r="P729" s="53"/>
      <c r="Q729" s="57"/>
      <c r="R729" s="53"/>
      <c r="S729" s="53"/>
      <c r="T729" s="53"/>
      <c r="U729" s="53"/>
      <c r="V729" s="53"/>
    </row>
    <row r="730" spans="1:22" x14ac:dyDescent="0.2">
      <c r="A730" s="48"/>
      <c r="B730" s="51" t="s">
        <v>1</v>
      </c>
      <c r="C730" s="51" t="s">
        <v>1</v>
      </c>
      <c r="D730" s="24">
        <f>E730+F730+G730+H730+I730</f>
        <v>1439.9929400000001</v>
      </c>
      <c r="E730" s="25">
        <v>1439.9929400000001</v>
      </c>
      <c r="F730" s="25"/>
      <c r="G730" s="25"/>
      <c r="H730" s="25"/>
      <c r="I730" s="25"/>
      <c r="J730" s="53"/>
      <c r="K730" s="53"/>
      <c r="L730" s="53"/>
      <c r="M730" s="53"/>
      <c r="N730" s="53"/>
      <c r="O730" s="53"/>
      <c r="P730" s="53"/>
      <c r="Q730" s="57"/>
      <c r="R730" s="53"/>
      <c r="S730" s="53"/>
      <c r="T730" s="53"/>
      <c r="U730" s="53"/>
      <c r="V730" s="53"/>
    </row>
    <row r="731" spans="1:22" x14ac:dyDescent="0.2">
      <c r="A731" s="48"/>
      <c r="B731" s="51" t="s">
        <v>2</v>
      </c>
      <c r="C731" s="51" t="s">
        <v>2</v>
      </c>
      <c r="D731" s="24">
        <f>E731+F731+G731+H731+I731</f>
        <v>0</v>
      </c>
      <c r="E731" s="25"/>
      <c r="F731" s="25"/>
      <c r="G731" s="25"/>
      <c r="H731" s="25"/>
      <c r="I731" s="25"/>
      <c r="J731" s="53"/>
      <c r="K731" s="53"/>
      <c r="L731" s="53"/>
      <c r="M731" s="53"/>
      <c r="N731" s="53"/>
      <c r="O731" s="53"/>
      <c r="P731" s="53"/>
      <c r="Q731" s="57"/>
      <c r="R731" s="53"/>
      <c r="S731" s="53"/>
      <c r="T731" s="53"/>
      <c r="U731" s="53"/>
      <c r="V731" s="53"/>
    </row>
    <row r="732" spans="1:22" s="9" customFormat="1" ht="21.75" customHeight="1" x14ac:dyDescent="0.2">
      <c r="A732" s="48"/>
      <c r="B732" s="51" t="s">
        <v>3</v>
      </c>
      <c r="C732" s="51" t="s">
        <v>3</v>
      </c>
      <c r="D732" s="24">
        <f>E732+F732+G732+H732+I732</f>
        <v>0</v>
      </c>
      <c r="E732" s="25"/>
      <c r="F732" s="25"/>
      <c r="G732" s="25"/>
      <c r="H732" s="25"/>
      <c r="I732" s="25"/>
      <c r="J732" s="53"/>
      <c r="K732" s="53"/>
      <c r="L732" s="53"/>
      <c r="M732" s="53"/>
      <c r="N732" s="53"/>
      <c r="O732" s="53"/>
      <c r="P732" s="53"/>
      <c r="Q732" s="57"/>
      <c r="R732" s="53"/>
      <c r="S732" s="53"/>
      <c r="T732" s="53"/>
      <c r="U732" s="53"/>
      <c r="V732" s="53"/>
    </row>
    <row r="733" spans="1:22" s="9" customFormat="1" ht="12.75" customHeight="1" x14ac:dyDescent="0.2">
      <c r="A733" s="48" t="s">
        <v>65</v>
      </c>
      <c r="B733" s="49" t="s">
        <v>19</v>
      </c>
      <c r="C733" s="49"/>
      <c r="D733" s="49"/>
      <c r="E733" s="49"/>
      <c r="F733" s="49"/>
      <c r="G733" s="49"/>
      <c r="H733" s="49"/>
      <c r="I733" s="49"/>
      <c r="J733" s="49"/>
      <c r="K733" s="49"/>
      <c r="L733" s="49"/>
      <c r="M733" s="49"/>
      <c r="N733" s="49"/>
      <c r="O733" s="49"/>
      <c r="P733" s="49"/>
      <c r="Q733" s="49"/>
      <c r="R733" s="49"/>
      <c r="S733" s="49"/>
      <c r="T733" s="49"/>
      <c r="U733" s="49"/>
      <c r="V733" s="49"/>
    </row>
    <row r="734" spans="1:22" s="9" customFormat="1" ht="12.75" customHeight="1" x14ac:dyDescent="0.2">
      <c r="A734" s="48"/>
      <c r="B734" s="52" t="s">
        <v>420</v>
      </c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</row>
    <row r="735" spans="1:22" s="9" customFormat="1" ht="56.25" customHeight="1" x14ac:dyDescent="0.2">
      <c r="A735" s="48"/>
      <c r="B735" s="50" t="s">
        <v>443</v>
      </c>
      <c r="C735" s="50" t="s">
        <v>443</v>
      </c>
      <c r="D735" s="50"/>
      <c r="E735" s="50"/>
      <c r="F735" s="50"/>
      <c r="G735" s="50"/>
      <c r="H735" s="50"/>
      <c r="I735" s="50"/>
      <c r="J735" s="53" t="s">
        <v>76</v>
      </c>
      <c r="K735" s="53"/>
      <c r="L735" s="53" t="s">
        <v>70</v>
      </c>
      <c r="M735" s="53" t="s">
        <v>444</v>
      </c>
      <c r="N735" s="53" t="s">
        <v>20</v>
      </c>
      <c r="O735" s="53" t="s">
        <v>19</v>
      </c>
      <c r="P735" s="53" t="s">
        <v>20</v>
      </c>
      <c r="Q735" s="57" t="s">
        <v>445</v>
      </c>
      <c r="R735" s="53" t="s">
        <v>11</v>
      </c>
      <c r="S735" s="53" t="s">
        <v>12</v>
      </c>
      <c r="T735" s="53" t="s">
        <v>18</v>
      </c>
      <c r="U735" s="53"/>
      <c r="V735" s="53" t="s">
        <v>683</v>
      </c>
    </row>
    <row r="736" spans="1:22" s="9" customFormat="1" x14ac:dyDescent="0.2">
      <c r="A736" s="48"/>
      <c r="B736" s="51" t="s">
        <v>5</v>
      </c>
      <c r="C736" s="51" t="s">
        <v>5</v>
      </c>
      <c r="D736" s="24">
        <f t="shared" ref="D736" si="61">SUM(D737:D740)</f>
        <v>52613.993369999997</v>
      </c>
      <c r="E736" s="25">
        <f>SUM(E737:E740)</f>
        <v>31328.538369999998</v>
      </c>
      <c r="F736" s="25">
        <f>SUM(F737:F740)</f>
        <v>21285.455000000002</v>
      </c>
      <c r="G736" s="25"/>
      <c r="H736" s="25"/>
      <c r="I736" s="25"/>
      <c r="J736" s="53"/>
      <c r="K736" s="53"/>
      <c r="L736" s="53"/>
      <c r="M736" s="53"/>
      <c r="N736" s="53"/>
      <c r="O736" s="53"/>
      <c r="P736" s="53"/>
      <c r="Q736" s="57"/>
      <c r="R736" s="53"/>
      <c r="S736" s="53"/>
      <c r="T736" s="53"/>
      <c r="U736" s="53"/>
      <c r="V736" s="53"/>
    </row>
    <row r="737" spans="1:22" s="9" customFormat="1" x14ac:dyDescent="0.2">
      <c r="A737" s="48"/>
      <c r="B737" s="51" t="s">
        <v>0</v>
      </c>
      <c r="C737" s="51" t="s">
        <v>0</v>
      </c>
      <c r="D737" s="24">
        <f>E737+F737+G737+H737+I737</f>
        <v>0</v>
      </c>
      <c r="E737" s="25"/>
      <c r="F737" s="25"/>
      <c r="G737" s="25"/>
      <c r="H737" s="25"/>
      <c r="I737" s="25"/>
      <c r="J737" s="53"/>
      <c r="K737" s="53"/>
      <c r="L737" s="53"/>
      <c r="M737" s="53"/>
      <c r="N737" s="53"/>
      <c r="O737" s="53"/>
      <c r="P737" s="53"/>
      <c r="Q737" s="57"/>
      <c r="R737" s="53"/>
      <c r="S737" s="53"/>
      <c r="T737" s="53"/>
      <c r="U737" s="53"/>
      <c r="V737" s="53"/>
    </row>
    <row r="738" spans="1:22" s="9" customFormat="1" x14ac:dyDescent="0.2">
      <c r="A738" s="48"/>
      <c r="B738" s="51" t="s">
        <v>1</v>
      </c>
      <c r="C738" s="51" t="s">
        <v>1</v>
      </c>
      <c r="D738" s="24">
        <f>E738+F738+G738+H738+I738</f>
        <v>52613.993369999997</v>
      </c>
      <c r="E738" s="25">
        <f>40107.833-8761.01763-18.277</f>
        <v>31328.538369999998</v>
      </c>
      <c r="F738" s="25">
        <v>21285.455000000002</v>
      </c>
      <c r="G738" s="25"/>
      <c r="H738" s="25"/>
      <c r="I738" s="25"/>
      <c r="J738" s="53"/>
      <c r="K738" s="53"/>
      <c r="L738" s="53"/>
      <c r="M738" s="53"/>
      <c r="N738" s="53"/>
      <c r="O738" s="53"/>
      <c r="P738" s="53"/>
      <c r="Q738" s="57"/>
      <c r="R738" s="53"/>
      <c r="S738" s="53"/>
      <c r="T738" s="53"/>
      <c r="U738" s="53"/>
      <c r="V738" s="53"/>
    </row>
    <row r="739" spans="1:22" x14ac:dyDescent="0.2">
      <c r="A739" s="48"/>
      <c r="B739" s="51" t="s">
        <v>2</v>
      </c>
      <c r="C739" s="51" t="s">
        <v>2</v>
      </c>
      <c r="D739" s="24">
        <f>E739+F739+G739+H739+I739</f>
        <v>0</v>
      </c>
      <c r="E739" s="25"/>
      <c r="F739" s="25"/>
      <c r="G739" s="25"/>
      <c r="H739" s="25"/>
      <c r="I739" s="25"/>
      <c r="J739" s="53"/>
      <c r="K739" s="53"/>
      <c r="L739" s="53"/>
      <c r="M739" s="53"/>
      <c r="N739" s="53"/>
      <c r="O739" s="53"/>
      <c r="P739" s="53"/>
      <c r="Q739" s="57"/>
      <c r="R739" s="53"/>
      <c r="S739" s="53"/>
      <c r="T739" s="53"/>
      <c r="U739" s="53"/>
      <c r="V739" s="53"/>
    </row>
    <row r="740" spans="1:22" ht="21.75" customHeight="1" x14ac:dyDescent="0.2">
      <c r="A740" s="48"/>
      <c r="B740" s="51" t="s">
        <v>3</v>
      </c>
      <c r="C740" s="51" t="s">
        <v>3</v>
      </c>
      <c r="D740" s="24">
        <f>E740+F740+G740+H740+I740</f>
        <v>0</v>
      </c>
      <c r="E740" s="25"/>
      <c r="F740" s="25"/>
      <c r="G740" s="25"/>
      <c r="H740" s="25"/>
      <c r="I740" s="25"/>
      <c r="J740" s="53"/>
      <c r="K740" s="53"/>
      <c r="L740" s="53"/>
      <c r="M740" s="53"/>
      <c r="N740" s="53"/>
      <c r="O740" s="53"/>
      <c r="P740" s="53"/>
      <c r="Q740" s="57"/>
      <c r="R740" s="53"/>
      <c r="S740" s="53"/>
      <c r="T740" s="53"/>
      <c r="U740" s="53"/>
      <c r="V740" s="53"/>
    </row>
    <row r="741" spans="1:22" s="9" customFormat="1" ht="12.75" customHeight="1" x14ac:dyDescent="0.2">
      <c r="A741" s="48" t="s">
        <v>146</v>
      </c>
      <c r="B741" s="49" t="s">
        <v>19</v>
      </c>
      <c r="C741" s="49"/>
      <c r="D741" s="49"/>
      <c r="E741" s="49"/>
      <c r="F741" s="49"/>
      <c r="G741" s="49"/>
      <c r="H741" s="49"/>
      <c r="I741" s="49"/>
      <c r="J741" s="49"/>
      <c r="K741" s="49"/>
      <c r="L741" s="49"/>
      <c r="M741" s="49"/>
      <c r="N741" s="49"/>
      <c r="O741" s="49"/>
      <c r="P741" s="49"/>
      <c r="Q741" s="49"/>
      <c r="R741" s="49"/>
      <c r="S741" s="49"/>
      <c r="T741" s="49"/>
      <c r="U741" s="49"/>
      <c r="V741" s="49"/>
    </row>
    <row r="742" spans="1:22" ht="12.75" customHeight="1" x14ac:dyDescent="0.2">
      <c r="A742" s="48"/>
      <c r="B742" s="52" t="s">
        <v>463</v>
      </c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</row>
    <row r="743" spans="1:22" ht="41.25" customHeight="1" x14ac:dyDescent="0.2">
      <c r="A743" s="48"/>
      <c r="B743" s="50" t="s">
        <v>308</v>
      </c>
      <c r="C743" s="50" t="s">
        <v>308</v>
      </c>
      <c r="D743" s="50"/>
      <c r="E743" s="50"/>
      <c r="F743" s="50"/>
      <c r="G743" s="50"/>
      <c r="H743" s="50"/>
      <c r="I743" s="50"/>
      <c r="J743" s="53" t="s">
        <v>111</v>
      </c>
      <c r="K743" s="53"/>
      <c r="L743" s="53" t="s">
        <v>71</v>
      </c>
      <c r="M743" s="53" t="s">
        <v>191</v>
      </c>
      <c r="N743" s="53" t="s">
        <v>10</v>
      </c>
      <c r="O743" s="53" t="s">
        <v>190</v>
      </c>
      <c r="P743" s="53" t="s">
        <v>190</v>
      </c>
      <c r="Q743" s="57" t="s">
        <v>348</v>
      </c>
      <c r="R743" s="53" t="s">
        <v>9</v>
      </c>
      <c r="S743" s="53" t="s">
        <v>10</v>
      </c>
      <c r="T743" s="53" t="s">
        <v>7</v>
      </c>
      <c r="U743" s="53"/>
      <c r="V743" s="53" t="s">
        <v>666</v>
      </c>
    </row>
    <row r="744" spans="1:22" x14ac:dyDescent="0.2">
      <c r="A744" s="48"/>
      <c r="B744" s="51" t="s">
        <v>5</v>
      </c>
      <c r="C744" s="51" t="s">
        <v>5</v>
      </c>
      <c r="D744" s="24">
        <f>SUM(D745:D748)</f>
        <v>122445.72164444446</v>
      </c>
      <c r="E744" s="25">
        <f>SUM(E745:E748)</f>
        <v>82033.656644444447</v>
      </c>
      <c r="F744" s="25">
        <f>SUM(F745:F748)</f>
        <v>34964.171000000002</v>
      </c>
      <c r="G744" s="25">
        <f>SUM(G745:G748)</f>
        <v>5447.8940000000002</v>
      </c>
      <c r="H744" s="25"/>
      <c r="I744" s="25"/>
      <c r="J744" s="53"/>
      <c r="K744" s="53"/>
      <c r="L744" s="53"/>
      <c r="M744" s="53"/>
      <c r="N744" s="53"/>
      <c r="O744" s="53"/>
      <c r="P744" s="53"/>
      <c r="Q744" s="57"/>
      <c r="R744" s="53"/>
      <c r="S744" s="53"/>
      <c r="T744" s="53"/>
      <c r="U744" s="53"/>
      <c r="V744" s="53"/>
    </row>
    <row r="745" spans="1:22" x14ac:dyDescent="0.2">
      <c r="A745" s="48"/>
      <c r="B745" s="51" t="s">
        <v>0</v>
      </c>
      <c r="C745" s="51" t="s">
        <v>0</v>
      </c>
      <c r="D745" s="24">
        <f>E745+F745+G745+H745+I745</f>
        <v>0</v>
      </c>
      <c r="E745" s="25"/>
      <c r="F745" s="25"/>
      <c r="G745" s="25"/>
      <c r="H745" s="25"/>
      <c r="I745" s="25"/>
      <c r="J745" s="53"/>
      <c r="K745" s="53"/>
      <c r="L745" s="53"/>
      <c r="M745" s="53"/>
      <c r="N745" s="53"/>
      <c r="O745" s="53"/>
      <c r="P745" s="53"/>
      <c r="Q745" s="57"/>
      <c r="R745" s="53"/>
      <c r="S745" s="53"/>
      <c r="T745" s="53"/>
      <c r="U745" s="53"/>
      <c r="V745" s="53"/>
    </row>
    <row r="746" spans="1:22" x14ac:dyDescent="0.2">
      <c r="A746" s="48"/>
      <c r="B746" s="51" t="s">
        <v>1</v>
      </c>
      <c r="C746" s="51" t="s">
        <v>1</v>
      </c>
      <c r="D746" s="24">
        <f>E746+F746+G746+H746+I746</f>
        <v>110568.53189000001</v>
      </c>
      <c r="E746" s="25">
        <f>94912.55-12082.25902-9000</f>
        <v>73830.290980000005</v>
      </c>
      <c r="F746" s="25">
        <v>31785.61</v>
      </c>
      <c r="G746" s="25">
        <f>52211.31-47258.67909</f>
        <v>4952.6309099999999</v>
      </c>
      <c r="H746" s="25"/>
      <c r="I746" s="25"/>
      <c r="J746" s="53"/>
      <c r="K746" s="53"/>
      <c r="L746" s="53"/>
      <c r="M746" s="53"/>
      <c r="N746" s="53"/>
      <c r="O746" s="53"/>
      <c r="P746" s="53"/>
      <c r="Q746" s="57"/>
      <c r="R746" s="53"/>
      <c r="S746" s="53"/>
      <c r="T746" s="53"/>
      <c r="U746" s="53"/>
      <c r="V746" s="53"/>
    </row>
    <row r="747" spans="1:22" x14ac:dyDescent="0.2">
      <c r="A747" s="48"/>
      <c r="B747" s="51" t="s">
        <v>2</v>
      </c>
      <c r="C747" s="51" t="s">
        <v>2</v>
      </c>
      <c r="D747" s="24">
        <f>E747+F747+G747+H747+I747</f>
        <v>11877.189754444445</v>
      </c>
      <c r="E747" s="25">
        <v>8203.3656644444454</v>
      </c>
      <c r="F747" s="25">
        <v>3178.5610000000001</v>
      </c>
      <c r="G747" s="25">
        <v>495.26308999999998</v>
      </c>
      <c r="H747" s="25"/>
      <c r="I747" s="25"/>
      <c r="J747" s="53"/>
      <c r="K747" s="53"/>
      <c r="L747" s="53"/>
      <c r="M747" s="53"/>
      <c r="N747" s="53"/>
      <c r="O747" s="53"/>
      <c r="P747" s="53"/>
      <c r="Q747" s="57"/>
      <c r="R747" s="53"/>
      <c r="S747" s="53"/>
      <c r="T747" s="53"/>
      <c r="U747" s="53"/>
      <c r="V747" s="53"/>
    </row>
    <row r="748" spans="1:22" ht="21.75" customHeight="1" x14ac:dyDescent="0.2">
      <c r="A748" s="48"/>
      <c r="B748" s="51" t="s">
        <v>3</v>
      </c>
      <c r="C748" s="51" t="s">
        <v>3</v>
      </c>
      <c r="D748" s="24">
        <f>E748+F748+G748+H748+I748</f>
        <v>0</v>
      </c>
      <c r="E748" s="25"/>
      <c r="F748" s="25"/>
      <c r="G748" s="25"/>
      <c r="H748" s="25"/>
      <c r="I748" s="25"/>
      <c r="J748" s="53"/>
      <c r="K748" s="53"/>
      <c r="L748" s="53"/>
      <c r="M748" s="53"/>
      <c r="N748" s="53"/>
      <c r="O748" s="53"/>
      <c r="P748" s="53"/>
      <c r="Q748" s="57"/>
      <c r="R748" s="53"/>
      <c r="S748" s="53"/>
      <c r="T748" s="53"/>
      <c r="U748" s="53"/>
      <c r="V748" s="53"/>
    </row>
    <row r="749" spans="1:22" ht="12.75" customHeight="1" x14ac:dyDescent="0.2">
      <c r="A749" s="48" t="s">
        <v>147</v>
      </c>
      <c r="B749" s="49" t="s">
        <v>19</v>
      </c>
      <c r="C749" s="49"/>
      <c r="D749" s="49"/>
      <c r="E749" s="49"/>
      <c r="F749" s="49"/>
      <c r="G749" s="49"/>
      <c r="H749" s="49"/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</row>
    <row r="750" spans="1:22" ht="12.75" customHeight="1" x14ac:dyDescent="0.2">
      <c r="A750" s="48"/>
      <c r="B750" s="52" t="s">
        <v>463</v>
      </c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</row>
    <row r="751" spans="1:22" ht="46.5" customHeight="1" x14ac:dyDescent="0.2">
      <c r="A751" s="48"/>
      <c r="B751" s="50" t="s">
        <v>593</v>
      </c>
      <c r="C751" s="50" t="s">
        <v>593</v>
      </c>
      <c r="D751" s="50"/>
      <c r="E751" s="50"/>
      <c r="F751" s="50"/>
      <c r="G751" s="50"/>
      <c r="H751" s="50"/>
      <c r="I751" s="50"/>
      <c r="J751" s="53" t="s">
        <v>113</v>
      </c>
      <c r="K751" s="53"/>
      <c r="L751" s="53" t="s">
        <v>71</v>
      </c>
      <c r="M751" s="53" t="s">
        <v>192</v>
      </c>
      <c r="N751" s="53" t="s">
        <v>10</v>
      </c>
      <c r="O751" s="53" t="s">
        <v>190</v>
      </c>
      <c r="P751" s="53" t="s">
        <v>190</v>
      </c>
      <c r="Q751" s="57" t="s">
        <v>349</v>
      </c>
      <c r="R751" s="53" t="s">
        <v>9</v>
      </c>
      <c r="S751" s="53" t="s">
        <v>10</v>
      </c>
      <c r="T751" s="53" t="s">
        <v>7</v>
      </c>
      <c r="U751" s="53"/>
      <c r="V751" s="53" t="s">
        <v>667</v>
      </c>
    </row>
    <row r="752" spans="1:22" x14ac:dyDescent="0.2">
      <c r="A752" s="48"/>
      <c r="B752" s="51" t="s">
        <v>5</v>
      </c>
      <c r="C752" s="51" t="s">
        <v>5</v>
      </c>
      <c r="D752" s="24">
        <f>SUM(D753:D756)</f>
        <v>223168.59420000002</v>
      </c>
      <c r="E752" s="25">
        <f>SUM(E753:E756)</f>
        <v>11111.111110000003</v>
      </c>
      <c r="F752" s="25">
        <f>SUM(F753:F756)</f>
        <v>79667.072100000005</v>
      </c>
      <c r="G752" s="25">
        <f>SUM(G753:G756)</f>
        <v>132390.41099</v>
      </c>
      <c r="H752" s="25"/>
      <c r="I752" s="25"/>
      <c r="J752" s="53"/>
      <c r="K752" s="53"/>
      <c r="L752" s="53"/>
      <c r="M752" s="53"/>
      <c r="N752" s="53"/>
      <c r="O752" s="53"/>
      <c r="P752" s="53"/>
      <c r="Q752" s="57"/>
      <c r="R752" s="53"/>
      <c r="S752" s="53"/>
      <c r="T752" s="53"/>
      <c r="U752" s="53"/>
      <c r="V752" s="53"/>
    </row>
    <row r="753" spans="1:22" x14ac:dyDescent="0.2">
      <c r="A753" s="48"/>
      <c r="B753" s="51" t="s">
        <v>0</v>
      </c>
      <c r="C753" s="51" t="s">
        <v>0</v>
      </c>
      <c r="D753" s="24">
        <f>E753+F753+G753+H753+I753</f>
        <v>0</v>
      </c>
      <c r="E753" s="25"/>
      <c r="F753" s="25"/>
      <c r="G753" s="25"/>
      <c r="H753" s="25"/>
      <c r="I753" s="25"/>
      <c r="J753" s="53"/>
      <c r="K753" s="53"/>
      <c r="L753" s="53"/>
      <c r="M753" s="53"/>
      <c r="N753" s="53"/>
      <c r="O753" s="53"/>
      <c r="P753" s="53"/>
      <c r="Q753" s="57"/>
      <c r="R753" s="53"/>
      <c r="S753" s="53"/>
      <c r="T753" s="53"/>
      <c r="U753" s="53"/>
      <c r="V753" s="53"/>
    </row>
    <row r="754" spans="1:22" s="9" customFormat="1" x14ac:dyDescent="0.2">
      <c r="A754" s="48"/>
      <c r="B754" s="51" t="s">
        <v>1</v>
      </c>
      <c r="C754" s="51" t="s">
        <v>1</v>
      </c>
      <c r="D754" s="24">
        <f>E754+F754+G754+H754+I754</f>
        <v>202779.53009000001</v>
      </c>
      <c r="E754" s="25">
        <f>83394.023+7945.04673-60000-21339.06973</f>
        <v>10000.000000000004</v>
      </c>
      <c r="F754" s="25">
        <v>72424.611000000004</v>
      </c>
      <c r="G754" s="25">
        <f>73096.24+47258.67909</f>
        <v>120354.91909000001</v>
      </c>
      <c r="H754" s="25"/>
      <c r="I754" s="25"/>
      <c r="J754" s="53"/>
      <c r="K754" s="53"/>
      <c r="L754" s="53"/>
      <c r="M754" s="53"/>
      <c r="N754" s="53"/>
      <c r="O754" s="53"/>
      <c r="P754" s="53"/>
      <c r="Q754" s="57"/>
      <c r="R754" s="53"/>
      <c r="S754" s="53"/>
      <c r="T754" s="53"/>
      <c r="U754" s="53"/>
      <c r="V754" s="53"/>
    </row>
    <row r="755" spans="1:22" s="9" customFormat="1" x14ac:dyDescent="0.2">
      <c r="A755" s="48"/>
      <c r="B755" s="51" t="s">
        <v>2</v>
      </c>
      <c r="C755" s="51" t="s">
        <v>2</v>
      </c>
      <c r="D755" s="24">
        <f>E755+F755+G755+H755+I755</f>
        <v>20389.064109999999</v>
      </c>
      <c r="E755" s="25">
        <v>1111.1111100000001</v>
      </c>
      <c r="F755" s="25">
        <v>7242.4611000000004</v>
      </c>
      <c r="G755" s="25">
        <v>12035.491900000001</v>
      </c>
      <c r="H755" s="25"/>
      <c r="I755" s="25"/>
      <c r="J755" s="53"/>
      <c r="K755" s="53"/>
      <c r="L755" s="53"/>
      <c r="M755" s="53"/>
      <c r="N755" s="53"/>
      <c r="O755" s="53"/>
      <c r="P755" s="53"/>
      <c r="Q755" s="57"/>
      <c r="R755" s="53"/>
      <c r="S755" s="53"/>
      <c r="T755" s="53"/>
      <c r="U755" s="53"/>
      <c r="V755" s="53"/>
    </row>
    <row r="756" spans="1:22" s="9" customFormat="1" ht="21.75" customHeight="1" x14ac:dyDescent="0.2">
      <c r="A756" s="48"/>
      <c r="B756" s="51" t="s">
        <v>3</v>
      </c>
      <c r="C756" s="51" t="s">
        <v>3</v>
      </c>
      <c r="D756" s="24">
        <f>E756+F756+G756+H756+I756</f>
        <v>0</v>
      </c>
      <c r="E756" s="25"/>
      <c r="F756" s="25"/>
      <c r="G756" s="25"/>
      <c r="H756" s="25"/>
      <c r="I756" s="25"/>
      <c r="J756" s="53"/>
      <c r="K756" s="53"/>
      <c r="L756" s="53"/>
      <c r="M756" s="53"/>
      <c r="N756" s="53"/>
      <c r="O756" s="53"/>
      <c r="P756" s="53"/>
      <c r="Q756" s="57"/>
      <c r="R756" s="53"/>
      <c r="S756" s="53"/>
      <c r="T756" s="53"/>
      <c r="U756" s="53"/>
      <c r="V756" s="53"/>
    </row>
    <row r="757" spans="1:22" s="9" customFormat="1" ht="12.75" customHeight="1" x14ac:dyDescent="0.2">
      <c r="A757" s="48" t="s">
        <v>148</v>
      </c>
      <c r="B757" s="49" t="s">
        <v>19</v>
      </c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</row>
    <row r="758" spans="1:22" s="9" customFormat="1" ht="12.75" customHeight="1" x14ac:dyDescent="0.2">
      <c r="A758" s="48"/>
      <c r="B758" s="52" t="s">
        <v>463</v>
      </c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</row>
    <row r="759" spans="1:22" s="9" customFormat="1" ht="58.5" customHeight="1" x14ac:dyDescent="0.2">
      <c r="A759" s="48"/>
      <c r="B759" s="50" t="s">
        <v>610</v>
      </c>
      <c r="C759" s="50" t="s">
        <v>610</v>
      </c>
      <c r="D759" s="50"/>
      <c r="E759" s="50"/>
      <c r="F759" s="50"/>
      <c r="G759" s="50"/>
      <c r="H759" s="50"/>
      <c r="I759" s="50"/>
      <c r="J759" s="53" t="s">
        <v>95</v>
      </c>
      <c r="K759" s="53"/>
      <c r="L759" s="53" t="s">
        <v>70</v>
      </c>
      <c r="M759" s="53" t="s">
        <v>106</v>
      </c>
      <c r="N759" s="53" t="s">
        <v>20</v>
      </c>
      <c r="O759" s="53" t="s">
        <v>19</v>
      </c>
      <c r="P759" s="53" t="s">
        <v>20</v>
      </c>
      <c r="Q759" s="57" t="s">
        <v>568</v>
      </c>
      <c r="R759" s="53" t="s">
        <v>11</v>
      </c>
      <c r="S759" s="53" t="s">
        <v>12</v>
      </c>
      <c r="T759" s="53" t="s">
        <v>7</v>
      </c>
      <c r="U759" s="53" t="s">
        <v>569</v>
      </c>
      <c r="V759" s="53" t="s">
        <v>668</v>
      </c>
    </row>
    <row r="760" spans="1:22" s="9" customFormat="1" x14ac:dyDescent="0.2">
      <c r="A760" s="48"/>
      <c r="B760" s="51" t="s">
        <v>5</v>
      </c>
      <c r="C760" s="51" t="s">
        <v>5</v>
      </c>
      <c r="D760" s="24">
        <f>SUM(D761:D764)</f>
        <v>332371.82299999997</v>
      </c>
      <c r="E760" s="25">
        <f>SUM(E761:E764)</f>
        <v>332371.82299999997</v>
      </c>
      <c r="F760" s="25"/>
      <c r="G760" s="25"/>
      <c r="H760" s="25"/>
      <c r="I760" s="25"/>
      <c r="J760" s="53"/>
      <c r="K760" s="53"/>
      <c r="L760" s="53"/>
      <c r="M760" s="53"/>
      <c r="N760" s="53"/>
      <c r="O760" s="53"/>
      <c r="P760" s="53"/>
      <c r="Q760" s="57"/>
      <c r="R760" s="53"/>
      <c r="S760" s="53"/>
      <c r="T760" s="53"/>
      <c r="U760" s="53"/>
      <c r="V760" s="53"/>
    </row>
    <row r="761" spans="1:22" s="9" customFormat="1" x14ac:dyDescent="0.2">
      <c r="A761" s="48"/>
      <c r="B761" s="51" t="s">
        <v>0</v>
      </c>
      <c r="C761" s="51" t="s">
        <v>0</v>
      </c>
      <c r="D761" s="24">
        <f>E761+F761+G761+H761+I761</f>
        <v>300000</v>
      </c>
      <c r="E761" s="25">
        <v>300000</v>
      </c>
      <c r="F761" s="25"/>
      <c r="G761" s="25"/>
      <c r="H761" s="25"/>
      <c r="I761" s="25"/>
      <c r="J761" s="53"/>
      <c r="K761" s="53"/>
      <c r="L761" s="53"/>
      <c r="M761" s="53"/>
      <c r="N761" s="53"/>
      <c r="O761" s="53"/>
      <c r="P761" s="53"/>
      <c r="Q761" s="57"/>
      <c r="R761" s="53"/>
      <c r="S761" s="53"/>
      <c r="T761" s="53"/>
      <c r="U761" s="53"/>
      <c r="V761" s="53"/>
    </row>
    <row r="762" spans="1:22" s="9" customFormat="1" x14ac:dyDescent="0.2">
      <c r="A762" s="48"/>
      <c r="B762" s="51" t="s">
        <v>1</v>
      </c>
      <c r="C762" s="51" t="s">
        <v>1</v>
      </c>
      <c r="D762" s="24">
        <f>E762+F762+G762+H762+I762</f>
        <v>32371.823</v>
      </c>
      <c r="E762" s="25">
        <v>32371.823</v>
      </c>
      <c r="F762" s="25"/>
      <c r="G762" s="25"/>
      <c r="H762" s="25"/>
      <c r="I762" s="25"/>
      <c r="J762" s="53"/>
      <c r="K762" s="53"/>
      <c r="L762" s="53"/>
      <c r="M762" s="53"/>
      <c r="N762" s="53"/>
      <c r="O762" s="53"/>
      <c r="P762" s="53"/>
      <c r="Q762" s="57"/>
      <c r="R762" s="53"/>
      <c r="S762" s="53"/>
      <c r="T762" s="53"/>
      <c r="U762" s="53"/>
      <c r="V762" s="53"/>
    </row>
    <row r="763" spans="1:22" s="9" customFormat="1" x14ac:dyDescent="0.2">
      <c r="A763" s="48"/>
      <c r="B763" s="51" t="s">
        <v>2</v>
      </c>
      <c r="C763" s="51" t="s">
        <v>2</v>
      </c>
      <c r="D763" s="24">
        <f>E763+F763+G763+H763+I763</f>
        <v>0</v>
      </c>
      <c r="E763" s="25"/>
      <c r="F763" s="25"/>
      <c r="G763" s="25"/>
      <c r="H763" s="25"/>
      <c r="I763" s="25"/>
      <c r="J763" s="53"/>
      <c r="K763" s="53"/>
      <c r="L763" s="53"/>
      <c r="M763" s="53"/>
      <c r="N763" s="53"/>
      <c r="O763" s="53"/>
      <c r="P763" s="53"/>
      <c r="Q763" s="57"/>
      <c r="R763" s="53"/>
      <c r="S763" s="53"/>
      <c r="T763" s="53"/>
      <c r="U763" s="53"/>
      <c r="V763" s="53"/>
    </row>
    <row r="764" spans="1:22" s="9" customFormat="1" ht="21.75" customHeight="1" x14ac:dyDescent="0.2">
      <c r="A764" s="48"/>
      <c r="B764" s="51" t="s">
        <v>3</v>
      </c>
      <c r="C764" s="51" t="s">
        <v>3</v>
      </c>
      <c r="D764" s="24">
        <f>E764+F764+G764+H764+I764</f>
        <v>0</v>
      </c>
      <c r="E764" s="25"/>
      <c r="F764" s="25"/>
      <c r="G764" s="25"/>
      <c r="H764" s="25"/>
      <c r="I764" s="25"/>
      <c r="J764" s="53"/>
      <c r="K764" s="53"/>
      <c r="L764" s="53"/>
      <c r="M764" s="53"/>
      <c r="N764" s="53"/>
      <c r="O764" s="53"/>
      <c r="P764" s="53"/>
      <c r="Q764" s="57"/>
      <c r="R764" s="53"/>
      <c r="S764" s="53"/>
      <c r="T764" s="53"/>
      <c r="U764" s="53"/>
      <c r="V764" s="53"/>
    </row>
    <row r="765" spans="1:22" s="9" customFormat="1" ht="12.75" customHeight="1" x14ac:dyDescent="0.2">
      <c r="A765" s="48" t="s">
        <v>149</v>
      </c>
      <c r="B765" s="49" t="s">
        <v>19</v>
      </c>
      <c r="C765" s="49"/>
      <c r="D765" s="49"/>
      <c r="E765" s="49"/>
      <c r="F765" s="49"/>
      <c r="G765" s="49"/>
      <c r="H765" s="49"/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</row>
    <row r="766" spans="1:22" s="9" customFormat="1" ht="12.75" customHeight="1" x14ac:dyDescent="0.2">
      <c r="A766" s="48"/>
      <c r="B766" s="52" t="s">
        <v>463</v>
      </c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</row>
    <row r="767" spans="1:22" s="9" customFormat="1" ht="57.75" customHeight="1" x14ac:dyDescent="0.2">
      <c r="A767" s="48"/>
      <c r="B767" s="50" t="s">
        <v>98</v>
      </c>
      <c r="C767" s="50" t="s">
        <v>98</v>
      </c>
      <c r="D767" s="50"/>
      <c r="E767" s="50"/>
      <c r="F767" s="50"/>
      <c r="G767" s="50"/>
      <c r="H767" s="50"/>
      <c r="I767" s="50"/>
      <c r="J767" s="53" t="s">
        <v>95</v>
      </c>
      <c r="K767" s="53"/>
      <c r="L767" s="53" t="s">
        <v>70</v>
      </c>
      <c r="M767" s="53" t="s">
        <v>350</v>
      </c>
      <c r="N767" s="53" t="s">
        <v>20</v>
      </c>
      <c r="O767" s="53" t="s">
        <v>19</v>
      </c>
      <c r="P767" s="53" t="s">
        <v>20</v>
      </c>
      <c r="Q767" s="57" t="s">
        <v>570</v>
      </c>
      <c r="R767" s="53" t="s">
        <v>11</v>
      </c>
      <c r="S767" s="53" t="s">
        <v>13</v>
      </c>
      <c r="T767" s="53" t="s">
        <v>7</v>
      </c>
      <c r="U767" s="53" t="s">
        <v>569</v>
      </c>
      <c r="V767" s="53" t="s">
        <v>669</v>
      </c>
    </row>
    <row r="768" spans="1:22" s="9" customFormat="1" x14ac:dyDescent="0.2">
      <c r="A768" s="48"/>
      <c r="B768" s="51" t="s">
        <v>5</v>
      </c>
      <c r="C768" s="51" t="s">
        <v>5</v>
      </c>
      <c r="D768" s="24">
        <f>SUM(D769:D772)</f>
        <v>70146.062999999995</v>
      </c>
      <c r="E768" s="25">
        <f>SUM(E769:E772)</f>
        <v>70146.062999999995</v>
      </c>
      <c r="F768" s="25"/>
      <c r="G768" s="25"/>
      <c r="H768" s="25"/>
      <c r="I768" s="25"/>
      <c r="J768" s="53"/>
      <c r="K768" s="53"/>
      <c r="L768" s="53"/>
      <c r="M768" s="53"/>
      <c r="N768" s="53"/>
      <c r="O768" s="53"/>
      <c r="P768" s="53"/>
      <c r="Q768" s="57"/>
      <c r="R768" s="53"/>
      <c r="S768" s="53"/>
      <c r="T768" s="53"/>
      <c r="U768" s="53"/>
      <c r="V768" s="53"/>
    </row>
    <row r="769" spans="1:22" x14ac:dyDescent="0.2">
      <c r="A769" s="48"/>
      <c r="B769" s="51" t="s">
        <v>0</v>
      </c>
      <c r="C769" s="51" t="s">
        <v>0</v>
      </c>
      <c r="D769" s="24">
        <f>E769+F769+G769+H769+I769</f>
        <v>50000</v>
      </c>
      <c r="E769" s="25">
        <v>50000</v>
      </c>
      <c r="F769" s="25"/>
      <c r="G769" s="25"/>
      <c r="H769" s="25"/>
      <c r="I769" s="25"/>
      <c r="J769" s="53"/>
      <c r="K769" s="53"/>
      <c r="L769" s="53"/>
      <c r="M769" s="53"/>
      <c r="N769" s="53"/>
      <c r="O769" s="53"/>
      <c r="P769" s="53"/>
      <c r="Q769" s="57"/>
      <c r="R769" s="53"/>
      <c r="S769" s="53"/>
      <c r="T769" s="53"/>
      <c r="U769" s="53"/>
      <c r="V769" s="53"/>
    </row>
    <row r="770" spans="1:22" x14ac:dyDescent="0.2">
      <c r="A770" s="48"/>
      <c r="B770" s="51" t="s">
        <v>1</v>
      </c>
      <c r="C770" s="51" t="s">
        <v>1</v>
      </c>
      <c r="D770" s="24">
        <f>E770+F770+G770+H770+I770</f>
        <v>20146.062999999998</v>
      </c>
      <c r="E770" s="25">
        <v>20146.062999999998</v>
      </c>
      <c r="F770" s="25"/>
      <c r="G770" s="25"/>
      <c r="H770" s="25"/>
      <c r="I770" s="25"/>
      <c r="J770" s="53"/>
      <c r="K770" s="53"/>
      <c r="L770" s="53"/>
      <c r="M770" s="53"/>
      <c r="N770" s="53"/>
      <c r="O770" s="53"/>
      <c r="P770" s="53"/>
      <c r="Q770" s="57"/>
      <c r="R770" s="53"/>
      <c r="S770" s="53"/>
      <c r="T770" s="53"/>
      <c r="U770" s="53"/>
      <c r="V770" s="53"/>
    </row>
    <row r="771" spans="1:22" x14ac:dyDescent="0.2">
      <c r="A771" s="48"/>
      <c r="B771" s="51" t="s">
        <v>2</v>
      </c>
      <c r="C771" s="51" t="s">
        <v>2</v>
      </c>
      <c r="D771" s="24">
        <f>E771+F771+G771+H771+I771</f>
        <v>0</v>
      </c>
      <c r="E771" s="25"/>
      <c r="F771" s="25"/>
      <c r="G771" s="25"/>
      <c r="H771" s="25"/>
      <c r="I771" s="25"/>
      <c r="J771" s="53"/>
      <c r="K771" s="53"/>
      <c r="L771" s="53"/>
      <c r="M771" s="53"/>
      <c r="N771" s="53"/>
      <c r="O771" s="53"/>
      <c r="P771" s="53"/>
      <c r="Q771" s="57"/>
      <c r="R771" s="53"/>
      <c r="S771" s="53"/>
      <c r="T771" s="53"/>
      <c r="U771" s="53"/>
      <c r="V771" s="53"/>
    </row>
    <row r="772" spans="1:22" ht="21.75" customHeight="1" x14ac:dyDescent="0.2">
      <c r="A772" s="48"/>
      <c r="B772" s="51" t="s">
        <v>3</v>
      </c>
      <c r="C772" s="51" t="s">
        <v>3</v>
      </c>
      <c r="D772" s="24">
        <f>E772+F772+G772+H772+I772</f>
        <v>0</v>
      </c>
      <c r="E772" s="25"/>
      <c r="F772" s="25"/>
      <c r="G772" s="25"/>
      <c r="H772" s="25"/>
      <c r="I772" s="25"/>
      <c r="J772" s="53"/>
      <c r="K772" s="53"/>
      <c r="L772" s="53"/>
      <c r="M772" s="53"/>
      <c r="N772" s="53"/>
      <c r="O772" s="53"/>
      <c r="P772" s="53"/>
      <c r="Q772" s="57"/>
      <c r="R772" s="53"/>
      <c r="S772" s="53"/>
      <c r="T772" s="53"/>
      <c r="U772" s="53"/>
      <c r="V772" s="53"/>
    </row>
    <row r="773" spans="1:22" ht="12.75" customHeight="1" x14ac:dyDescent="0.2">
      <c r="A773" s="48" t="s">
        <v>153</v>
      </c>
      <c r="B773" s="49" t="s">
        <v>19</v>
      </c>
      <c r="C773" s="49"/>
      <c r="D773" s="49"/>
      <c r="E773" s="49"/>
      <c r="F773" s="49"/>
      <c r="G773" s="49"/>
      <c r="H773" s="49"/>
      <c r="I773" s="49"/>
      <c r="J773" s="49"/>
      <c r="K773" s="49"/>
      <c r="L773" s="49"/>
      <c r="M773" s="49"/>
      <c r="N773" s="49"/>
      <c r="O773" s="49"/>
      <c r="P773" s="49"/>
      <c r="Q773" s="49"/>
      <c r="R773" s="49"/>
      <c r="S773" s="49"/>
      <c r="T773" s="49"/>
      <c r="U773" s="49"/>
      <c r="V773" s="49"/>
    </row>
    <row r="774" spans="1:22" ht="12.75" customHeight="1" x14ac:dyDescent="0.2">
      <c r="A774" s="48"/>
      <c r="B774" s="52" t="s">
        <v>463</v>
      </c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</row>
    <row r="775" spans="1:22" ht="58.5" customHeight="1" x14ac:dyDescent="0.2">
      <c r="A775" s="48"/>
      <c r="B775" s="50" t="s">
        <v>99</v>
      </c>
      <c r="C775" s="50" t="s">
        <v>99</v>
      </c>
      <c r="D775" s="50"/>
      <c r="E775" s="50"/>
      <c r="F775" s="50"/>
      <c r="G775" s="50"/>
      <c r="H775" s="50"/>
      <c r="I775" s="50"/>
      <c r="J775" s="53" t="s">
        <v>95</v>
      </c>
      <c r="K775" s="53"/>
      <c r="L775" s="53" t="s">
        <v>70</v>
      </c>
      <c r="M775" s="53" t="s">
        <v>107</v>
      </c>
      <c r="N775" s="53" t="s">
        <v>20</v>
      </c>
      <c r="O775" s="53" t="s">
        <v>19</v>
      </c>
      <c r="P775" s="53" t="s">
        <v>20</v>
      </c>
      <c r="Q775" s="57" t="s">
        <v>571</v>
      </c>
      <c r="R775" s="53" t="s">
        <v>11</v>
      </c>
      <c r="S775" s="53" t="s">
        <v>13</v>
      </c>
      <c r="T775" s="53" t="s">
        <v>7</v>
      </c>
      <c r="U775" s="53" t="s">
        <v>569</v>
      </c>
      <c r="V775" s="53" t="s">
        <v>670</v>
      </c>
    </row>
    <row r="776" spans="1:22" s="9" customFormat="1" x14ac:dyDescent="0.2">
      <c r="A776" s="48"/>
      <c r="B776" s="51" t="s">
        <v>5</v>
      </c>
      <c r="C776" s="51" t="s">
        <v>5</v>
      </c>
      <c r="D776" s="24">
        <f>SUM(D777:D780)</f>
        <v>76036.489000000001</v>
      </c>
      <c r="E776" s="25">
        <f>SUM(E777:E780)</f>
        <v>76036.489000000001</v>
      </c>
      <c r="F776" s="25"/>
      <c r="G776" s="25"/>
      <c r="H776" s="25"/>
      <c r="I776" s="25"/>
      <c r="J776" s="53"/>
      <c r="K776" s="53"/>
      <c r="L776" s="53"/>
      <c r="M776" s="53"/>
      <c r="N776" s="53"/>
      <c r="O776" s="53"/>
      <c r="P776" s="53"/>
      <c r="Q776" s="57"/>
      <c r="R776" s="53"/>
      <c r="S776" s="53"/>
      <c r="T776" s="53"/>
      <c r="U776" s="53"/>
      <c r="V776" s="53"/>
    </row>
    <row r="777" spans="1:22" s="9" customFormat="1" x14ac:dyDescent="0.2">
      <c r="A777" s="48"/>
      <c r="B777" s="51" t="s">
        <v>0</v>
      </c>
      <c r="C777" s="51" t="s">
        <v>0</v>
      </c>
      <c r="D777" s="24">
        <f>E777+F777+G777+H777+I777</f>
        <v>50000</v>
      </c>
      <c r="E777" s="25">
        <v>50000</v>
      </c>
      <c r="F777" s="25"/>
      <c r="G777" s="25"/>
      <c r="H777" s="25"/>
      <c r="I777" s="25"/>
      <c r="J777" s="53"/>
      <c r="K777" s="53"/>
      <c r="L777" s="53"/>
      <c r="M777" s="53"/>
      <c r="N777" s="53"/>
      <c r="O777" s="53"/>
      <c r="P777" s="53"/>
      <c r="Q777" s="57"/>
      <c r="R777" s="53"/>
      <c r="S777" s="53"/>
      <c r="T777" s="53"/>
      <c r="U777" s="53"/>
      <c r="V777" s="53"/>
    </row>
    <row r="778" spans="1:22" s="9" customFormat="1" x14ac:dyDescent="0.2">
      <c r="A778" s="48"/>
      <c r="B778" s="51" t="s">
        <v>1</v>
      </c>
      <c r="C778" s="51" t="s">
        <v>1</v>
      </c>
      <c r="D778" s="24">
        <f>E778+F778+G778+H778+I778</f>
        <v>26036.489000000001</v>
      </c>
      <c r="E778" s="25">
        <v>26036.489000000001</v>
      </c>
      <c r="F778" s="25"/>
      <c r="G778" s="25"/>
      <c r="H778" s="25"/>
      <c r="I778" s="25"/>
      <c r="J778" s="53"/>
      <c r="K778" s="53"/>
      <c r="L778" s="53"/>
      <c r="M778" s="53"/>
      <c r="N778" s="53"/>
      <c r="O778" s="53"/>
      <c r="P778" s="53"/>
      <c r="Q778" s="57"/>
      <c r="R778" s="53"/>
      <c r="S778" s="53"/>
      <c r="T778" s="53"/>
      <c r="U778" s="53"/>
      <c r="V778" s="53"/>
    </row>
    <row r="779" spans="1:22" s="9" customFormat="1" x14ac:dyDescent="0.2">
      <c r="A779" s="48"/>
      <c r="B779" s="51" t="s">
        <v>2</v>
      </c>
      <c r="C779" s="51" t="s">
        <v>2</v>
      </c>
      <c r="D779" s="24">
        <f>E779+F779+G779+H779+I779</f>
        <v>0</v>
      </c>
      <c r="E779" s="25"/>
      <c r="F779" s="25"/>
      <c r="G779" s="25"/>
      <c r="H779" s="25"/>
      <c r="I779" s="25"/>
      <c r="J779" s="53"/>
      <c r="K779" s="53"/>
      <c r="L779" s="53"/>
      <c r="M779" s="53"/>
      <c r="N779" s="53"/>
      <c r="O779" s="53"/>
      <c r="P779" s="53"/>
      <c r="Q779" s="57"/>
      <c r="R779" s="53"/>
      <c r="S779" s="53"/>
      <c r="T779" s="53"/>
      <c r="U779" s="53"/>
      <c r="V779" s="53"/>
    </row>
    <row r="780" spans="1:22" s="9" customFormat="1" ht="21.75" customHeight="1" x14ac:dyDescent="0.2">
      <c r="A780" s="48"/>
      <c r="B780" s="51" t="s">
        <v>3</v>
      </c>
      <c r="C780" s="51" t="s">
        <v>3</v>
      </c>
      <c r="D780" s="24">
        <f>E780+F780+G780+H780+I780</f>
        <v>0</v>
      </c>
      <c r="E780" s="25"/>
      <c r="F780" s="25"/>
      <c r="G780" s="25"/>
      <c r="H780" s="25"/>
      <c r="I780" s="25"/>
      <c r="J780" s="53"/>
      <c r="K780" s="53"/>
      <c r="L780" s="53"/>
      <c r="M780" s="53"/>
      <c r="N780" s="53"/>
      <c r="O780" s="53"/>
      <c r="P780" s="53"/>
      <c r="Q780" s="57"/>
      <c r="R780" s="53"/>
      <c r="S780" s="53"/>
      <c r="T780" s="53"/>
      <c r="U780" s="53"/>
      <c r="V780" s="53"/>
    </row>
    <row r="781" spans="1:22" s="9" customFormat="1" ht="12.75" customHeight="1" x14ac:dyDescent="0.2">
      <c r="A781" s="48" t="s">
        <v>150</v>
      </c>
      <c r="B781" s="49" t="s">
        <v>19</v>
      </c>
      <c r="C781" s="49"/>
      <c r="D781" s="49"/>
      <c r="E781" s="49"/>
      <c r="F781" s="49"/>
      <c r="G781" s="49"/>
      <c r="H781" s="49"/>
      <c r="I781" s="49"/>
      <c r="J781" s="49"/>
      <c r="K781" s="49"/>
      <c r="L781" s="49"/>
      <c r="M781" s="49"/>
      <c r="N781" s="49"/>
      <c r="O781" s="49"/>
      <c r="P781" s="49"/>
      <c r="Q781" s="49"/>
      <c r="R781" s="49"/>
      <c r="S781" s="49"/>
      <c r="T781" s="49"/>
      <c r="U781" s="49"/>
      <c r="V781" s="49"/>
    </row>
    <row r="782" spans="1:22" s="9" customFormat="1" ht="12.75" customHeight="1" x14ac:dyDescent="0.2">
      <c r="A782" s="48"/>
      <c r="B782" s="52" t="s">
        <v>463</v>
      </c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</row>
    <row r="783" spans="1:22" s="9" customFormat="1" ht="56.25" customHeight="1" x14ac:dyDescent="0.2">
      <c r="A783" s="48"/>
      <c r="B783" s="50" t="s">
        <v>100</v>
      </c>
      <c r="C783" s="50" t="s">
        <v>100</v>
      </c>
      <c r="D783" s="50"/>
      <c r="E783" s="50"/>
      <c r="F783" s="50"/>
      <c r="G783" s="50"/>
      <c r="H783" s="50"/>
      <c r="I783" s="50"/>
      <c r="J783" s="53" t="s">
        <v>95</v>
      </c>
      <c r="K783" s="53"/>
      <c r="L783" s="53" t="s">
        <v>70</v>
      </c>
      <c r="M783" s="53" t="s">
        <v>351</v>
      </c>
      <c r="N783" s="53" t="s">
        <v>20</v>
      </c>
      <c r="O783" s="53" t="s">
        <v>19</v>
      </c>
      <c r="P783" s="53" t="s">
        <v>20</v>
      </c>
      <c r="Q783" s="57" t="s">
        <v>352</v>
      </c>
      <c r="R783" s="53" t="s">
        <v>11</v>
      </c>
      <c r="S783" s="53" t="s">
        <v>15</v>
      </c>
      <c r="T783" s="53" t="s">
        <v>7</v>
      </c>
      <c r="U783" s="53"/>
      <c r="V783" s="53" t="s">
        <v>671</v>
      </c>
    </row>
    <row r="784" spans="1:22" s="9" customFormat="1" x14ac:dyDescent="0.2">
      <c r="A784" s="48"/>
      <c r="B784" s="51" t="s">
        <v>5</v>
      </c>
      <c r="C784" s="51" t="s">
        <v>5</v>
      </c>
      <c r="D784" s="24">
        <f>SUM(D785:D788)</f>
        <v>214237.30064999999</v>
      </c>
      <c r="E784" s="25">
        <f>SUM(E785:E788)</f>
        <v>214237.30064999999</v>
      </c>
      <c r="F784" s="25"/>
      <c r="G784" s="25"/>
      <c r="H784" s="25"/>
      <c r="I784" s="25"/>
      <c r="J784" s="53"/>
      <c r="K784" s="53"/>
      <c r="L784" s="53"/>
      <c r="M784" s="53"/>
      <c r="N784" s="53"/>
      <c r="O784" s="53"/>
      <c r="P784" s="53"/>
      <c r="Q784" s="57"/>
      <c r="R784" s="53"/>
      <c r="S784" s="53"/>
      <c r="T784" s="53"/>
      <c r="U784" s="53"/>
      <c r="V784" s="53"/>
    </row>
    <row r="785" spans="1:22" s="9" customFormat="1" x14ac:dyDescent="0.2">
      <c r="A785" s="48"/>
      <c r="B785" s="51" t="s">
        <v>0</v>
      </c>
      <c r="C785" s="51" t="s">
        <v>0</v>
      </c>
      <c r="D785" s="24">
        <f>E785+F785+G785+H785+I785</f>
        <v>0</v>
      </c>
      <c r="E785" s="25"/>
      <c r="F785" s="25"/>
      <c r="G785" s="25"/>
      <c r="H785" s="25"/>
      <c r="I785" s="25"/>
      <c r="J785" s="53"/>
      <c r="K785" s="53"/>
      <c r="L785" s="53"/>
      <c r="M785" s="53"/>
      <c r="N785" s="53"/>
      <c r="O785" s="53"/>
      <c r="P785" s="53"/>
      <c r="Q785" s="57"/>
      <c r="R785" s="53"/>
      <c r="S785" s="53"/>
      <c r="T785" s="53"/>
      <c r="U785" s="53"/>
      <c r="V785" s="53"/>
    </row>
    <row r="786" spans="1:22" s="9" customFormat="1" x14ac:dyDescent="0.2">
      <c r="A786" s="48"/>
      <c r="B786" s="51" t="s">
        <v>1</v>
      </c>
      <c r="C786" s="51" t="s">
        <v>1</v>
      </c>
      <c r="D786" s="24">
        <f>E786+F786+G786+H786+I786</f>
        <v>214237.30064999999</v>
      </c>
      <c r="E786" s="25">
        <f>27802.206+7500+30000+77700.56758+71234.52707</f>
        <v>214237.30064999999</v>
      </c>
      <c r="F786" s="25"/>
      <c r="G786" s="25"/>
      <c r="H786" s="25"/>
      <c r="I786" s="25"/>
      <c r="J786" s="53"/>
      <c r="K786" s="53"/>
      <c r="L786" s="53"/>
      <c r="M786" s="53"/>
      <c r="N786" s="53"/>
      <c r="O786" s="53"/>
      <c r="P786" s="53"/>
      <c r="Q786" s="57"/>
      <c r="R786" s="53"/>
      <c r="S786" s="53"/>
      <c r="T786" s="53"/>
      <c r="U786" s="53"/>
      <c r="V786" s="53"/>
    </row>
    <row r="787" spans="1:22" s="9" customFormat="1" x14ac:dyDescent="0.2">
      <c r="A787" s="48"/>
      <c r="B787" s="51" t="s">
        <v>2</v>
      </c>
      <c r="C787" s="51" t="s">
        <v>2</v>
      </c>
      <c r="D787" s="24">
        <f>E787+F787+G787+H787+I787</f>
        <v>0</v>
      </c>
      <c r="E787" s="25"/>
      <c r="F787" s="25"/>
      <c r="G787" s="25"/>
      <c r="H787" s="25"/>
      <c r="I787" s="25"/>
      <c r="J787" s="53"/>
      <c r="K787" s="53"/>
      <c r="L787" s="53"/>
      <c r="M787" s="53"/>
      <c r="N787" s="53"/>
      <c r="O787" s="53"/>
      <c r="P787" s="53"/>
      <c r="Q787" s="57"/>
      <c r="R787" s="53"/>
      <c r="S787" s="53"/>
      <c r="T787" s="53"/>
      <c r="U787" s="53"/>
      <c r="V787" s="53"/>
    </row>
    <row r="788" spans="1:22" s="9" customFormat="1" ht="21.75" customHeight="1" x14ac:dyDescent="0.2">
      <c r="A788" s="48"/>
      <c r="B788" s="51" t="s">
        <v>3</v>
      </c>
      <c r="C788" s="51" t="s">
        <v>3</v>
      </c>
      <c r="D788" s="24">
        <f>E788+F788+G788+H788+I788</f>
        <v>0</v>
      </c>
      <c r="E788" s="25"/>
      <c r="F788" s="25"/>
      <c r="G788" s="25"/>
      <c r="H788" s="25"/>
      <c r="I788" s="25"/>
      <c r="J788" s="53"/>
      <c r="K788" s="53"/>
      <c r="L788" s="53"/>
      <c r="M788" s="53"/>
      <c r="N788" s="53"/>
      <c r="O788" s="53"/>
      <c r="P788" s="53"/>
      <c r="Q788" s="57"/>
      <c r="R788" s="53"/>
      <c r="S788" s="53"/>
      <c r="T788" s="53"/>
      <c r="U788" s="53"/>
      <c r="V788" s="53"/>
    </row>
    <row r="789" spans="1:22" s="9" customFormat="1" ht="12.75" customHeight="1" x14ac:dyDescent="0.2">
      <c r="A789" s="48" t="s">
        <v>154</v>
      </c>
      <c r="B789" s="49" t="s">
        <v>19</v>
      </c>
      <c r="C789" s="49"/>
      <c r="D789" s="49"/>
      <c r="E789" s="49"/>
      <c r="F789" s="49"/>
      <c r="G789" s="49"/>
      <c r="H789" s="49"/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</row>
    <row r="790" spans="1:22" s="9" customFormat="1" ht="12.75" customHeight="1" x14ac:dyDescent="0.2">
      <c r="A790" s="48"/>
      <c r="B790" s="52" t="s">
        <v>463</v>
      </c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</row>
    <row r="791" spans="1:22" ht="60" customHeight="1" x14ac:dyDescent="0.2">
      <c r="A791" s="48"/>
      <c r="B791" s="50" t="s">
        <v>158</v>
      </c>
      <c r="C791" s="50" t="s">
        <v>158</v>
      </c>
      <c r="D791" s="50"/>
      <c r="E791" s="50"/>
      <c r="F791" s="50"/>
      <c r="G791" s="50"/>
      <c r="H791" s="50"/>
      <c r="I791" s="50"/>
      <c r="J791" s="53" t="s">
        <v>159</v>
      </c>
      <c r="K791" s="53" t="s">
        <v>60</v>
      </c>
      <c r="L791" s="53" t="s">
        <v>70</v>
      </c>
      <c r="M791" s="53" t="s">
        <v>160</v>
      </c>
      <c r="N791" s="53" t="s">
        <v>20</v>
      </c>
      <c r="O791" s="53" t="s">
        <v>19</v>
      </c>
      <c r="P791" s="53" t="s">
        <v>20</v>
      </c>
      <c r="Q791" s="57" t="s">
        <v>353</v>
      </c>
      <c r="R791" s="53" t="s">
        <v>11</v>
      </c>
      <c r="S791" s="53" t="s">
        <v>12</v>
      </c>
      <c r="T791" s="53" t="s">
        <v>85</v>
      </c>
      <c r="U791" s="53"/>
      <c r="V791" s="53"/>
    </row>
    <row r="792" spans="1:22" s="9" customFormat="1" x14ac:dyDescent="0.2">
      <c r="A792" s="48"/>
      <c r="B792" s="51" t="s">
        <v>5</v>
      </c>
      <c r="C792" s="51" t="s">
        <v>5</v>
      </c>
      <c r="D792" s="24">
        <f>SUM(D793:D796)</f>
        <v>29905.276999999998</v>
      </c>
      <c r="E792" s="25">
        <f>SUM(E793:E796)</f>
        <v>29905.276999999998</v>
      </c>
      <c r="F792" s="25"/>
      <c r="G792" s="25"/>
      <c r="H792" s="25"/>
      <c r="I792" s="25"/>
      <c r="J792" s="53"/>
      <c r="K792" s="53"/>
      <c r="L792" s="53"/>
      <c r="M792" s="53"/>
      <c r="N792" s="53"/>
      <c r="O792" s="53"/>
      <c r="P792" s="53"/>
      <c r="Q792" s="57"/>
      <c r="R792" s="53"/>
      <c r="S792" s="53"/>
      <c r="T792" s="53"/>
      <c r="U792" s="53"/>
      <c r="V792" s="53"/>
    </row>
    <row r="793" spans="1:22" s="9" customFormat="1" x14ac:dyDescent="0.2">
      <c r="A793" s="48"/>
      <c r="B793" s="51" t="s">
        <v>0</v>
      </c>
      <c r="C793" s="51" t="s">
        <v>0</v>
      </c>
      <c r="D793" s="24">
        <f>E793+F793+G793+H793+I793</f>
        <v>0</v>
      </c>
      <c r="E793" s="25"/>
      <c r="F793" s="25"/>
      <c r="G793" s="25"/>
      <c r="H793" s="25"/>
      <c r="I793" s="25"/>
      <c r="J793" s="53"/>
      <c r="K793" s="53"/>
      <c r="L793" s="53"/>
      <c r="M793" s="53"/>
      <c r="N793" s="53"/>
      <c r="O793" s="53"/>
      <c r="P793" s="53"/>
      <c r="Q793" s="57"/>
      <c r="R793" s="53"/>
      <c r="S793" s="53"/>
      <c r="T793" s="53"/>
      <c r="U793" s="53"/>
      <c r="V793" s="53"/>
    </row>
    <row r="794" spans="1:22" s="9" customFormat="1" x14ac:dyDescent="0.2">
      <c r="A794" s="48"/>
      <c r="B794" s="51" t="s">
        <v>1</v>
      </c>
      <c r="C794" s="51" t="s">
        <v>1</v>
      </c>
      <c r="D794" s="24">
        <f>E794+F794+G794+H794+I794</f>
        <v>29905.276999999998</v>
      </c>
      <c r="E794" s="25">
        <f>37126.33-7509.438+288.385</f>
        <v>29905.276999999998</v>
      </c>
      <c r="F794" s="25"/>
      <c r="G794" s="25"/>
      <c r="H794" s="25"/>
      <c r="I794" s="25"/>
      <c r="J794" s="53"/>
      <c r="K794" s="53"/>
      <c r="L794" s="53"/>
      <c r="M794" s="53"/>
      <c r="N794" s="53"/>
      <c r="O794" s="53"/>
      <c r="P794" s="53"/>
      <c r="Q794" s="57"/>
      <c r="R794" s="53"/>
      <c r="S794" s="53"/>
      <c r="T794" s="53"/>
      <c r="U794" s="53"/>
      <c r="V794" s="53"/>
    </row>
    <row r="795" spans="1:22" s="9" customFormat="1" x14ac:dyDescent="0.2">
      <c r="A795" s="48"/>
      <c r="B795" s="51" t="s">
        <v>2</v>
      </c>
      <c r="C795" s="51" t="s">
        <v>2</v>
      </c>
      <c r="D795" s="24">
        <f>E795+F795+G795+H795+I795</f>
        <v>0</v>
      </c>
      <c r="E795" s="25"/>
      <c r="F795" s="25"/>
      <c r="G795" s="25"/>
      <c r="H795" s="25"/>
      <c r="I795" s="25"/>
      <c r="J795" s="53"/>
      <c r="K795" s="53"/>
      <c r="L795" s="53"/>
      <c r="M795" s="53"/>
      <c r="N795" s="53"/>
      <c r="O795" s="53"/>
      <c r="P795" s="53"/>
      <c r="Q795" s="57"/>
      <c r="R795" s="53"/>
      <c r="S795" s="53"/>
      <c r="T795" s="53"/>
      <c r="U795" s="53"/>
      <c r="V795" s="53"/>
    </row>
    <row r="796" spans="1:22" s="9" customFormat="1" ht="21.75" customHeight="1" x14ac:dyDescent="0.2">
      <c r="A796" s="48"/>
      <c r="B796" s="51" t="s">
        <v>3</v>
      </c>
      <c r="C796" s="51" t="s">
        <v>3</v>
      </c>
      <c r="D796" s="24">
        <f>E796+F796+G796+H796+I796</f>
        <v>0</v>
      </c>
      <c r="E796" s="25"/>
      <c r="F796" s="25"/>
      <c r="G796" s="25"/>
      <c r="H796" s="25"/>
      <c r="I796" s="25"/>
      <c r="J796" s="53"/>
      <c r="K796" s="53"/>
      <c r="L796" s="53"/>
      <c r="M796" s="53"/>
      <c r="N796" s="53"/>
      <c r="O796" s="53"/>
      <c r="P796" s="53"/>
      <c r="Q796" s="57"/>
      <c r="R796" s="53"/>
      <c r="S796" s="53"/>
      <c r="T796" s="53"/>
      <c r="U796" s="53"/>
      <c r="V796" s="53"/>
    </row>
    <row r="797" spans="1:22" s="9" customFormat="1" ht="12.75" customHeight="1" x14ac:dyDescent="0.2">
      <c r="A797" s="48" t="s">
        <v>157</v>
      </c>
      <c r="B797" s="49" t="s">
        <v>19</v>
      </c>
      <c r="C797" s="49"/>
      <c r="D797" s="49"/>
      <c r="E797" s="49"/>
      <c r="F797" s="49"/>
      <c r="G797" s="49"/>
      <c r="H797" s="49"/>
      <c r="I797" s="49"/>
      <c r="J797" s="49"/>
      <c r="K797" s="49"/>
      <c r="L797" s="49"/>
      <c r="M797" s="49"/>
      <c r="N797" s="49"/>
      <c r="O797" s="49"/>
      <c r="P797" s="49"/>
      <c r="Q797" s="49"/>
      <c r="R797" s="49"/>
      <c r="S797" s="49"/>
      <c r="T797" s="49"/>
      <c r="U797" s="49"/>
      <c r="V797" s="49"/>
    </row>
    <row r="798" spans="1:22" s="9" customFormat="1" ht="12.75" customHeight="1" x14ac:dyDescent="0.2">
      <c r="A798" s="48"/>
      <c r="B798" s="52" t="s">
        <v>463</v>
      </c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</row>
    <row r="799" spans="1:22" ht="59.25" customHeight="1" x14ac:dyDescent="0.2">
      <c r="A799" s="48"/>
      <c r="B799" s="50" t="s">
        <v>373</v>
      </c>
      <c r="C799" s="50" t="s">
        <v>373</v>
      </c>
      <c r="D799" s="50"/>
      <c r="E799" s="50"/>
      <c r="F799" s="50"/>
      <c r="G799" s="50"/>
      <c r="H799" s="50"/>
      <c r="I799" s="50"/>
      <c r="J799" s="53" t="s">
        <v>182</v>
      </c>
      <c r="K799" s="53"/>
      <c r="L799" s="53" t="s">
        <v>70</v>
      </c>
      <c r="M799" s="53" t="s">
        <v>572</v>
      </c>
      <c r="N799" s="53" t="s">
        <v>20</v>
      </c>
      <c r="O799" s="53" t="s">
        <v>19</v>
      </c>
      <c r="P799" s="53" t="s">
        <v>20</v>
      </c>
      <c r="Q799" s="57" t="s">
        <v>354</v>
      </c>
      <c r="R799" s="53" t="s">
        <v>11</v>
      </c>
      <c r="S799" s="53" t="s">
        <v>12</v>
      </c>
      <c r="T799" s="53" t="s">
        <v>18</v>
      </c>
      <c r="U799" s="53"/>
      <c r="V799" s="53" t="s">
        <v>183</v>
      </c>
    </row>
    <row r="800" spans="1:22" x14ac:dyDescent="0.2">
      <c r="A800" s="48"/>
      <c r="B800" s="51" t="s">
        <v>5</v>
      </c>
      <c r="C800" s="51" t="s">
        <v>5</v>
      </c>
      <c r="D800" s="24">
        <f>SUM(D801:D804)</f>
        <v>9590.6369999999988</v>
      </c>
      <c r="E800" s="25">
        <f>SUM(E801:E804)</f>
        <v>1543.3999999999996</v>
      </c>
      <c r="F800" s="25">
        <f>SUM(F801:F804)</f>
        <v>8047.2370000000001</v>
      </c>
      <c r="G800" s="25"/>
      <c r="H800" s="25"/>
      <c r="I800" s="25"/>
      <c r="J800" s="53"/>
      <c r="K800" s="53"/>
      <c r="L800" s="53"/>
      <c r="M800" s="53"/>
      <c r="N800" s="53"/>
      <c r="O800" s="53"/>
      <c r="P800" s="53"/>
      <c r="Q800" s="57"/>
      <c r="R800" s="53"/>
      <c r="S800" s="53"/>
      <c r="T800" s="53"/>
      <c r="U800" s="53"/>
      <c r="V800" s="53"/>
    </row>
    <row r="801" spans="1:22" x14ac:dyDescent="0.2">
      <c r="A801" s="48"/>
      <c r="B801" s="51" t="s">
        <v>0</v>
      </c>
      <c r="C801" s="51" t="s">
        <v>0</v>
      </c>
      <c r="D801" s="24">
        <f>E801+F801+G801+H801+I801</f>
        <v>0</v>
      </c>
      <c r="E801" s="25"/>
      <c r="F801" s="25"/>
      <c r="G801" s="25"/>
      <c r="H801" s="25"/>
      <c r="I801" s="25"/>
      <c r="J801" s="53"/>
      <c r="K801" s="53"/>
      <c r="L801" s="53"/>
      <c r="M801" s="53"/>
      <c r="N801" s="53"/>
      <c r="O801" s="53"/>
      <c r="P801" s="53"/>
      <c r="Q801" s="57"/>
      <c r="R801" s="53"/>
      <c r="S801" s="53"/>
      <c r="T801" s="53"/>
      <c r="U801" s="53"/>
      <c r="V801" s="53"/>
    </row>
    <row r="802" spans="1:22" x14ac:dyDescent="0.2">
      <c r="A802" s="48"/>
      <c r="B802" s="51" t="s">
        <v>1</v>
      </c>
      <c r="C802" s="51" t="s">
        <v>1</v>
      </c>
      <c r="D802" s="24">
        <f>E802+F802+G802+H802+I802</f>
        <v>9590.6369999999988</v>
      </c>
      <c r="E802" s="25">
        <f>9535.5-1359.27854-4989.82146-1643</f>
        <v>1543.3999999999996</v>
      </c>
      <c r="F802" s="25">
        <v>8047.2370000000001</v>
      </c>
      <c r="G802" s="25"/>
      <c r="H802" s="25"/>
      <c r="I802" s="25"/>
      <c r="J802" s="53"/>
      <c r="K802" s="53"/>
      <c r="L802" s="53"/>
      <c r="M802" s="53"/>
      <c r="N802" s="53"/>
      <c r="O802" s="53"/>
      <c r="P802" s="53"/>
      <c r="Q802" s="57"/>
      <c r="R802" s="53"/>
      <c r="S802" s="53"/>
      <c r="T802" s="53"/>
      <c r="U802" s="53"/>
      <c r="V802" s="53"/>
    </row>
    <row r="803" spans="1:22" x14ac:dyDescent="0.2">
      <c r="A803" s="48"/>
      <c r="B803" s="51" t="s">
        <v>2</v>
      </c>
      <c r="C803" s="51" t="s">
        <v>2</v>
      </c>
      <c r="D803" s="24">
        <f>E803+F803+G803+H803+I803</f>
        <v>0</v>
      </c>
      <c r="E803" s="25"/>
      <c r="F803" s="25"/>
      <c r="G803" s="25"/>
      <c r="H803" s="25"/>
      <c r="I803" s="25"/>
      <c r="J803" s="53"/>
      <c r="K803" s="53"/>
      <c r="L803" s="53"/>
      <c r="M803" s="53"/>
      <c r="N803" s="53"/>
      <c r="O803" s="53"/>
      <c r="P803" s="53"/>
      <c r="Q803" s="57"/>
      <c r="R803" s="53"/>
      <c r="S803" s="53"/>
      <c r="T803" s="53"/>
      <c r="U803" s="53"/>
      <c r="V803" s="53"/>
    </row>
    <row r="804" spans="1:22" ht="21.75" customHeight="1" x14ac:dyDescent="0.2">
      <c r="A804" s="48"/>
      <c r="B804" s="51" t="s">
        <v>3</v>
      </c>
      <c r="C804" s="51" t="s">
        <v>3</v>
      </c>
      <c r="D804" s="24">
        <f>E804+F804+G804+H804+I804</f>
        <v>0</v>
      </c>
      <c r="E804" s="25"/>
      <c r="F804" s="25"/>
      <c r="G804" s="25"/>
      <c r="H804" s="25"/>
      <c r="I804" s="25"/>
      <c r="J804" s="53"/>
      <c r="K804" s="53"/>
      <c r="L804" s="53"/>
      <c r="M804" s="53"/>
      <c r="N804" s="53"/>
      <c r="O804" s="53"/>
      <c r="P804" s="53"/>
      <c r="Q804" s="57"/>
      <c r="R804" s="53"/>
      <c r="S804" s="53"/>
      <c r="T804" s="53"/>
      <c r="U804" s="53"/>
      <c r="V804" s="53"/>
    </row>
    <row r="805" spans="1:22" ht="12.75" customHeight="1" x14ac:dyDescent="0.2">
      <c r="A805" s="48" t="s">
        <v>167</v>
      </c>
      <c r="B805" s="49" t="s">
        <v>19</v>
      </c>
      <c r="C805" s="49"/>
      <c r="D805" s="49"/>
      <c r="E805" s="49"/>
      <c r="F805" s="49"/>
      <c r="G805" s="49"/>
      <c r="H805" s="49"/>
      <c r="I805" s="49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</row>
    <row r="806" spans="1:22" ht="12.75" customHeight="1" x14ac:dyDescent="0.2">
      <c r="A806" s="48"/>
      <c r="B806" s="52" t="s">
        <v>463</v>
      </c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</row>
    <row r="807" spans="1:22" ht="59.25" customHeight="1" x14ac:dyDescent="0.2">
      <c r="A807" s="48"/>
      <c r="B807" s="50" t="s">
        <v>573</v>
      </c>
      <c r="C807" s="50" t="s">
        <v>573</v>
      </c>
      <c r="D807" s="50"/>
      <c r="E807" s="50"/>
      <c r="F807" s="50"/>
      <c r="G807" s="50"/>
      <c r="H807" s="50"/>
      <c r="I807" s="50"/>
      <c r="J807" s="53" t="s">
        <v>185</v>
      </c>
      <c r="K807" s="53"/>
      <c r="L807" s="53" t="s">
        <v>70</v>
      </c>
      <c r="M807" s="53" t="s">
        <v>574</v>
      </c>
      <c r="N807" s="53" t="s">
        <v>20</v>
      </c>
      <c r="O807" s="53" t="s">
        <v>19</v>
      </c>
      <c r="P807" s="53" t="s">
        <v>20</v>
      </c>
      <c r="Q807" s="57" t="s">
        <v>575</v>
      </c>
      <c r="R807" s="53" t="s">
        <v>11</v>
      </c>
      <c r="S807" s="53" t="s">
        <v>12</v>
      </c>
      <c r="T807" s="53" t="s">
        <v>18</v>
      </c>
      <c r="U807" s="53"/>
      <c r="V807" s="53" t="s">
        <v>672</v>
      </c>
    </row>
    <row r="808" spans="1:22" x14ac:dyDescent="0.2">
      <c r="A808" s="48"/>
      <c r="B808" s="51" t="s">
        <v>5</v>
      </c>
      <c r="C808" s="51" t="s">
        <v>5</v>
      </c>
      <c r="D808" s="24">
        <f>SUM(D809:D812)</f>
        <v>23174.305</v>
      </c>
      <c r="E808" s="25">
        <f>SUM(E809:E812)</f>
        <v>0</v>
      </c>
      <c r="F808" s="25">
        <f>SUM(F809:F812)</f>
        <v>13750</v>
      </c>
      <c r="G808" s="25">
        <f>SUM(G809:G812)</f>
        <v>9424.3050000000003</v>
      </c>
      <c r="H808" s="25">
        <f>SUM(H809:H812)</f>
        <v>0</v>
      </c>
      <c r="I808" s="25"/>
      <c r="J808" s="53"/>
      <c r="K808" s="53"/>
      <c r="L808" s="53"/>
      <c r="M808" s="53"/>
      <c r="N808" s="53"/>
      <c r="O808" s="53"/>
      <c r="P808" s="53"/>
      <c r="Q808" s="57"/>
      <c r="R808" s="53"/>
      <c r="S808" s="53"/>
      <c r="T808" s="53"/>
      <c r="U808" s="53"/>
      <c r="V808" s="53"/>
    </row>
    <row r="809" spans="1:22" x14ac:dyDescent="0.2">
      <c r="A809" s="48"/>
      <c r="B809" s="51" t="s">
        <v>0</v>
      </c>
      <c r="C809" s="51" t="s">
        <v>0</v>
      </c>
      <c r="D809" s="24">
        <f>E809+F809+G809+H809+I809</f>
        <v>0</v>
      </c>
      <c r="E809" s="25"/>
      <c r="F809" s="25"/>
      <c r="G809" s="25"/>
      <c r="H809" s="25"/>
      <c r="I809" s="25"/>
      <c r="J809" s="53"/>
      <c r="K809" s="53"/>
      <c r="L809" s="53"/>
      <c r="M809" s="53"/>
      <c r="N809" s="53"/>
      <c r="O809" s="53"/>
      <c r="P809" s="53"/>
      <c r="Q809" s="57"/>
      <c r="R809" s="53"/>
      <c r="S809" s="53"/>
      <c r="T809" s="53"/>
      <c r="U809" s="53"/>
      <c r="V809" s="53"/>
    </row>
    <row r="810" spans="1:22" x14ac:dyDescent="0.2">
      <c r="A810" s="48"/>
      <c r="B810" s="51" t="s">
        <v>1</v>
      </c>
      <c r="C810" s="51" t="s">
        <v>1</v>
      </c>
      <c r="D810" s="24">
        <f>E810+F810+G810+H810+I810</f>
        <v>23174.305</v>
      </c>
      <c r="E810" s="25">
        <f>0+13750-13750</f>
        <v>0</v>
      </c>
      <c r="F810" s="25">
        <f>0+13750</f>
        <v>13750</v>
      </c>
      <c r="G810" s="25">
        <f>0+9424.305</f>
        <v>9424.3050000000003</v>
      </c>
      <c r="H810" s="25"/>
      <c r="I810" s="25"/>
      <c r="J810" s="53"/>
      <c r="K810" s="53"/>
      <c r="L810" s="53"/>
      <c r="M810" s="53"/>
      <c r="N810" s="53"/>
      <c r="O810" s="53"/>
      <c r="P810" s="53"/>
      <c r="Q810" s="57"/>
      <c r="R810" s="53"/>
      <c r="S810" s="53"/>
      <c r="T810" s="53"/>
      <c r="U810" s="53"/>
      <c r="V810" s="53"/>
    </row>
    <row r="811" spans="1:22" x14ac:dyDescent="0.2">
      <c r="A811" s="48"/>
      <c r="B811" s="51" t="s">
        <v>2</v>
      </c>
      <c r="C811" s="51" t="s">
        <v>2</v>
      </c>
      <c r="D811" s="24">
        <f>E811+F811+G811+H811+I811</f>
        <v>0</v>
      </c>
      <c r="E811" s="25"/>
      <c r="F811" s="25"/>
      <c r="G811" s="25"/>
      <c r="H811" s="25"/>
      <c r="I811" s="25"/>
      <c r="J811" s="53"/>
      <c r="K811" s="53"/>
      <c r="L811" s="53"/>
      <c r="M811" s="53"/>
      <c r="N811" s="53"/>
      <c r="O811" s="53"/>
      <c r="P811" s="53"/>
      <c r="Q811" s="57"/>
      <c r="R811" s="53"/>
      <c r="S811" s="53"/>
      <c r="T811" s="53"/>
      <c r="U811" s="53"/>
      <c r="V811" s="53"/>
    </row>
    <row r="812" spans="1:22" ht="21.75" customHeight="1" x14ac:dyDescent="0.2">
      <c r="A812" s="48"/>
      <c r="B812" s="51" t="s">
        <v>3</v>
      </c>
      <c r="C812" s="51" t="s">
        <v>3</v>
      </c>
      <c r="D812" s="24">
        <f>E812+F812+G812+H812+I812</f>
        <v>0</v>
      </c>
      <c r="E812" s="25"/>
      <c r="F812" s="25"/>
      <c r="G812" s="25"/>
      <c r="H812" s="25"/>
      <c r="I812" s="25"/>
      <c r="J812" s="53"/>
      <c r="K812" s="53"/>
      <c r="L812" s="53"/>
      <c r="M812" s="53"/>
      <c r="N812" s="53"/>
      <c r="O812" s="53"/>
      <c r="P812" s="53"/>
      <c r="Q812" s="57"/>
      <c r="R812" s="53"/>
      <c r="S812" s="53"/>
      <c r="T812" s="53"/>
      <c r="U812" s="53"/>
      <c r="V812" s="53"/>
    </row>
    <row r="813" spans="1:22" ht="12.75" customHeight="1" x14ac:dyDescent="0.2">
      <c r="A813" s="48" t="s">
        <v>272</v>
      </c>
      <c r="B813" s="49" t="s">
        <v>19</v>
      </c>
      <c r="C813" s="49"/>
      <c r="D813" s="49"/>
      <c r="E813" s="49"/>
      <c r="F813" s="49"/>
      <c r="G813" s="49"/>
      <c r="H813" s="49"/>
      <c r="I813" s="49"/>
      <c r="J813" s="49"/>
      <c r="K813" s="49"/>
      <c r="L813" s="49"/>
      <c r="M813" s="49"/>
      <c r="N813" s="49"/>
      <c r="O813" s="49"/>
      <c r="P813" s="49"/>
      <c r="Q813" s="49"/>
      <c r="R813" s="49"/>
      <c r="S813" s="49"/>
      <c r="T813" s="49"/>
      <c r="U813" s="49"/>
      <c r="V813" s="49"/>
    </row>
    <row r="814" spans="1:22" ht="12.75" customHeight="1" x14ac:dyDescent="0.2">
      <c r="A814" s="48"/>
      <c r="B814" s="52" t="s">
        <v>463</v>
      </c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</row>
    <row r="815" spans="1:22" ht="60.75" customHeight="1" x14ac:dyDescent="0.2">
      <c r="A815" s="48"/>
      <c r="B815" s="50" t="s">
        <v>576</v>
      </c>
      <c r="C815" s="50" t="s">
        <v>576</v>
      </c>
      <c r="D815" s="50"/>
      <c r="E815" s="50"/>
      <c r="F815" s="50"/>
      <c r="G815" s="50"/>
      <c r="H815" s="50"/>
      <c r="I815" s="50"/>
      <c r="J815" s="53" t="s">
        <v>185</v>
      </c>
      <c r="K815" s="53"/>
      <c r="L815" s="53" t="s">
        <v>70</v>
      </c>
      <c r="M815" s="53" t="s">
        <v>577</v>
      </c>
      <c r="N815" s="53" t="s">
        <v>20</v>
      </c>
      <c r="O815" s="53" t="s">
        <v>19</v>
      </c>
      <c r="P815" s="53" t="s">
        <v>20</v>
      </c>
      <c r="Q815" s="57" t="s">
        <v>578</v>
      </c>
      <c r="R815" s="53" t="s">
        <v>11</v>
      </c>
      <c r="S815" s="53" t="s">
        <v>12</v>
      </c>
      <c r="T815" s="53" t="s">
        <v>18</v>
      </c>
      <c r="U815" s="53"/>
      <c r="V815" s="53" t="s">
        <v>674</v>
      </c>
    </row>
    <row r="816" spans="1:22" x14ac:dyDescent="0.2">
      <c r="A816" s="48"/>
      <c r="B816" s="51" t="s">
        <v>5</v>
      </c>
      <c r="C816" s="51" t="s">
        <v>5</v>
      </c>
      <c r="D816" s="24">
        <f>SUM(D817:D820)</f>
        <v>23174.305</v>
      </c>
      <c r="E816" s="25">
        <f>SUM(E817:E820)</f>
        <v>0</v>
      </c>
      <c r="F816" s="25">
        <f>SUM(F817:F820)</f>
        <v>13750</v>
      </c>
      <c r="G816" s="25">
        <f>SUM(G817:G820)</f>
        <v>9424.3050000000003</v>
      </c>
      <c r="H816" s="25">
        <f>SUM(H817:H820)</f>
        <v>0</v>
      </c>
      <c r="I816" s="25"/>
      <c r="J816" s="53"/>
      <c r="K816" s="53"/>
      <c r="L816" s="53"/>
      <c r="M816" s="53"/>
      <c r="N816" s="53"/>
      <c r="O816" s="53"/>
      <c r="P816" s="53"/>
      <c r="Q816" s="57"/>
      <c r="R816" s="53"/>
      <c r="S816" s="53"/>
      <c r="T816" s="53"/>
      <c r="U816" s="53"/>
      <c r="V816" s="53"/>
    </row>
    <row r="817" spans="1:22" x14ac:dyDescent="0.2">
      <c r="A817" s="48"/>
      <c r="B817" s="51" t="s">
        <v>0</v>
      </c>
      <c r="C817" s="51" t="s">
        <v>0</v>
      </c>
      <c r="D817" s="24">
        <f>E817+F817+G817+H817+I817</f>
        <v>0</v>
      </c>
      <c r="E817" s="25"/>
      <c r="F817" s="25"/>
      <c r="G817" s="25"/>
      <c r="H817" s="25"/>
      <c r="I817" s="25"/>
      <c r="J817" s="53"/>
      <c r="K817" s="53"/>
      <c r="L817" s="53"/>
      <c r="M817" s="53"/>
      <c r="N817" s="53"/>
      <c r="O817" s="53"/>
      <c r="P817" s="53"/>
      <c r="Q817" s="57"/>
      <c r="R817" s="53"/>
      <c r="S817" s="53"/>
      <c r="T817" s="53"/>
      <c r="U817" s="53"/>
      <c r="V817" s="53"/>
    </row>
    <row r="818" spans="1:22" x14ac:dyDescent="0.2">
      <c r="A818" s="48"/>
      <c r="B818" s="51" t="s">
        <v>1</v>
      </c>
      <c r="C818" s="51" t="s">
        <v>1</v>
      </c>
      <c r="D818" s="24">
        <f>E818+F818+G818+H818+I818</f>
        <v>23174.305</v>
      </c>
      <c r="E818" s="25">
        <f>0+13750-13750</f>
        <v>0</v>
      </c>
      <c r="F818" s="25">
        <f>0+13750</f>
        <v>13750</v>
      </c>
      <c r="G818" s="25">
        <f>0+9424.305</f>
        <v>9424.3050000000003</v>
      </c>
      <c r="H818" s="25"/>
      <c r="I818" s="25"/>
      <c r="J818" s="53"/>
      <c r="K818" s="53"/>
      <c r="L818" s="53"/>
      <c r="M818" s="53"/>
      <c r="N818" s="53"/>
      <c r="O818" s="53"/>
      <c r="P818" s="53"/>
      <c r="Q818" s="57"/>
      <c r="R818" s="53"/>
      <c r="S818" s="53"/>
      <c r="T818" s="53"/>
      <c r="U818" s="53"/>
      <c r="V818" s="53"/>
    </row>
    <row r="819" spans="1:22" x14ac:dyDescent="0.2">
      <c r="A819" s="48"/>
      <c r="B819" s="51" t="s">
        <v>2</v>
      </c>
      <c r="C819" s="51" t="s">
        <v>2</v>
      </c>
      <c r="D819" s="24">
        <f>E819+F819+G819+H819+I819</f>
        <v>0</v>
      </c>
      <c r="E819" s="25"/>
      <c r="F819" s="25"/>
      <c r="G819" s="25"/>
      <c r="H819" s="25"/>
      <c r="I819" s="25"/>
      <c r="J819" s="53"/>
      <c r="K819" s="53"/>
      <c r="L819" s="53"/>
      <c r="M819" s="53"/>
      <c r="N819" s="53"/>
      <c r="O819" s="53"/>
      <c r="P819" s="53"/>
      <c r="Q819" s="57"/>
      <c r="R819" s="53"/>
      <c r="S819" s="53"/>
      <c r="T819" s="53"/>
      <c r="U819" s="53"/>
      <c r="V819" s="53"/>
    </row>
    <row r="820" spans="1:22" ht="21.75" customHeight="1" x14ac:dyDescent="0.2">
      <c r="A820" s="48"/>
      <c r="B820" s="51" t="s">
        <v>3</v>
      </c>
      <c r="C820" s="51" t="s">
        <v>3</v>
      </c>
      <c r="D820" s="24">
        <f>E820+F820+G820+H820+I820</f>
        <v>0</v>
      </c>
      <c r="E820" s="25"/>
      <c r="F820" s="25"/>
      <c r="G820" s="25"/>
      <c r="H820" s="25"/>
      <c r="I820" s="25"/>
      <c r="J820" s="53"/>
      <c r="K820" s="53"/>
      <c r="L820" s="53"/>
      <c r="M820" s="53"/>
      <c r="N820" s="53"/>
      <c r="O820" s="53"/>
      <c r="P820" s="53"/>
      <c r="Q820" s="57"/>
      <c r="R820" s="53"/>
      <c r="S820" s="53"/>
      <c r="T820" s="53"/>
      <c r="U820" s="53"/>
      <c r="V820" s="53"/>
    </row>
    <row r="821" spans="1:22" ht="12.75" customHeight="1" x14ac:dyDescent="0.2">
      <c r="A821" s="48" t="s">
        <v>273</v>
      </c>
      <c r="B821" s="49" t="s">
        <v>19</v>
      </c>
      <c r="C821" s="49"/>
      <c r="D821" s="49"/>
      <c r="E821" s="49"/>
      <c r="F821" s="49"/>
      <c r="G821" s="49"/>
      <c r="H821" s="49"/>
      <c r="I821" s="49"/>
      <c r="J821" s="49"/>
      <c r="K821" s="49"/>
      <c r="L821" s="49"/>
      <c r="M821" s="49"/>
      <c r="N821" s="49"/>
      <c r="O821" s="49"/>
      <c r="P821" s="49"/>
      <c r="Q821" s="49"/>
      <c r="R821" s="49"/>
      <c r="S821" s="49"/>
      <c r="T821" s="49"/>
      <c r="U821" s="49"/>
      <c r="V821" s="49"/>
    </row>
    <row r="822" spans="1:22" ht="12.75" customHeight="1" x14ac:dyDescent="0.2">
      <c r="A822" s="48"/>
      <c r="B822" s="52" t="s">
        <v>463</v>
      </c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</row>
    <row r="823" spans="1:22" ht="62.25" customHeight="1" x14ac:dyDescent="0.2">
      <c r="A823" s="48"/>
      <c r="B823" s="50" t="s">
        <v>579</v>
      </c>
      <c r="C823" s="50" t="s">
        <v>579</v>
      </c>
      <c r="D823" s="50"/>
      <c r="E823" s="50"/>
      <c r="F823" s="50"/>
      <c r="G823" s="50"/>
      <c r="H823" s="50"/>
      <c r="I823" s="50"/>
      <c r="J823" s="53" t="s">
        <v>580</v>
      </c>
      <c r="K823" s="53"/>
      <c r="L823" s="53" t="s">
        <v>70</v>
      </c>
      <c r="M823" s="53" t="s">
        <v>581</v>
      </c>
      <c r="N823" s="53" t="s">
        <v>20</v>
      </c>
      <c r="O823" s="53" t="s">
        <v>19</v>
      </c>
      <c r="P823" s="53" t="s">
        <v>20</v>
      </c>
      <c r="Q823" s="57" t="s">
        <v>582</v>
      </c>
      <c r="R823" s="53" t="s">
        <v>11</v>
      </c>
      <c r="S823" s="53" t="s">
        <v>12</v>
      </c>
      <c r="T823" s="53" t="s">
        <v>18</v>
      </c>
      <c r="U823" s="53"/>
      <c r="V823" s="53" t="s">
        <v>673</v>
      </c>
    </row>
    <row r="824" spans="1:22" x14ac:dyDescent="0.2">
      <c r="A824" s="48"/>
      <c r="B824" s="51" t="s">
        <v>5</v>
      </c>
      <c r="C824" s="51" t="s">
        <v>5</v>
      </c>
      <c r="D824" s="24">
        <f>SUM(D825:D828)</f>
        <v>21756.851999999999</v>
      </c>
      <c r="E824" s="25">
        <f>SUM(E825:E828)</f>
        <v>0</v>
      </c>
      <c r="F824" s="25">
        <f>SUM(F825:F828)</f>
        <v>13750</v>
      </c>
      <c r="G824" s="25">
        <f>SUM(G825:G828)</f>
        <v>8006.8519999999999</v>
      </c>
      <c r="H824" s="25">
        <f>SUM(H825:H828)</f>
        <v>0</v>
      </c>
      <c r="I824" s="25"/>
      <c r="J824" s="53"/>
      <c r="K824" s="53"/>
      <c r="L824" s="53"/>
      <c r="M824" s="53"/>
      <c r="N824" s="53"/>
      <c r="O824" s="53"/>
      <c r="P824" s="53"/>
      <c r="Q824" s="57"/>
      <c r="R824" s="53"/>
      <c r="S824" s="53"/>
      <c r="T824" s="53"/>
      <c r="U824" s="53"/>
      <c r="V824" s="53"/>
    </row>
    <row r="825" spans="1:22" x14ac:dyDescent="0.2">
      <c r="A825" s="48"/>
      <c r="B825" s="51" t="s">
        <v>0</v>
      </c>
      <c r="C825" s="51" t="s">
        <v>0</v>
      </c>
      <c r="D825" s="24">
        <f>E825+F825+G825+H825+I825</f>
        <v>0</v>
      </c>
      <c r="E825" s="25"/>
      <c r="F825" s="25"/>
      <c r="G825" s="25"/>
      <c r="H825" s="25"/>
      <c r="I825" s="25"/>
      <c r="J825" s="53"/>
      <c r="K825" s="53"/>
      <c r="L825" s="53"/>
      <c r="M825" s="53"/>
      <c r="N825" s="53"/>
      <c r="O825" s="53"/>
      <c r="P825" s="53"/>
      <c r="Q825" s="57"/>
      <c r="R825" s="53"/>
      <c r="S825" s="53"/>
      <c r="T825" s="53"/>
      <c r="U825" s="53"/>
      <c r="V825" s="53"/>
    </row>
    <row r="826" spans="1:22" x14ac:dyDescent="0.2">
      <c r="A826" s="48"/>
      <c r="B826" s="51" t="s">
        <v>1</v>
      </c>
      <c r="C826" s="51" t="s">
        <v>1</v>
      </c>
      <c r="D826" s="24">
        <f>E826+F826+G826+H826+I826</f>
        <v>21756.851999999999</v>
      </c>
      <c r="E826" s="25">
        <f>0+13750-13750</f>
        <v>0</v>
      </c>
      <c r="F826" s="25">
        <f>0+13750</f>
        <v>13750</v>
      </c>
      <c r="G826" s="25">
        <f>0+8006.852</f>
        <v>8006.8519999999999</v>
      </c>
      <c r="H826" s="25"/>
      <c r="I826" s="25"/>
      <c r="J826" s="53"/>
      <c r="K826" s="53"/>
      <c r="L826" s="53"/>
      <c r="M826" s="53"/>
      <c r="N826" s="53"/>
      <c r="O826" s="53"/>
      <c r="P826" s="53"/>
      <c r="Q826" s="57"/>
      <c r="R826" s="53"/>
      <c r="S826" s="53"/>
      <c r="T826" s="53"/>
      <c r="U826" s="53"/>
      <c r="V826" s="53"/>
    </row>
    <row r="827" spans="1:22" x14ac:dyDescent="0.2">
      <c r="A827" s="48"/>
      <c r="B827" s="51" t="s">
        <v>2</v>
      </c>
      <c r="C827" s="51" t="s">
        <v>2</v>
      </c>
      <c r="D827" s="24">
        <f>E827+F827+G827+H827+I827</f>
        <v>0</v>
      </c>
      <c r="E827" s="25"/>
      <c r="F827" s="25"/>
      <c r="G827" s="25"/>
      <c r="H827" s="25"/>
      <c r="I827" s="25"/>
      <c r="J827" s="53"/>
      <c r="K827" s="53"/>
      <c r="L827" s="53"/>
      <c r="M827" s="53"/>
      <c r="N827" s="53"/>
      <c r="O827" s="53"/>
      <c r="P827" s="53"/>
      <c r="Q827" s="57"/>
      <c r="R827" s="53"/>
      <c r="S827" s="53"/>
      <c r="T827" s="53"/>
      <c r="U827" s="53"/>
      <c r="V827" s="53"/>
    </row>
    <row r="828" spans="1:22" ht="21.75" customHeight="1" x14ac:dyDescent="0.2">
      <c r="A828" s="48"/>
      <c r="B828" s="51" t="s">
        <v>3</v>
      </c>
      <c r="C828" s="51" t="s">
        <v>3</v>
      </c>
      <c r="D828" s="24">
        <f>E828+F828+G828+H828+I828</f>
        <v>0</v>
      </c>
      <c r="E828" s="25"/>
      <c r="F828" s="25"/>
      <c r="G828" s="25"/>
      <c r="H828" s="25"/>
      <c r="I828" s="25"/>
      <c r="J828" s="53"/>
      <c r="K828" s="53"/>
      <c r="L828" s="53"/>
      <c r="M828" s="53"/>
      <c r="N828" s="53"/>
      <c r="O828" s="53"/>
      <c r="P828" s="53"/>
      <c r="Q828" s="57"/>
      <c r="R828" s="53"/>
      <c r="S828" s="53"/>
      <c r="T828" s="53"/>
      <c r="U828" s="53"/>
      <c r="V828" s="53"/>
    </row>
    <row r="829" spans="1:22" ht="12.75" customHeight="1" x14ac:dyDescent="0.2">
      <c r="A829" s="48" t="s">
        <v>274</v>
      </c>
      <c r="B829" s="49" t="s">
        <v>19</v>
      </c>
      <c r="C829" s="49"/>
      <c r="D829" s="49"/>
      <c r="E829" s="49"/>
      <c r="F829" s="49"/>
      <c r="G829" s="49"/>
      <c r="H829" s="49"/>
      <c r="I829" s="49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  <c r="U829" s="49"/>
      <c r="V829" s="49"/>
    </row>
    <row r="830" spans="1:22" ht="12.75" customHeight="1" x14ac:dyDescent="0.2">
      <c r="A830" s="48"/>
      <c r="B830" s="52" t="s">
        <v>463</v>
      </c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</row>
    <row r="831" spans="1:22" ht="58.5" customHeight="1" x14ac:dyDescent="0.2">
      <c r="A831" s="48"/>
      <c r="B831" s="50" t="s">
        <v>583</v>
      </c>
      <c r="C831" s="50" t="s">
        <v>583</v>
      </c>
      <c r="D831" s="50"/>
      <c r="E831" s="50"/>
      <c r="F831" s="50"/>
      <c r="G831" s="50"/>
      <c r="H831" s="50"/>
      <c r="I831" s="50"/>
      <c r="J831" s="53" t="s">
        <v>580</v>
      </c>
      <c r="K831" s="53"/>
      <c r="L831" s="53" t="s">
        <v>70</v>
      </c>
      <c r="M831" s="53" t="s">
        <v>584</v>
      </c>
      <c r="N831" s="53" t="s">
        <v>20</v>
      </c>
      <c r="O831" s="53" t="s">
        <v>19</v>
      </c>
      <c r="P831" s="53" t="s">
        <v>20</v>
      </c>
      <c r="Q831" s="57" t="s">
        <v>585</v>
      </c>
      <c r="R831" s="53" t="s">
        <v>11</v>
      </c>
      <c r="S831" s="53" t="s">
        <v>12</v>
      </c>
      <c r="T831" s="53" t="s">
        <v>18</v>
      </c>
      <c r="U831" s="53"/>
      <c r="V831" s="53" t="s">
        <v>675</v>
      </c>
    </row>
    <row r="832" spans="1:22" x14ac:dyDescent="0.2">
      <c r="A832" s="48"/>
      <c r="B832" s="51" t="s">
        <v>5</v>
      </c>
      <c r="C832" s="51" t="s">
        <v>5</v>
      </c>
      <c r="D832" s="24">
        <f>SUM(D833:D836)</f>
        <v>21756.852999999999</v>
      </c>
      <c r="E832" s="25">
        <f>SUM(E833:E836)</f>
        <v>0</v>
      </c>
      <c r="F832" s="25">
        <f>SUM(F833:F836)</f>
        <v>13750</v>
      </c>
      <c r="G832" s="25">
        <f>SUM(G833:G836)</f>
        <v>8006.8530000000001</v>
      </c>
      <c r="H832" s="25">
        <f>SUM(H833:H836)</f>
        <v>0</v>
      </c>
      <c r="I832" s="25"/>
      <c r="J832" s="53"/>
      <c r="K832" s="53"/>
      <c r="L832" s="53"/>
      <c r="M832" s="53"/>
      <c r="N832" s="53"/>
      <c r="O832" s="53"/>
      <c r="P832" s="53"/>
      <c r="Q832" s="57"/>
      <c r="R832" s="53"/>
      <c r="S832" s="53"/>
      <c r="T832" s="53"/>
      <c r="U832" s="53"/>
      <c r="V832" s="53"/>
    </row>
    <row r="833" spans="1:22" x14ac:dyDescent="0.2">
      <c r="A833" s="48"/>
      <c r="B833" s="51" t="s">
        <v>0</v>
      </c>
      <c r="C833" s="51" t="s">
        <v>0</v>
      </c>
      <c r="D833" s="24">
        <f>E833+F833+G833+H833+I833</f>
        <v>0</v>
      </c>
      <c r="E833" s="25"/>
      <c r="F833" s="25"/>
      <c r="G833" s="25"/>
      <c r="H833" s="25"/>
      <c r="I833" s="25"/>
      <c r="J833" s="53"/>
      <c r="K833" s="53"/>
      <c r="L833" s="53"/>
      <c r="M833" s="53"/>
      <c r="N833" s="53"/>
      <c r="O833" s="53"/>
      <c r="P833" s="53"/>
      <c r="Q833" s="57"/>
      <c r="R833" s="53"/>
      <c r="S833" s="53"/>
      <c r="T833" s="53"/>
      <c r="U833" s="53"/>
      <c r="V833" s="53"/>
    </row>
    <row r="834" spans="1:22" x14ac:dyDescent="0.2">
      <c r="A834" s="48"/>
      <c r="B834" s="51" t="s">
        <v>1</v>
      </c>
      <c r="C834" s="51" t="s">
        <v>1</v>
      </c>
      <c r="D834" s="24">
        <f>E834+F834+G834+H834+I834</f>
        <v>21756.852999999999</v>
      </c>
      <c r="E834" s="25">
        <f>0+13750-13750</f>
        <v>0</v>
      </c>
      <c r="F834" s="25">
        <f>0+13750</f>
        <v>13750</v>
      </c>
      <c r="G834" s="25">
        <f>0+8006.853</f>
        <v>8006.8530000000001</v>
      </c>
      <c r="H834" s="25"/>
      <c r="I834" s="25"/>
      <c r="J834" s="53"/>
      <c r="K834" s="53"/>
      <c r="L834" s="53"/>
      <c r="M834" s="53"/>
      <c r="N834" s="53"/>
      <c r="O834" s="53"/>
      <c r="P834" s="53"/>
      <c r="Q834" s="57"/>
      <c r="R834" s="53"/>
      <c r="S834" s="53"/>
      <c r="T834" s="53"/>
      <c r="U834" s="53"/>
      <c r="V834" s="53"/>
    </row>
    <row r="835" spans="1:22" x14ac:dyDescent="0.2">
      <c r="A835" s="48"/>
      <c r="B835" s="51" t="s">
        <v>2</v>
      </c>
      <c r="C835" s="51" t="s">
        <v>2</v>
      </c>
      <c r="D835" s="24">
        <f>E835+F835+G835+H835+I835</f>
        <v>0</v>
      </c>
      <c r="E835" s="25"/>
      <c r="F835" s="25"/>
      <c r="G835" s="25"/>
      <c r="H835" s="25"/>
      <c r="I835" s="25"/>
      <c r="J835" s="53"/>
      <c r="K835" s="53"/>
      <c r="L835" s="53"/>
      <c r="M835" s="53"/>
      <c r="N835" s="53"/>
      <c r="O835" s="53"/>
      <c r="P835" s="53"/>
      <c r="Q835" s="57"/>
      <c r="R835" s="53"/>
      <c r="S835" s="53"/>
      <c r="T835" s="53"/>
      <c r="U835" s="53"/>
      <c r="V835" s="53"/>
    </row>
    <row r="836" spans="1:22" ht="21.75" customHeight="1" x14ac:dyDescent="0.2">
      <c r="A836" s="48"/>
      <c r="B836" s="51" t="s">
        <v>3</v>
      </c>
      <c r="C836" s="51" t="s">
        <v>3</v>
      </c>
      <c r="D836" s="24">
        <f>E836+F836+G836+H836+I836</f>
        <v>0</v>
      </c>
      <c r="E836" s="25"/>
      <c r="F836" s="25"/>
      <c r="G836" s="25"/>
      <c r="H836" s="25"/>
      <c r="I836" s="25"/>
      <c r="J836" s="53"/>
      <c r="K836" s="53"/>
      <c r="L836" s="53"/>
      <c r="M836" s="53"/>
      <c r="N836" s="53"/>
      <c r="O836" s="53"/>
      <c r="P836" s="53"/>
      <c r="Q836" s="57"/>
      <c r="R836" s="53"/>
      <c r="S836" s="53"/>
      <c r="T836" s="53"/>
      <c r="U836" s="53"/>
      <c r="V836" s="53"/>
    </row>
    <row r="837" spans="1:22" ht="12.75" customHeight="1" x14ac:dyDescent="0.2">
      <c r="A837" s="48" t="s">
        <v>275</v>
      </c>
      <c r="B837" s="49" t="s">
        <v>19</v>
      </c>
      <c r="C837" s="49"/>
      <c r="D837" s="49"/>
      <c r="E837" s="49"/>
      <c r="F837" s="49"/>
      <c r="G837" s="49"/>
      <c r="H837" s="49"/>
      <c r="I837" s="49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</row>
    <row r="838" spans="1:22" ht="12.75" customHeight="1" x14ac:dyDescent="0.2">
      <c r="A838" s="48"/>
      <c r="B838" s="52" t="s">
        <v>463</v>
      </c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</row>
    <row r="839" spans="1:22" ht="57" customHeight="1" x14ac:dyDescent="0.2">
      <c r="A839" s="48"/>
      <c r="B839" s="50" t="s">
        <v>306</v>
      </c>
      <c r="C839" s="50" t="s">
        <v>306</v>
      </c>
      <c r="D839" s="50"/>
      <c r="E839" s="50"/>
      <c r="F839" s="50"/>
      <c r="G839" s="50"/>
      <c r="H839" s="50"/>
      <c r="I839" s="50"/>
      <c r="J839" s="53" t="s">
        <v>586</v>
      </c>
      <c r="K839" s="53" t="s">
        <v>59</v>
      </c>
      <c r="L839" s="53" t="s">
        <v>70</v>
      </c>
      <c r="M839" s="53" t="s">
        <v>587</v>
      </c>
      <c r="N839" s="53" t="s">
        <v>20</v>
      </c>
      <c r="O839" s="53" t="s">
        <v>19</v>
      </c>
      <c r="P839" s="53" t="s">
        <v>20</v>
      </c>
      <c r="Q839" s="57" t="s">
        <v>161</v>
      </c>
      <c r="R839" s="53" t="s">
        <v>11</v>
      </c>
      <c r="S839" s="53" t="s">
        <v>12</v>
      </c>
      <c r="T839" s="53" t="s">
        <v>85</v>
      </c>
      <c r="U839" s="53"/>
      <c r="V839" s="53" t="s">
        <v>676</v>
      </c>
    </row>
    <row r="840" spans="1:22" x14ac:dyDescent="0.2">
      <c r="A840" s="48"/>
      <c r="B840" s="51" t="s">
        <v>5</v>
      </c>
      <c r="C840" s="51" t="s">
        <v>5</v>
      </c>
      <c r="D840" s="24">
        <f>SUM(D841:D844)</f>
        <v>2100.1731300000001</v>
      </c>
      <c r="E840" s="25">
        <f>SUM(E841:E844)</f>
        <v>2100.1731300000001</v>
      </c>
      <c r="F840" s="25"/>
      <c r="G840" s="25"/>
      <c r="H840" s="25"/>
      <c r="I840" s="25"/>
      <c r="J840" s="53"/>
      <c r="K840" s="53"/>
      <c r="L840" s="53"/>
      <c r="M840" s="53"/>
      <c r="N840" s="53"/>
      <c r="O840" s="53"/>
      <c r="P840" s="53"/>
      <c r="Q840" s="57"/>
      <c r="R840" s="53"/>
      <c r="S840" s="53"/>
      <c r="T840" s="53"/>
      <c r="U840" s="53"/>
      <c r="V840" s="53"/>
    </row>
    <row r="841" spans="1:22" x14ac:dyDescent="0.2">
      <c r="A841" s="48"/>
      <c r="B841" s="51" t="s">
        <v>0</v>
      </c>
      <c r="C841" s="51" t="s">
        <v>0</v>
      </c>
      <c r="D841" s="24">
        <f>E841+F841+G841+H841+I841</f>
        <v>0</v>
      </c>
      <c r="E841" s="25"/>
      <c r="F841" s="25"/>
      <c r="G841" s="25"/>
      <c r="H841" s="25"/>
      <c r="I841" s="25"/>
      <c r="J841" s="53"/>
      <c r="K841" s="53"/>
      <c r="L841" s="53"/>
      <c r="M841" s="53"/>
      <c r="N841" s="53"/>
      <c r="O841" s="53"/>
      <c r="P841" s="53"/>
      <c r="Q841" s="57"/>
      <c r="R841" s="53"/>
      <c r="S841" s="53"/>
      <c r="T841" s="53"/>
      <c r="U841" s="53"/>
      <c r="V841" s="53"/>
    </row>
    <row r="842" spans="1:22" x14ac:dyDescent="0.2">
      <c r="A842" s="48"/>
      <c r="B842" s="51" t="s">
        <v>1</v>
      </c>
      <c r="C842" s="51" t="s">
        <v>1</v>
      </c>
      <c r="D842" s="24">
        <f>E842+F842+G842+H842+I842</f>
        <v>2100.1731300000001</v>
      </c>
      <c r="E842" s="25">
        <f>432.444+1743.61-75.88087</f>
        <v>2100.1731300000001</v>
      </c>
      <c r="F842" s="25"/>
      <c r="G842" s="25"/>
      <c r="H842" s="25"/>
      <c r="I842" s="25"/>
      <c r="J842" s="53"/>
      <c r="K842" s="53"/>
      <c r="L842" s="53"/>
      <c r="M842" s="53"/>
      <c r="N842" s="53"/>
      <c r="O842" s="53"/>
      <c r="P842" s="53"/>
      <c r="Q842" s="57"/>
      <c r="R842" s="53"/>
      <c r="S842" s="53"/>
      <c r="T842" s="53"/>
      <c r="U842" s="53"/>
      <c r="V842" s="53"/>
    </row>
    <row r="843" spans="1:22" x14ac:dyDescent="0.2">
      <c r="A843" s="48"/>
      <c r="B843" s="51" t="s">
        <v>2</v>
      </c>
      <c r="C843" s="51" t="s">
        <v>2</v>
      </c>
      <c r="D843" s="24">
        <f>E843+F843+G843+H843+I843</f>
        <v>0</v>
      </c>
      <c r="E843" s="25"/>
      <c r="F843" s="25"/>
      <c r="G843" s="25"/>
      <c r="H843" s="25"/>
      <c r="I843" s="25"/>
      <c r="J843" s="53"/>
      <c r="K843" s="53"/>
      <c r="L843" s="53"/>
      <c r="M843" s="53"/>
      <c r="N843" s="53"/>
      <c r="O843" s="53"/>
      <c r="P843" s="53"/>
      <c r="Q843" s="57"/>
      <c r="R843" s="53"/>
      <c r="S843" s="53"/>
      <c r="T843" s="53"/>
      <c r="U843" s="53"/>
      <c r="V843" s="53"/>
    </row>
    <row r="844" spans="1:22" ht="21.75" customHeight="1" x14ac:dyDescent="0.2">
      <c r="A844" s="48"/>
      <c r="B844" s="51" t="s">
        <v>3</v>
      </c>
      <c r="C844" s="51" t="s">
        <v>3</v>
      </c>
      <c r="D844" s="24">
        <f>E844+F844+G844+H844+I844</f>
        <v>0</v>
      </c>
      <c r="E844" s="25"/>
      <c r="F844" s="25"/>
      <c r="G844" s="25"/>
      <c r="H844" s="25"/>
      <c r="I844" s="25"/>
      <c r="J844" s="53"/>
      <c r="K844" s="53"/>
      <c r="L844" s="53"/>
      <c r="M844" s="53"/>
      <c r="N844" s="53"/>
      <c r="O844" s="53"/>
      <c r="P844" s="53"/>
      <c r="Q844" s="57"/>
      <c r="R844" s="53"/>
      <c r="S844" s="53"/>
      <c r="T844" s="53"/>
      <c r="U844" s="53"/>
      <c r="V844" s="53"/>
    </row>
    <row r="845" spans="1:22" ht="12.75" customHeight="1" x14ac:dyDescent="0.2">
      <c r="A845" s="48" t="s">
        <v>276</v>
      </c>
      <c r="B845" s="49" t="s">
        <v>19</v>
      </c>
      <c r="C845" s="49"/>
      <c r="D845" s="49"/>
      <c r="E845" s="49"/>
      <c r="F845" s="49"/>
      <c r="G845" s="49"/>
      <c r="H845" s="49"/>
      <c r="I845" s="49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49"/>
      <c r="U845" s="49"/>
      <c r="V845" s="49"/>
    </row>
    <row r="846" spans="1:22" ht="12.75" customHeight="1" x14ac:dyDescent="0.2">
      <c r="A846" s="48"/>
      <c r="B846" s="52" t="s">
        <v>463</v>
      </c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</row>
    <row r="847" spans="1:22" ht="58.5" customHeight="1" x14ac:dyDescent="0.2">
      <c r="A847" s="48"/>
      <c r="B847" s="50" t="s">
        <v>307</v>
      </c>
      <c r="C847" s="50" t="s">
        <v>307</v>
      </c>
      <c r="D847" s="50"/>
      <c r="E847" s="50"/>
      <c r="F847" s="50"/>
      <c r="G847" s="50"/>
      <c r="H847" s="50"/>
      <c r="I847" s="50"/>
      <c r="J847" s="53" t="s">
        <v>557</v>
      </c>
      <c r="K847" s="53"/>
      <c r="L847" s="53" t="s">
        <v>70</v>
      </c>
      <c r="M847" s="53" t="s">
        <v>588</v>
      </c>
      <c r="N847" s="53" t="s">
        <v>20</v>
      </c>
      <c r="O847" s="53" t="s">
        <v>19</v>
      </c>
      <c r="P847" s="53" t="s">
        <v>20</v>
      </c>
      <c r="Q847" s="57" t="s">
        <v>589</v>
      </c>
      <c r="R847" s="53" t="s">
        <v>11</v>
      </c>
      <c r="S847" s="53" t="s">
        <v>162</v>
      </c>
      <c r="T847" s="53" t="s">
        <v>18</v>
      </c>
      <c r="U847" s="53"/>
      <c r="V847" s="53" t="s">
        <v>677</v>
      </c>
    </row>
    <row r="848" spans="1:22" x14ac:dyDescent="0.2">
      <c r="A848" s="48"/>
      <c r="B848" s="51" t="s">
        <v>5</v>
      </c>
      <c r="C848" s="51" t="s">
        <v>5</v>
      </c>
      <c r="D848" s="24">
        <f>SUM(D849:D852)</f>
        <v>6427.3339999999998</v>
      </c>
      <c r="E848" s="25">
        <f>SUM(E849:E852)</f>
        <v>0</v>
      </c>
      <c r="F848" s="25">
        <f>SUM(F849:F852)</f>
        <v>6427.3339999999998</v>
      </c>
      <c r="G848" s="25"/>
      <c r="H848" s="25"/>
      <c r="I848" s="25"/>
      <c r="J848" s="53"/>
      <c r="K848" s="53"/>
      <c r="L848" s="53"/>
      <c r="M848" s="53"/>
      <c r="N848" s="53"/>
      <c r="O848" s="53"/>
      <c r="P848" s="53"/>
      <c r="Q848" s="57"/>
      <c r="R848" s="53"/>
      <c r="S848" s="53"/>
      <c r="T848" s="53"/>
      <c r="U848" s="53"/>
      <c r="V848" s="53"/>
    </row>
    <row r="849" spans="1:22" x14ac:dyDescent="0.2">
      <c r="A849" s="48"/>
      <c r="B849" s="51" t="s">
        <v>0</v>
      </c>
      <c r="C849" s="51" t="s">
        <v>0</v>
      </c>
      <c r="D849" s="24">
        <f>E849+F849+G849+H849+I849</f>
        <v>0</v>
      </c>
      <c r="E849" s="25"/>
      <c r="F849" s="25"/>
      <c r="G849" s="25"/>
      <c r="H849" s="25"/>
      <c r="I849" s="25"/>
      <c r="J849" s="53"/>
      <c r="K849" s="53"/>
      <c r="L849" s="53"/>
      <c r="M849" s="53"/>
      <c r="N849" s="53"/>
      <c r="O849" s="53"/>
      <c r="P849" s="53"/>
      <c r="Q849" s="57"/>
      <c r="R849" s="53"/>
      <c r="S849" s="53"/>
      <c r="T849" s="53"/>
      <c r="U849" s="53"/>
      <c r="V849" s="53"/>
    </row>
    <row r="850" spans="1:22" x14ac:dyDescent="0.2">
      <c r="A850" s="48"/>
      <c r="B850" s="51" t="s">
        <v>1</v>
      </c>
      <c r="C850" s="51" t="s">
        <v>1</v>
      </c>
      <c r="D850" s="24">
        <f>E850+F850+G850+H850+I850</f>
        <v>6427.3339999999998</v>
      </c>
      <c r="E850" s="25">
        <f>7500-7500</f>
        <v>0</v>
      </c>
      <c r="F850" s="25">
        <v>6427.3339999999998</v>
      </c>
      <c r="G850" s="25"/>
      <c r="H850" s="25"/>
      <c r="I850" s="25"/>
      <c r="J850" s="53"/>
      <c r="K850" s="53"/>
      <c r="L850" s="53"/>
      <c r="M850" s="53"/>
      <c r="N850" s="53"/>
      <c r="O850" s="53"/>
      <c r="P850" s="53"/>
      <c r="Q850" s="57"/>
      <c r="R850" s="53"/>
      <c r="S850" s="53"/>
      <c r="T850" s="53"/>
      <c r="U850" s="53"/>
      <c r="V850" s="53"/>
    </row>
    <row r="851" spans="1:22" x14ac:dyDescent="0.2">
      <c r="A851" s="48"/>
      <c r="B851" s="51" t="s">
        <v>2</v>
      </c>
      <c r="C851" s="51" t="s">
        <v>2</v>
      </c>
      <c r="D851" s="24">
        <f>E851+F851+G851+H851+I851</f>
        <v>0</v>
      </c>
      <c r="E851" s="25"/>
      <c r="F851" s="25"/>
      <c r="G851" s="25"/>
      <c r="H851" s="25"/>
      <c r="I851" s="25"/>
      <c r="J851" s="53"/>
      <c r="K851" s="53"/>
      <c r="L851" s="53"/>
      <c r="M851" s="53"/>
      <c r="N851" s="53"/>
      <c r="O851" s="53"/>
      <c r="P851" s="53"/>
      <c r="Q851" s="57"/>
      <c r="R851" s="53"/>
      <c r="S851" s="53"/>
      <c r="T851" s="53"/>
      <c r="U851" s="53"/>
      <c r="V851" s="53"/>
    </row>
    <row r="852" spans="1:22" ht="21.75" customHeight="1" x14ac:dyDescent="0.2">
      <c r="A852" s="48"/>
      <c r="B852" s="51" t="s">
        <v>3</v>
      </c>
      <c r="C852" s="51" t="s">
        <v>3</v>
      </c>
      <c r="D852" s="24">
        <f>E852+F852+G852+H852+I852</f>
        <v>0</v>
      </c>
      <c r="E852" s="25"/>
      <c r="F852" s="25"/>
      <c r="G852" s="25"/>
      <c r="H852" s="25"/>
      <c r="I852" s="25"/>
      <c r="J852" s="53"/>
      <c r="K852" s="53"/>
      <c r="L852" s="53"/>
      <c r="M852" s="53"/>
      <c r="N852" s="53"/>
      <c r="O852" s="53"/>
      <c r="P852" s="53"/>
      <c r="Q852" s="57"/>
      <c r="R852" s="53"/>
      <c r="S852" s="53"/>
      <c r="T852" s="53"/>
      <c r="U852" s="53"/>
      <c r="V852" s="53"/>
    </row>
    <row r="853" spans="1:22" ht="12.75" customHeight="1" x14ac:dyDescent="0.2">
      <c r="A853" s="48" t="s">
        <v>277</v>
      </c>
      <c r="B853" s="49" t="s">
        <v>19</v>
      </c>
      <c r="C853" s="49"/>
      <c r="D853" s="49"/>
      <c r="E853" s="49"/>
      <c r="F853" s="49"/>
      <c r="G853" s="49"/>
      <c r="H853" s="49"/>
      <c r="I853" s="49"/>
      <c r="J853" s="49"/>
      <c r="K853" s="49"/>
      <c r="L853" s="49"/>
      <c r="M853" s="49"/>
      <c r="N853" s="49"/>
      <c r="O853" s="49"/>
      <c r="P853" s="49"/>
      <c r="Q853" s="49"/>
      <c r="R853" s="49"/>
      <c r="S853" s="49"/>
      <c r="T853" s="49"/>
      <c r="U853" s="49"/>
      <c r="V853" s="49"/>
    </row>
    <row r="854" spans="1:22" ht="12.75" customHeight="1" x14ac:dyDescent="0.2">
      <c r="A854" s="48"/>
      <c r="B854" s="52" t="s">
        <v>463</v>
      </c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</row>
    <row r="855" spans="1:22" ht="58.5" customHeight="1" x14ac:dyDescent="0.2">
      <c r="A855" s="48"/>
      <c r="B855" s="50" t="s">
        <v>187</v>
      </c>
      <c r="C855" s="50" t="s">
        <v>187</v>
      </c>
      <c r="D855" s="50"/>
      <c r="E855" s="50"/>
      <c r="F855" s="50"/>
      <c r="G855" s="50"/>
      <c r="H855" s="50"/>
      <c r="I855" s="50"/>
      <c r="J855" s="53" t="s">
        <v>184</v>
      </c>
      <c r="K855" s="53"/>
      <c r="L855" s="53" t="s">
        <v>70</v>
      </c>
      <c r="M855" s="53" t="s">
        <v>590</v>
      </c>
      <c r="N855" s="53" t="s">
        <v>20</v>
      </c>
      <c r="O855" s="53" t="s">
        <v>19</v>
      </c>
      <c r="P855" s="53" t="s">
        <v>20</v>
      </c>
      <c r="Q855" s="57" t="s">
        <v>560</v>
      </c>
      <c r="R855" s="53" t="s">
        <v>11</v>
      </c>
      <c r="S855" s="53" t="s">
        <v>162</v>
      </c>
      <c r="T855" s="53" t="s">
        <v>18</v>
      </c>
      <c r="U855" s="53"/>
      <c r="V855" s="53" t="s">
        <v>678</v>
      </c>
    </row>
    <row r="856" spans="1:22" x14ac:dyDescent="0.2">
      <c r="A856" s="48"/>
      <c r="B856" s="51" t="s">
        <v>5</v>
      </c>
      <c r="C856" s="51" t="s">
        <v>5</v>
      </c>
      <c r="D856" s="24">
        <f>SUM(D857:D860)</f>
        <v>436909.12800000003</v>
      </c>
      <c r="E856" s="25">
        <v>0</v>
      </c>
      <c r="F856" s="25">
        <f>SUM(F857:F860)</f>
        <v>0</v>
      </c>
      <c r="G856" s="25">
        <f>SUM(G857:G860)</f>
        <v>10957.332</v>
      </c>
      <c r="H856" s="25">
        <f>SUM(H857:H860)</f>
        <v>425951.79599999997</v>
      </c>
      <c r="I856" s="25"/>
      <c r="J856" s="53"/>
      <c r="K856" s="53"/>
      <c r="L856" s="53"/>
      <c r="M856" s="53"/>
      <c r="N856" s="53"/>
      <c r="O856" s="53"/>
      <c r="P856" s="53"/>
      <c r="Q856" s="57"/>
      <c r="R856" s="53"/>
      <c r="S856" s="53"/>
      <c r="T856" s="53"/>
      <c r="U856" s="53"/>
      <c r="V856" s="53"/>
    </row>
    <row r="857" spans="1:22" x14ac:dyDescent="0.2">
      <c r="A857" s="48"/>
      <c r="B857" s="51" t="s">
        <v>0</v>
      </c>
      <c r="C857" s="51" t="s">
        <v>0</v>
      </c>
      <c r="D857" s="24">
        <f>E857+F857+G857+H857+I857</f>
        <v>404650</v>
      </c>
      <c r="E857" s="25">
        <v>0</v>
      </c>
      <c r="F857" s="25">
        <v>0</v>
      </c>
      <c r="G857" s="25">
        <f>208189.308-208189.308</f>
        <v>0</v>
      </c>
      <c r="H857" s="25">
        <v>404650</v>
      </c>
      <c r="I857" s="25"/>
      <c r="J857" s="53"/>
      <c r="K857" s="53"/>
      <c r="L857" s="53"/>
      <c r="M857" s="53"/>
      <c r="N857" s="53"/>
      <c r="O857" s="53"/>
      <c r="P857" s="53"/>
      <c r="Q857" s="57"/>
      <c r="R857" s="53"/>
      <c r="S857" s="53"/>
      <c r="T857" s="53"/>
      <c r="U857" s="53"/>
      <c r="V857" s="53"/>
    </row>
    <row r="858" spans="1:22" x14ac:dyDescent="0.2">
      <c r="A858" s="48"/>
      <c r="B858" s="51" t="s">
        <v>1</v>
      </c>
      <c r="C858" s="51" t="s">
        <v>1</v>
      </c>
      <c r="D858" s="24">
        <f>E858+F858+G858+H858+I858</f>
        <v>32259.127999999997</v>
      </c>
      <c r="E858" s="25">
        <v>0</v>
      </c>
      <c r="F858" s="25">
        <v>0</v>
      </c>
      <c r="G858" s="25">
        <v>10957.332</v>
      </c>
      <c r="H858" s="25">
        <v>21301.795999999998</v>
      </c>
      <c r="I858" s="25"/>
      <c r="J858" s="53"/>
      <c r="K858" s="53"/>
      <c r="L858" s="53"/>
      <c r="M858" s="53"/>
      <c r="N858" s="53"/>
      <c r="O858" s="53"/>
      <c r="P858" s="53"/>
      <c r="Q858" s="57"/>
      <c r="R858" s="53"/>
      <c r="S858" s="53"/>
      <c r="T858" s="53"/>
      <c r="U858" s="53"/>
      <c r="V858" s="53"/>
    </row>
    <row r="859" spans="1:22" x14ac:dyDescent="0.2">
      <c r="A859" s="48"/>
      <c r="B859" s="51" t="s">
        <v>2</v>
      </c>
      <c r="C859" s="51" t="s">
        <v>2</v>
      </c>
      <c r="D859" s="24">
        <f>E859+F859+G859+H859+I859</f>
        <v>0</v>
      </c>
      <c r="E859" s="25"/>
      <c r="F859" s="25"/>
      <c r="G859" s="25"/>
      <c r="H859" s="25"/>
      <c r="I859" s="25"/>
      <c r="J859" s="53"/>
      <c r="K859" s="53"/>
      <c r="L859" s="53"/>
      <c r="M859" s="53"/>
      <c r="N859" s="53"/>
      <c r="O859" s="53"/>
      <c r="P859" s="53"/>
      <c r="Q859" s="57"/>
      <c r="R859" s="53"/>
      <c r="S859" s="53"/>
      <c r="T859" s="53"/>
      <c r="U859" s="53"/>
      <c r="V859" s="53"/>
    </row>
    <row r="860" spans="1:22" ht="21.75" customHeight="1" x14ac:dyDescent="0.2">
      <c r="A860" s="48"/>
      <c r="B860" s="51" t="s">
        <v>3</v>
      </c>
      <c r="C860" s="51" t="s">
        <v>3</v>
      </c>
      <c r="D860" s="24">
        <f>E860+F860+G860+H860+I860</f>
        <v>0</v>
      </c>
      <c r="E860" s="25"/>
      <c r="F860" s="25"/>
      <c r="G860" s="25"/>
      <c r="H860" s="25"/>
      <c r="I860" s="25"/>
      <c r="J860" s="53"/>
      <c r="K860" s="53"/>
      <c r="L860" s="53"/>
      <c r="M860" s="53"/>
      <c r="N860" s="53"/>
      <c r="O860" s="53"/>
      <c r="P860" s="53"/>
      <c r="Q860" s="57"/>
      <c r="R860" s="53"/>
      <c r="S860" s="53"/>
      <c r="T860" s="53"/>
      <c r="U860" s="53"/>
      <c r="V860" s="53"/>
    </row>
    <row r="861" spans="1:22" ht="12.75" customHeight="1" x14ac:dyDescent="0.2">
      <c r="A861" s="48" t="s">
        <v>278</v>
      </c>
      <c r="B861" s="49" t="s">
        <v>19</v>
      </c>
      <c r="C861" s="49"/>
      <c r="D861" s="49"/>
      <c r="E861" s="49"/>
      <c r="F861" s="49"/>
      <c r="G861" s="49"/>
      <c r="H861" s="49"/>
      <c r="I861" s="49"/>
      <c r="J861" s="49"/>
      <c r="K861" s="49"/>
      <c r="L861" s="49"/>
      <c r="M861" s="49"/>
      <c r="N861" s="49"/>
      <c r="O861" s="49"/>
      <c r="P861" s="49"/>
      <c r="Q861" s="49"/>
      <c r="R861" s="49"/>
      <c r="S861" s="49"/>
      <c r="T861" s="49"/>
      <c r="U861" s="49"/>
      <c r="V861" s="49"/>
    </row>
    <row r="862" spans="1:22" ht="12.75" customHeight="1" x14ac:dyDescent="0.2">
      <c r="A862" s="48"/>
      <c r="B862" s="52" t="s">
        <v>463</v>
      </c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</row>
    <row r="863" spans="1:22" ht="62.25" customHeight="1" x14ac:dyDescent="0.2">
      <c r="A863" s="48"/>
      <c r="B863" s="50" t="s">
        <v>305</v>
      </c>
      <c r="C863" s="50" t="s">
        <v>305</v>
      </c>
      <c r="D863" s="50"/>
      <c r="E863" s="50"/>
      <c r="F863" s="50"/>
      <c r="G863" s="50"/>
      <c r="H863" s="50"/>
      <c r="I863" s="50"/>
      <c r="J863" s="53" t="s">
        <v>318</v>
      </c>
      <c r="K863" s="53" t="s">
        <v>76</v>
      </c>
      <c r="L863" s="53" t="s">
        <v>70</v>
      </c>
      <c r="M863" s="53" t="s">
        <v>316</v>
      </c>
      <c r="N863" s="53" t="s">
        <v>20</v>
      </c>
      <c r="O863" s="53" t="s">
        <v>19</v>
      </c>
      <c r="P863" s="53" t="s">
        <v>20</v>
      </c>
      <c r="Q863" s="57" t="s">
        <v>317</v>
      </c>
      <c r="R863" s="53" t="s">
        <v>11</v>
      </c>
      <c r="S863" s="53" t="s">
        <v>155</v>
      </c>
      <c r="T863" s="53" t="s">
        <v>85</v>
      </c>
      <c r="U863" s="53"/>
      <c r="V863" s="53"/>
    </row>
    <row r="864" spans="1:22" x14ac:dyDescent="0.2">
      <c r="A864" s="48"/>
      <c r="B864" s="51" t="s">
        <v>5</v>
      </c>
      <c r="C864" s="51" t="s">
        <v>5</v>
      </c>
      <c r="D864" s="24">
        <f>SUM(D865:D868)</f>
        <v>13257.758489999998</v>
      </c>
      <c r="E864" s="25">
        <f>SUM(E865:E868)</f>
        <v>13257.758489999998</v>
      </c>
      <c r="F864" s="25"/>
      <c r="G864" s="25"/>
      <c r="H864" s="25"/>
      <c r="I864" s="25"/>
      <c r="J864" s="53"/>
      <c r="K864" s="53"/>
      <c r="L864" s="53"/>
      <c r="M864" s="53"/>
      <c r="N864" s="53"/>
      <c r="O864" s="53"/>
      <c r="P864" s="53"/>
      <c r="Q864" s="57"/>
      <c r="R864" s="53"/>
      <c r="S864" s="53"/>
      <c r="T864" s="53"/>
      <c r="U864" s="53"/>
      <c r="V864" s="53"/>
    </row>
    <row r="865" spans="1:22" x14ac:dyDescent="0.2">
      <c r="A865" s="48"/>
      <c r="B865" s="51" t="s">
        <v>0</v>
      </c>
      <c r="C865" s="51" t="s">
        <v>0</v>
      </c>
      <c r="D865" s="24">
        <f>E865+F865+G865+H865+I865</f>
        <v>0</v>
      </c>
      <c r="E865" s="25"/>
      <c r="F865" s="25"/>
      <c r="G865" s="25"/>
      <c r="H865" s="25"/>
      <c r="I865" s="25"/>
      <c r="J865" s="53"/>
      <c r="K865" s="53"/>
      <c r="L865" s="53"/>
      <c r="M865" s="53"/>
      <c r="N865" s="53"/>
      <c r="O865" s="53"/>
      <c r="P865" s="53"/>
      <c r="Q865" s="57"/>
      <c r="R865" s="53"/>
      <c r="S865" s="53"/>
      <c r="T865" s="53"/>
      <c r="U865" s="53"/>
      <c r="V865" s="53"/>
    </row>
    <row r="866" spans="1:22" x14ac:dyDescent="0.2">
      <c r="A866" s="48"/>
      <c r="B866" s="51" t="s">
        <v>1</v>
      </c>
      <c r="C866" s="51" t="s">
        <v>1</v>
      </c>
      <c r="D866" s="24">
        <f>E866+F866+G866+H866+I866</f>
        <v>13257.758489999998</v>
      </c>
      <c r="E866" s="25">
        <f>14904.38-1743.61-293.03851+390.027</f>
        <v>13257.758489999998</v>
      </c>
      <c r="F866" s="25"/>
      <c r="G866" s="25"/>
      <c r="H866" s="25"/>
      <c r="I866" s="25"/>
      <c r="J866" s="53"/>
      <c r="K866" s="53"/>
      <c r="L866" s="53"/>
      <c r="M866" s="53"/>
      <c r="N866" s="53"/>
      <c r="O866" s="53"/>
      <c r="P866" s="53"/>
      <c r="Q866" s="57"/>
      <c r="R866" s="53"/>
      <c r="S866" s="53"/>
      <c r="T866" s="53"/>
      <c r="U866" s="53"/>
      <c r="V866" s="53"/>
    </row>
    <row r="867" spans="1:22" x14ac:dyDescent="0.2">
      <c r="A867" s="48"/>
      <c r="B867" s="51" t="s">
        <v>2</v>
      </c>
      <c r="C867" s="51" t="s">
        <v>2</v>
      </c>
      <c r="D867" s="24">
        <f>E867+F867+G867+H867+I867</f>
        <v>0</v>
      </c>
      <c r="E867" s="25"/>
      <c r="F867" s="25"/>
      <c r="G867" s="25"/>
      <c r="H867" s="25"/>
      <c r="I867" s="25"/>
      <c r="J867" s="53"/>
      <c r="K867" s="53"/>
      <c r="L867" s="53"/>
      <c r="M867" s="53"/>
      <c r="N867" s="53"/>
      <c r="O867" s="53"/>
      <c r="P867" s="53"/>
      <c r="Q867" s="57"/>
      <c r="R867" s="53"/>
      <c r="S867" s="53"/>
      <c r="T867" s="53"/>
      <c r="U867" s="53"/>
      <c r="V867" s="53"/>
    </row>
    <row r="868" spans="1:22" ht="21.75" customHeight="1" x14ac:dyDescent="0.2">
      <c r="A868" s="48"/>
      <c r="B868" s="51" t="s">
        <v>3</v>
      </c>
      <c r="C868" s="51" t="s">
        <v>3</v>
      </c>
      <c r="D868" s="24">
        <f>E868+F868+G868+H868+I868</f>
        <v>0</v>
      </c>
      <c r="E868" s="25"/>
      <c r="F868" s="25"/>
      <c r="G868" s="25"/>
      <c r="H868" s="25"/>
      <c r="I868" s="25"/>
      <c r="J868" s="53"/>
      <c r="K868" s="53"/>
      <c r="L868" s="53"/>
      <c r="M868" s="53"/>
      <c r="N868" s="53"/>
      <c r="O868" s="53"/>
      <c r="P868" s="53"/>
      <c r="Q868" s="57"/>
      <c r="R868" s="53"/>
      <c r="S868" s="53"/>
      <c r="T868" s="53"/>
      <c r="U868" s="53"/>
      <c r="V868" s="53"/>
    </row>
    <row r="869" spans="1:22" ht="12.75" customHeight="1" x14ac:dyDescent="0.2">
      <c r="A869" s="48" t="s">
        <v>279</v>
      </c>
      <c r="B869" s="49" t="s">
        <v>19</v>
      </c>
      <c r="C869" s="49"/>
      <c r="D869" s="49"/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</row>
    <row r="870" spans="1:22" ht="12.75" customHeight="1" x14ac:dyDescent="0.2">
      <c r="A870" s="48"/>
      <c r="B870" s="52" t="s">
        <v>463</v>
      </c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</row>
    <row r="871" spans="1:22" ht="40.5" customHeight="1" x14ac:dyDescent="0.2">
      <c r="A871" s="48"/>
      <c r="B871" s="50" t="s">
        <v>309</v>
      </c>
      <c r="C871" s="50" t="s">
        <v>309</v>
      </c>
      <c r="D871" s="50"/>
      <c r="E871" s="50"/>
      <c r="F871" s="50"/>
      <c r="G871" s="50"/>
      <c r="H871" s="50"/>
      <c r="I871" s="50"/>
      <c r="J871" s="53" t="s">
        <v>60</v>
      </c>
      <c r="K871" s="53"/>
      <c r="L871" s="53" t="s">
        <v>72</v>
      </c>
      <c r="M871" s="53" t="s">
        <v>241</v>
      </c>
      <c r="N871" s="53" t="s">
        <v>10</v>
      </c>
      <c r="O871" s="53" t="s">
        <v>190</v>
      </c>
      <c r="P871" s="53" t="s">
        <v>190</v>
      </c>
      <c r="Q871" s="57" t="s">
        <v>242</v>
      </c>
      <c r="R871" s="53" t="s">
        <v>9</v>
      </c>
      <c r="S871" s="53" t="s">
        <v>355</v>
      </c>
      <c r="T871" s="53" t="s">
        <v>18</v>
      </c>
      <c r="U871" s="53"/>
      <c r="V871" s="53" t="s">
        <v>679</v>
      </c>
    </row>
    <row r="872" spans="1:22" x14ac:dyDescent="0.2">
      <c r="A872" s="48"/>
      <c r="B872" s="51" t="s">
        <v>5</v>
      </c>
      <c r="C872" s="51" t="s">
        <v>5</v>
      </c>
      <c r="D872" s="24">
        <f>SUM(D873:D876)</f>
        <v>28226.392520000001</v>
      </c>
      <c r="E872" s="25">
        <f>SUM(E873:E876)</f>
        <v>28226.392520000001</v>
      </c>
      <c r="F872" s="25"/>
      <c r="G872" s="25"/>
      <c r="H872" s="25"/>
      <c r="I872" s="25"/>
      <c r="J872" s="53"/>
      <c r="K872" s="53"/>
      <c r="L872" s="53"/>
      <c r="M872" s="53"/>
      <c r="N872" s="53"/>
      <c r="O872" s="53"/>
      <c r="P872" s="53"/>
      <c r="Q872" s="57"/>
      <c r="R872" s="53"/>
      <c r="S872" s="53"/>
      <c r="T872" s="53"/>
      <c r="U872" s="53"/>
      <c r="V872" s="53"/>
    </row>
    <row r="873" spans="1:22" x14ac:dyDescent="0.2">
      <c r="A873" s="48"/>
      <c r="B873" s="51" t="s">
        <v>0</v>
      </c>
      <c r="C873" s="51" t="s">
        <v>0</v>
      </c>
      <c r="D873" s="24">
        <f>E873+F873+G873+H873+I873</f>
        <v>0</v>
      </c>
      <c r="E873" s="25"/>
      <c r="F873" s="25"/>
      <c r="G873" s="25"/>
      <c r="H873" s="25"/>
      <c r="I873" s="25"/>
      <c r="J873" s="53"/>
      <c r="K873" s="53"/>
      <c r="L873" s="53"/>
      <c r="M873" s="53"/>
      <c r="N873" s="53"/>
      <c r="O873" s="53"/>
      <c r="P873" s="53"/>
      <c r="Q873" s="57"/>
      <c r="R873" s="53"/>
      <c r="S873" s="53"/>
      <c r="T873" s="53"/>
      <c r="U873" s="53"/>
      <c r="V873" s="53"/>
    </row>
    <row r="874" spans="1:22" x14ac:dyDescent="0.2">
      <c r="A874" s="48"/>
      <c r="B874" s="51" t="s">
        <v>1</v>
      </c>
      <c r="C874" s="51" t="s">
        <v>1</v>
      </c>
      <c r="D874" s="24">
        <f>E874+F874+G874+H874+I874</f>
        <v>25403.753270000001</v>
      </c>
      <c r="E874" s="25">
        <f>36498.8-7945.04673-3150</f>
        <v>25403.753270000001</v>
      </c>
      <c r="F874" s="25"/>
      <c r="G874" s="25"/>
      <c r="H874" s="25"/>
      <c r="I874" s="25"/>
      <c r="J874" s="53"/>
      <c r="K874" s="53"/>
      <c r="L874" s="53"/>
      <c r="M874" s="53"/>
      <c r="N874" s="53"/>
      <c r="O874" s="53"/>
      <c r="P874" s="53"/>
      <c r="Q874" s="57"/>
      <c r="R874" s="53"/>
      <c r="S874" s="53"/>
      <c r="T874" s="53"/>
      <c r="U874" s="53"/>
      <c r="V874" s="53"/>
    </row>
    <row r="875" spans="1:22" x14ac:dyDescent="0.2">
      <c r="A875" s="48"/>
      <c r="B875" s="51" t="s">
        <v>2</v>
      </c>
      <c r="C875" s="51" t="s">
        <v>2</v>
      </c>
      <c r="D875" s="24">
        <f>E875+F875+G875+H875+I875</f>
        <v>2822.6392500000002</v>
      </c>
      <c r="E875" s="25">
        <v>2822.6392500000002</v>
      </c>
      <c r="F875" s="25"/>
      <c r="G875" s="25"/>
      <c r="H875" s="25"/>
      <c r="I875" s="25"/>
      <c r="J875" s="53"/>
      <c r="K875" s="53"/>
      <c r="L875" s="53"/>
      <c r="M875" s="53"/>
      <c r="N875" s="53"/>
      <c r="O875" s="53"/>
      <c r="P875" s="53"/>
      <c r="Q875" s="57"/>
      <c r="R875" s="53"/>
      <c r="S875" s="53"/>
      <c r="T875" s="53"/>
      <c r="U875" s="53"/>
      <c r="V875" s="53"/>
    </row>
    <row r="876" spans="1:22" ht="21.75" customHeight="1" x14ac:dyDescent="0.2">
      <c r="A876" s="48"/>
      <c r="B876" s="51" t="s">
        <v>3</v>
      </c>
      <c r="C876" s="51" t="s">
        <v>3</v>
      </c>
      <c r="D876" s="24">
        <f>E876+F876+G876+H876+I876</f>
        <v>0</v>
      </c>
      <c r="E876" s="25"/>
      <c r="F876" s="25"/>
      <c r="G876" s="25"/>
      <c r="H876" s="25"/>
      <c r="I876" s="25"/>
      <c r="J876" s="53"/>
      <c r="K876" s="53"/>
      <c r="L876" s="53"/>
      <c r="M876" s="53"/>
      <c r="N876" s="53"/>
      <c r="O876" s="53"/>
      <c r="P876" s="53"/>
      <c r="Q876" s="57"/>
      <c r="R876" s="53"/>
      <c r="S876" s="53"/>
      <c r="T876" s="53"/>
      <c r="U876" s="53"/>
      <c r="V876" s="53"/>
    </row>
    <row r="877" spans="1:22" ht="12.75" customHeight="1" x14ac:dyDescent="0.2">
      <c r="A877" s="48" t="s">
        <v>423</v>
      </c>
      <c r="B877" s="49" t="s">
        <v>19</v>
      </c>
      <c r="C877" s="49"/>
      <c r="D877" s="49"/>
      <c r="E877" s="49"/>
      <c r="F877" s="49"/>
      <c r="G877" s="49"/>
      <c r="H877" s="49"/>
      <c r="I877" s="49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49"/>
      <c r="U877" s="49"/>
      <c r="V877" s="49"/>
    </row>
    <row r="878" spans="1:22" ht="12.75" customHeight="1" x14ac:dyDescent="0.2">
      <c r="A878" s="48"/>
      <c r="B878" s="52" t="s">
        <v>463</v>
      </c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</row>
    <row r="879" spans="1:22" ht="60" customHeight="1" x14ac:dyDescent="0.2">
      <c r="A879" s="48"/>
      <c r="B879" s="50" t="s">
        <v>244</v>
      </c>
      <c r="C879" s="50" t="s">
        <v>244</v>
      </c>
      <c r="D879" s="50"/>
      <c r="E879" s="50"/>
      <c r="F879" s="50"/>
      <c r="G879" s="50"/>
      <c r="H879" s="50"/>
      <c r="I879" s="50"/>
      <c r="J879" s="53" t="s">
        <v>186</v>
      </c>
      <c r="K879" s="53" t="s">
        <v>60</v>
      </c>
      <c r="L879" s="53" t="s">
        <v>70</v>
      </c>
      <c r="M879" s="53" t="s">
        <v>188</v>
      </c>
      <c r="N879" s="53" t="s">
        <v>20</v>
      </c>
      <c r="O879" s="53" t="s">
        <v>19</v>
      </c>
      <c r="P879" s="53" t="s">
        <v>20</v>
      </c>
      <c r="Q879" s="57" t="s">
        <v>356</v>
      </c>
      <c r="R879" s="53" t="s">
        <v>11</v>
      </c>
      <c r="S879" s="53" t="s">
        <v>14</v>
      </c>
      <c r="T879" s="53" t="s">
        <v>85</v>
      </c>
      <c r="U879" s="53"/>
      <c r="V879" s="53"/>
    </row>
    <row r="880" spans="1:22" x14ac:dyDescent="0.2">
      <c r="A880" s="48"/>
      <c r="B880" s="51" t="s">
        <v>5</v>
      </c>
      <c r="C880" s="51" t="s">
        <v>5</v>
      </c>
      <c r="D880" s="24">
        <f>SUM(D881:D884)</f>
        <v>7625.4699999999993</v>
      </c>
      <c r="E880" s="25">
        <f>SUM(E881:E884)</f>
        <v>7625.4699999999993</v>
      </c>
      <c r="F880" s="25"/>
      <c r="G880" s="25"/>
      <c r="H880" s="25"/>
      <c r="I880" s="25"/>
      <c r="J880" s="53"/>
      <c r="K880" s="53"/>
      <c r="L880" s="53"/>
      <c r="M880" s="53"/>
      <c r="N880" s="53"/>
      <c r="O880" s="53"/>
      <c r="P880" s="53"/>
      <c r="Q880" s="57"/>
      <c r="R880" s="53"/>
      <c r="S880" s="53"/>
      <c r="T880" s="53"/>
      <c r="U880" s="53"/>
      <c r="V880" s="53"/>
    </row>
    <row r="881" spans="1:22" x14ac:dyDescent="0.2">
      <c r="A881" s="48"/>
      <c r="B881" s="51" t="s">
        <v>0</v>
      </c>
      <c r="C881" s="51" t="s">
        <v>0</v>
      </c>
      <c r="D881" s="24">
        <f>E881+F881+G881+H881+I881</f>
        <v>0</v>
      </c>
      <c r="E881" s="25"/>
      <c r="F881" s="25"/>
      <c r="G881" s="25"/>
      <c r="H881" s="25"/>
      <c r="I881" s="25"/>
      <c r="J881" s="53"/>
      <c r="K881" s="53"/>
      <c r="L881" s="53"/>
      <c r="M881" s="53"/>
      <c r="N881" s="53"/>
      <c r="O881" s="53"/>
      <c r="P881" s="53"/>
      <c r="Q881" s="57"/>
      <c r="R881" s="53"/>
      <c r="S881" s="53"/>
      <c r="T881" s="53"/>
      <c r="U881" s="53"/>
      <c r="V881" s="53"/>
    </row>
    <row r="882" spans="1:22" x14ac:dyDescent="0.2">
      <c r="A882" s="48"/>
      <c r="B882" s="51" t="s">
        <v>1</v>
      </c>
      <c r="C882" s="51" t="s">
        <v>1</v>
      </c>
      <c r="D882" s="24">
        <f>E882+F882+G882+H882+I882</f>
        <v>7625.4699999999993</v>
      </c>
      <c r="E882" s="25">
        <f>5961.36+1664.11</f>
        <v>7625.4699999999993</v>
      </c>
      <c r="F882" s="25"/>
      <c r="G882" s="25"/>
      <c r="H882" s="25"/>
      <c r="I882" s="25"/>
      <c r="J882" s="53"/>
      <c r="K882" s="53"/>
      <c r="L882" s="53"/>
      <c r="M882" s="53"/>
      <c r="N882" s="53"/>
      <c r="O882" s="53"/>
      <c r="P882" s="53"/>
      <c r="Q882" s="57"/>
      <c r="R882" s="53"/>
      <c r="S882" s="53"/>
      <c r="T882" s="53"/>
      <c r="U882" s="53"/>
      <c r="V882" s="53"/>
    </row>
    <row r="883" spans="1:22" x14ac:dyDescent="0.2">
      <c r="A883" s="48"/>
      <c r="B883" s="51" t="s">
        <v>2</v>
      </c>
      <c r="C883" s="51" t="s">
        <v>2</v>
      </c>
      <c r="D883" s="24">
        <f>E883+F883+G883+H883+I883</f>
        <v>0</v>
      </c>
      <c r="E883" s="25"/>
      <c r="F883" s="25"/>
      <c r="G883" s="25"/>
      <c r="H883" s="25"/>
      <c r="I883" s="25"/>
      <c r="J883" s="53"/>
      <c r="K883" s="53"/>
      <c r="L883" s="53"/>
      <c r="M883" s="53"/>
      <c r="N883" s="53"/>
      <c r="O883" s="53"/>
      <c r="P883" s="53"/>
      <c r="Q883" s="57"/>
      <c r="R883" s="53"/>
      <c r="S883" s="53"/>
      <c r="T883" s="53"/>
      <c r="U883" s="53"/>
      <c r="V883" s="53"/>
    </row>
    <row r="884" spans="1:22" ht="21.75" customHeight="1" x14ac:dyDescent="0.2">
      <c r="A884" s="48"/>
      <c r="B884" s="51" t="s">
        <v>3</v>
      </c>
      <c r="C884" s="51" t="s">
        <v>3</v>
      </c>
      <c r="D884" s="24">
        <f>E884+F884+G884+H884+I884</f>
        <v>0</v>
      </c>
      <c r="E884" s="25"/>
      <c r="F884" s="25"/>
      <c r="G884" s="25"/>
      <c r="H884" s="25"/>
      <c r="I884" s="25"/>
      <c r="J884" s="53"/>
      <c r="K884" s="53"/>
      <c r="L884" s="53"/>
      <c r="M884" s="53"/>
      <c r="N884" s="53"/>
      <c r="O884" s="53"/>
      <c r="P884" s="53"/>
      <c r="Q884" s="57"/>
      <c r="R884" s="53"/>
      <c r="S884" s="53"/>
      <c r="T884" s="53"/>
      <c r="U884" s="53"/>
      <c r="V884" s="53"/>
    </row>
    <row r="885" spans="1:22" ht="12.75" customHeight="1" x14ac:dyDescent="0.2">
      <c r="A885" s="48" t="s">
        <v>489</v>
      </c>
      <c r="B885" s="49" t="s">
        <v>19</v>
      </c>
      <c r="C885" s="49"/>
      <c r="D885" s="49"/>
      <c r="E885" s="49"/>
      <c r="F885" s="49"/>
      <c r="G885" s="49"/>
      <c r="H885" s="49"/>
      <c r="I885" s="49"/>
      <c r="J885" s="49"/>
      <c r="K885" s="49"/>
      <c r="L885" s="49"/>
      <c r="M885" s="49"/>
      <c r="N885" s="49"/>
      <c r="O885" s="49"/>
      <c r="P885" s="49"/>
      <c r="Q885" s="49"/>
      <c r="R885" s="49"/>
      <c r="S885" s="49"/>
      <c r="T885" s="49"/>
      <c r="U885" s="49"/>
      <c r="V885" s="49"/>
    </row>
    <row r="886" spans="1:22" ht="12.75" customHeight="1" x14ac:dyDescent="0.2">
      <c r="A886" s="48"/>
      <c r="B886" s="52" t="s">
        <v>477</v>
      </c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</row>
    <row r="887" spans="1:22" ht="59.25" customHeight="1" x14ac:dyDescent="0.2">
      <c r="A887" s="48"/>
      <c r="B887" s="50" t="s">
        <v>310</v>
      </c>
      <c r="C887" s="50" t="s">
        <v>310</v>
      </c>
      <c r="D887" s="50"/>
      <c r="E887" s="50"/>
      <c r="F887" s="50"/>
      <c r="G887" s="50"/>
      <c r="H887" s="50"/>
      <c r="I887" s="50"/>
      <c r="J887" s="53" t="s">
        <v>76</v>
      </c>
      <c r="K887" s="53"/>
      <c r="L887" s="53" t="s">
        <v>69</v>
      </c>
      <c r="M887" s="53"/>
      <c r="N887" s="53" t="s">
        <v>19</v>
      </c>
      <c r="O887" s="53" t="s">
        <v>19</v>
      </c>
      <c r="P887" s="53" t="s">
        <v>19</v>
      </c>
      <c r="Q887" s="57"/>
      <c r="R887" s="53" t="s">
        <v>11</v>
      </c>
      <c r="S887" s="53"/>
      <c r="T887" s="53" t="s">
        <v>101</v>
      </c>
      <c r="U887" s="53"/>
      <c r="V887" s="53"/>
    </row>
    <row r="888" spans="1:22" x14ac:dyDescent="0.2">
      <c r="A888" s="48"/>
      <c r="B888" s="51" t="s">
        <v>5</v>
      </c>
      <c r="C888" s="51" t="s">
        <v>5</v>
      </c>
      <c r="D888" s="24">
        <f>SUM(D889:D892)</f>
        <v>70182.75</v>
      </c>
      <c r="E888" s="25">
        <f>SUM(E889:E892)</f>
        <v>20832.75</v>
      </c>
      <c r="F888" s="25">
        <f>SUM(F889:F892)</f>
        <v>49350</v>
      </c>
      <c r="G888" s="25"/>
      <c r="H888" s="25"/>
      <c r="I888" s="25"/>
      <c r="J888" s="53"/>
      <c r="K888" s="53"/>
      <c r="L888" s="53"/>
      <c r="M888" s="53"/>
      <c r="N888" s="53"/>
      <c r="O888" s="53"/>
      <c r="P888" s="53"/>
      <c r="Q888" s="57"/>
      <c r="R888" s="53"/>
      <c r="S888" s="53"/>
      <c r="T888" s="53"/>
      <c r="U888" s="53"/>
      <c r="V888" s="53"/>
    </row>
    <row r="889" spans="1:22" x14ac:dyDescent="0.2">
      <c r="A889" s="48"/>
      <c r="B889" s="51" t="s">
        <v>0</v>
      </c>
      <c r="C889" s="51" t="s">
        <v>0</v>
      </c>
      <c r="D889" s="24">
        <f>E889+F889+G889+H889+I889</f>
        <v>0</v>
      </c>
      <c r="E889" s="25"/>
      <c r="F889" s="25"/>
      <c r="G889" s="25"/>
      <c r="H889" s="25"/>
      <c r="I889" s="25"/>
      <c r="J889" s="53"/>
      <c r="K889" s="53"/>
      <c r="L889" s="53"/>
      <c r="M889" s="53"/>
      <c r="N889" s="53"/>
      <c r="O889" s="53"/>
      <c r="P889" s="53"/>
      <c r="Q889" s="57"/>
      <c r="R889" s="53"/>
      <c r="S889" s="53"/>
      <c r="T889" s="53"/>
      <c r="U889" s="53"/>
      <c r="V889" s="53"/>
    </row>
    <row r="890" spans="1:22" x14ac:dyDescent="0.2">
      <c r="A890" s="48"/>
      <c r="B890" s="51" t="s">
        <v>1</v>
      </c>
      <c r="C890" s="51" t="s">
        <v>1</v>
      </c>
      <c r="D890" s="24">
        <f>E890+F890+G890+H890+I890</f>
        <v>70182.75</v>
      </c>
      <c r="E890" s="25">
        <f>21150-317.25</f>
        <v>20832.75</v>
      </c>
      <c r="F890" s="25">
        <v>49350</v>
      </c>
      <c r="G890" s="25"/>
      <c r="H890" s="25"/>
      <c r="I890" s="25"/>
      <c r="J890" s="53"/>
      <c r="K890" s="53"/>
      <c r="L890" s="53"/>
      <c r="M890" s="53"/>
      <c r="N890" s="53"/>
      <c r="O890" s="53"/>
      <c r="P890" s="53"/>
      <c r="Q890" s="57"/>
      <c r="R890" s="53"/>
      <c r="S890" s="53"/>
      <c r="T890" s="53"/>
      <c r="U890" s="53"/>
      <c r="V890" s="53"/>
    </row>
    <row r="891" spans="1:22" x14ac:dyDescent="0.2">
      <c r="A891" s="48"/>
      <c r="B891" s="51" t="s">
        <v>2</v>
      </c>
      <c r="C891" s="51" t="s">
        <v>2</v>
      </c>
      <c r="D891" s="24">
        <f>E891+F891+G891+H891+I891</f>
        <v>0</v>
      </c>
      <c r="E891" s="25"/>
      <c r="F891" s="25"/>
      <c r="G891" s="25"/>
      <c r="H891" s="25"/>
      <c r="I891" s="25"/>
      <c r="J891" s="53"/>
      <c r="K891" s="53"/>
      <c r="L891" s="53"/>
      <c r="M891" s="53"/>
      <c r="N891" s="53"/>
      <c r="O891" s="53"/>
      <c r="P891" s="53"/>
      <c r="Q891" s="57"/>
      <c r="R891" s="53"/>
      <c r="S891" s="53"/>
      <c r="T891" s="53"/>
      <c r="U891" s="53"/>
      <c r="V891" s="53"/>
    </row>
    <row r="892" spans="1:22" ht="21.75" customHeight="1" x14ac:dyDescent="0.2">
      <c r="A892" s="48"/>
      <c r="B892" s="51" t="s">
        <v>3</v>
      </c>
      <c r="C892" s="51" t="s">
        <v>3</v>
      </c>
      <c r="D892" s="24">
        <f>E892+F892+G892+H892+I892</f>
        <v>0</v>
      </c>
      <c r="E892" s="25"/>
      <c r="F892" s="25"/>
      <c r="G892" s="25"/>
      <c r="H892" s="25"/>
      <c r="I892" s="25"/>
      <c r="J892" s="53"/>
      <c r="K892" s="53"/>
      <c r="L892" s="53"/>
      <c r="M892" s="53"/>
      <c r="N892" s="53"/>
      <c r="O892" s="53"/>
      <c r="P892" s="53"/>
      <c r="Q892" s="57"/>
      <c r="R892" s="53"/>
      <c r="S892" s="53"/>
      <c r="T892" s="53"/>
      <c r="U892" s="53"/>
      <c r="V892" s="53"/>
    </row>
    <row r="893" spans="1:22" ht="12.75" customHeight="1" x14ac:dyDescent="0.2">
      <c r="A893" s="48" t="s">
        <v>553</v>
      </c>
      <c r="B893" s="49" t="s">
        <v>19</v>
      </c>
      <c r="C893" s="49"/>
      <c r="D893" s="49"/>
      <c r="E893" s="49"/>
      <c r="F893" s="49"/>
      <c r="G893" s="49"/>
      <c r="H893" s="49"/>
      <c r="I893" s="49"/>
      <c r="J893" s="49"/>
      <c r="K893" s="49"/>
      <c r="L893" s="49"/>
      <c r="M893" s="49"/>
      <c r="N893" s="49"/>
      <c r="O893" s="49"/>
      <c r="P893" s="49"/>
      <c r="Q893" s="49"/>
      <c r="R893" s="49"/>
      <c r="S893" s="49"/>
      <c r="T893" s="49"/>
      <c r="U893" s="49"/>
      <c r="V893" s="49"/>
    </row>
    <row r="894" spans="1:22" ht="12.75" customHeight="1" x14ac:dyDescent="0.2">
      <c r="A894" s="48"/>
      <c r="B894" s="52" t="s">
        <v>477</v>
      </c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</row>
    <row r="895" spans="1:22" ht="66" customHeight="1" x14ac:dyDescent="0.2">
      <c r="A895" s="48"/>
      <c r="B895" s="50" t="s">
        <v>311</v>
      </c>
      <c r="C895" s="50" t="s">
        <v>311</v>
      </c>
      <c r="D895" s="50"/>
      <c r="E895" s="50"/>
      <c r="F895" s="50"/>
      <c r="G895" s="50"/>
      <c r="H895" s="50"/>
      <c r="I895" s="50"/>
      <c r="J895" s="53" t="s">
        <v>76</v>
      </c>
      <c r="K895" s="53"/>
      <c r="L895" s="53" t="s">
        <v>69</v>
      </c>
      <c r="M895" s="53" t="s">
        <v>189</v>
      </c>
      <c r="N895" s="53" t="s">
        <v>19</v>
      </c>
      <c r="O895" s="53" t="s">
        <v>19</v>
      </c>
      <c r="P895" s="53" t="s">
        <v>19</v>
      </c>
      <c r="Q895" s="57"/>
      <c r="R895" s="53" t="s">
        <v>11</v>
      </c>
      <c r="S895" s="53"/>
      <c r="T895" s="53" t="s">
        <v>101</v>
      </c>
      <c r="U895" s="53"/>
      <c r="V895" s="53"/>
    </row>
    <row r="896" spans="1:22" x14ac:dyDescent="0.2">
      <c r="A896" s="48"/>
      <c r="B896" s="51" t="s">
        <v>5</v>
      </c>
      <c r="C896" s="51" t="s">
        <v>5</v>
      </c>
      <c r="D896" s="24">
        <f>SUM(D897:D900)</f>
        <v>26000</v>
      </c>
      <c r="E896" s="25">
        <f>SUM(E897:E900)</f>
        <v>8500</v>
      </c>
      <c r="F896" s="25">
        <f>SUM(F897:F900)</f>
        <v>17500</v>
      </c>
      <c r="G896" s="25"/>
      <c r="H896" s="25"/>
      <c r="I896" s="25"/>
      <c r="J896" s="53"/>
      <c r="K896" s="53"/>
      <c r="L896" s="53"/>
      <c r="M896" s="53"/>
      <c r="N896" s="53"/>
      <c r="O896" s="53"/>
      <c r="P896" s="53"/>
      <c r="Q896" s="57"/>
      <c r="R896" s="53"/>
      <c r="S896" s="53"/>
      <c r="T896" s="53"/>
      <c r="U896" s="53"/>
      <c r="V896" s="53"/>
    </row>
    <row r="897" spans="1:22" x14ac:dyDescent="0.2">
      <c r="A897" s="48"/>
      <c r="B897" s="51" t="s">
        <v>0</v>
      </c>
      <c r="C897" s="51" t="s">
        <v>0</v>
      </c>
      <c r="D897" s="24">
        <f>E897+F897+G897+H897+I897</f>
        <v>0</v>
      </c>
      <c r="E897" s="25"/>
      <c r="F897" s="25"/>
      <c r="G897" s="25"/>
      <c r="H897" s="25"/>
      <c r="I897" s="25"/>
      <c r="J897" s="53"/>
      <c r="K897" s="53"/>
      <c r="L897" s="53"/>
      <c r="M897" s="53"/>
      <c r="N897" s="53"/>
      <c r="O897" s="53"/>
      <c r="P897" s="53"/>
      <c r="Q897" s="57"/>
      <c r="R897" s="53"/>
      <c r="S897" s="53"/>
      <c r="T897" s="53"/>
      <c r="U897" s="53"/>
      <c r="V897" s="53"/>
    </row>
    <row r="898" spans="1:22" x14ac:dyDescent="0.2">
      <c r="A898" s="48"/>
      <c r="B898" s="51" t="s">
        <v>1</v>
      </c>
      <c r="C898" s="51" t="s">
        <v>1</v>
      </c>
      <c r="D898" s="24">
        <f>E898+F898+G898+H898+I898</f>
        <v>26000</v>
      </c>
      <c r="E898" s="25">
        <f>25000+1200-1700-16000</f>
        <v>8500</v>
      </c>
      <c r="F898" s="25">
        <v>17500</v>
      </c>
      <c r="G898" s="25"/>
      <c r="H898" s="25"/>
      <c r="I898" s="25"/>
      <c r="J898" s="53"/>
      <c r="K898" s="53"/>
      <c r="L898" s="53"/>
      <c r="M898" s="53"/>
      <c r="N898" s="53"/>
      <c r="O898" s="53"/>
      <c r="P898" s="53"/>
      <c r="Q898" s="57"/>
      <c r="R898" s="53"/>
      <c r="S898" s="53"/>
      <c r="T898" s="53"/>
      <c r="U898" s="53"/>
      <c r="V898" s="53"/>
    </row>
    <row r="899" spans="1:22" x14ac:dyDescent="0.2">
      <c r="A899" s="48"/>
      <c r="B899" s="51" t="s">
        <v>2</v>
      </c>
      <c r="C899" s="51" t="s">
        <v>2</v>
      </c>
      <c r="D899" s="24">
        <f>E899+F899+G899+H899+I899</f>
        <v>0</v>
      </c>
      <c r="E899" s="25"/>
      <c r="F899" s="25"/>
      <c r="G899" s="25"/>
      <c r="H899" s="25"/>
      <c r="I899" s="25"/>
      <c r="J899" s="53"/>
      <c r="K899" s="53"/>
      <c r="L899" s="53"/>
      <c r="M899" s="53"/>
      <c r="N899" s="53"/>
      <c r="O899" s="53"/>
      <c r="P899" s="53"/>
      <c r="Q899" s="57"/>
      <c r="R899" s="53"/>
      <c r="S899" s="53"/>
      <c r="T899" s="53"/>
      <c r="U899" s="53"/>
      <c r="V899" s="53"/>
    </row>
    <row r="900" spans="1:22" ht="21.75" customHeight="1" x14ac:dyDescent="0.2">
      <c r="A900" s="48"/>
      <c r="B900" s="51" t="s">
        <v>3</v>
      </c>
      <c r="C900" s="51" t="s">
        <v>3</v>
      </c>
      <c r="D900" s="24">
        <f>E900+F900+G900+H900+I900</f>
        <v>0</v>
      </c>
      <c r="E900" s="25"/>
      <c r="F900" s="25"/>
      <c r="G900" s="25"/>
      <c r="H900" s="25"/>
      <c r="I900" s="25"/>
      <c r="J900" s="53"/>
      <c r="K900" s="53"/>
      <c r="L900" s="53"/>
      <c r="M900" s="53"/>
      <c r="N900" s="53"/>
      <c r="O900" s="53"/>
      <c r="P900" s="53"/>
      <c r="Q900" s="57"/>
      <c r="R900" s="53"/>
      <c r="S900" s="53"/>
      <c r="T900" s="53"/>
      <c r="U900" s="53"/>
      <c r="V900" s="53"/>
    </row>
    <row r="901" spans="1:22" ht="12.75" customHeight="1" x14ac:dyDescent="0.2">
      <c r="A901" s="48" t="s">
        <v>554</v>
      </c>
      <c r="B901" s="49" t="s">
        <v>19</v>
      </c>
      <c r="C901" s="49"/>
      <c r="D901" s="49"/>
      <c r="E901" s="49"/>
      <c r="F901" s="49"/>
      <c r="G901" s="49"/>
      <c r="H901" s="49"/>
      <c r="I901" s="49"/>
      <c r="J901" s="49"/>
      <c r="K901" s="49"/>
      <c r="L901" s="49"/>
      <c r="M901" s="49"/>
      <c r="N901" s="49"/>
      <c r="O901" s="49"/>
      <c r="P901" s="49"/>
      <c r="Q901" s="49"/>
      <c r="R901" s="49"/>
      <c r="S901" s="49"/>
      <c r="T901" s="49"/>
      <c r="U901" s="49"/>
      <c r="V901" s="49"/>
    </row>
    <row r="902" spans="1:22" ht="12.75" customHeight="1" x14ac:dyDescent="0.2">
      <c r="A902" s="48"/>
      <c r="B902" s="52" t="s">
        <v>463</v>
      </c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</row>
    <row r="903" spans="1:22" ht="61.5" customHeight="1" x14ac:dyDescent="0.2">
      <c r="A903" s="48"/>
      <c r="B903" s="50" t="s">
        <v>551</v>
      </c>
      <c r="C903" s="50" t="s">
        <v>551</v>
      </c>
      <c r="D903" s="50"/>
      <c r="E903" s="50"/>
      <c r="F903" s="50"/>
      <c r="G903" s="50"/>
      <c r="H903" s="50"/>
      <c r="I903" s="50"/>
      <c r="J903" s="53" t="s">
        <v>60</v>
      </c>
      <c r="K903" s="53" t="s">
        <v>60</v>
      </c>
      <c r="L903" s="53" t="s">
        <v>70</v>
      </c>
      <c r="M903" s="53"/>
      <c r="N903" s="53" t="s">
        <v>20</v>
      </c>
      <c r="O903" s="53" t="s">
        <v>19</v>
      </c>
      <c r="P903" s="53" t="s">
        <v>20</v>
      </c>
      <c r="Q903" s="57"/>
      <c r="R903" s="53" t="s">
        <v>9</v>
      </c>
      <c r="S903" s="53" t="s">
        <v>10</v>
      </c>
      <c r="T903" s="53" t="s">
        <v>85</v>
      </c>
      <c r="U903" s="53"/>
      <c r="V903" s="53"/>
    </row>
    <row r="904" spans="1:22" x14ac:dyDescent="0.2">
      <c r="A904" s="48"/>
      <c r="B904" s="51" t="s">
        <v>5</v>
      </c>
      <c r="C904" s="51" t="s">
        <v>5</v>
      </c>
      <c r="D904" s="24">
        <f>SUM(D905:D908)</f>
        <v>11744.84878</v>
      </c>
      <c r="E904" s="25">
        <f>SUM(E905:E908)</f>
        <v>11744.84878</v>
      </c>
      <c r="F904" s="25"/>
      <c r="G904" s="25"/>
      <c r="H904" s="25"/>
      <c r="I904" s="25"/>
      <c r="J904" s="53"/>
      <c r="K904" s="53"/>
      <c r="L904" s="53"/>
      <c r="M904" s="53"/>
      <c r="N904" s="53"/>
      <c r="O904" s="53"/>
      <c r="P904" s="53"/>
      <c r="Q904" s="57"/>
      <c r="R904" s="53"/>
      <c r="S904" s="53"/>
      <c r="T904" s="53"/>
      <c r="U904" s="53"/>
      <c r="V904" s="53"/>
    </row>
    <row r="905" spans="1:22" x14ac:dyDescent="0.2">
      <c r="A905" s="48"/>
      <c r="B905" s="51" t="s">
        <v>0</v>
      </c>
      <c r="C905" s="51" t="s">
        <v>0</v>
      </c>
      <c r="D905" s="24">
        <f>E905+F905+G905+H905+I905</f>
        <v>0</v>
      </c>
      <c r="E905" s="25"/>
      <c r="F905" s="25"/>
      <c r="G905" s="25"/>
      <c r="H905" s="25"/>
      <c r="I905" s="25"/>
      <c r="J905" s="53"/>
      <c r="K905" s="53"/>
      <c r="L905" s="53"/>
      <c r="M905" s="53"/>
      <c r="N905" s="53"/>
      <c r="O905" s="53"/>
      <c r="P905" s="53"/>
      <c r="Q905" s="57"/>
      <c r="R905" s="53"/>
      <c r="S905" s="53"/>
      <c r="T905" s="53"/>
      <c r="U905" s="53"/>
      <c r="V905" s="53"/>
    </row>
    <row r="906" spans="1:22" x14ac:dyDescent="0.2">
      <c r="A906" s="48"/>
      <c r="B906" s="51" t="s">
        <v>1</v>
      </c>
      <c r="C906" s="51" t="s">
        <v>1</v>
      </c>
      <c r="D906" s="24">
        <f>E906+F906+G906+H906+I906</f>
        <v>11744.84878</v>
      </c>
      <c r="E906" s="25">
        <f>2792.105+995.65354+7957.09024</f>
        <v>11744.84878</v>
      </c>
      <c r="F906" s="25"/>
      <c r="G906" s="25"/>
      <c r="H906" s="25"/>
      <c r="I906" s="25"/>
      <c r="J906" s="53"/>
      <c r="K906" s="53"/>
      <c r="L906" s="53"/>
      <c r="M906" s="53"/>
      <c r="N906" s="53"/>
      <c r="O906" s="53"/>
      <c r="P906" s="53"/>
      <c r="Q906" s="57"/>
      <c r="R906" s="53"/>
      <c r="S906" s="53"/>
      <c r="T906" s="53"/>
      <c r="U906" s="53"/>
      <c r="V906" s="53"/>
    </row>
    <row r="907" spans="1:22" x14ac:dyDescent="0.2">
      <c r="A907" s="48"/>
      <c r="B907" s="51" t="s">
        <v>2</v>
      </c>
      <c r="C907" s="51" t="s">
        <v>2</v>
      </c>
      <c r="D907" s="24">
        <f>E907+F907+G907+H907+I907</f>
        <v>0</v>
      </c>
      <c r="E907" s="25"/>
      <c r="F907" s="25"/>
      <c r="G907" s="25"/>
      <c r="H907" s="25"/>
      <c r="I907" s="25"/>
      <c r="J907" s="53"/>
      <c r="K907" s="53"/>
      <c r="L907" s="53"/>
      <c r="M907" s="53"/>
      <c r="N907" s="53"/>
      <c r="O907" s="53"/>
      <c r="P907" s="53"/>
      <c r="Q907" s="57"/>
      <c r="R907" s="53"/>
      <c r="S907" s="53"/>
      <c r="T907" s="53"/>
      <c r="U907" s="53"/>
      <c r="V907" s="53"/>
    </row>
    <row r="908" spans="1:22" ht="21.75" customHeight="1" x14ac:dyDescent="0.2">
      <c r="A908" s="48"/>
      <c r="B908" s="51" t="s">
        <v>3</v>
      </c>
      <c r="C908" s="51" t="s">
        <v>3</v>
      </c>
      <c r="D908" s="24">
        <f>E908+F908+G908+H908+I908</f>
        <v>0</v>
      </c>
      <c r="E908" s="25"/>
      <c r="F908" s="25"/>
      <c r="G908" s="25"/>
      <c r="H908" s="25"/>
      <c r="I908" s="25"/>
      <c r="J908" s="53"/>
      <c r="K908" s="53"/>
      <c r="L908" s="53"/>
      <c r="M908" s="53"/>
      <c r="N908" s="53"/>
      <c r="O908" s="53"/>
      <c r="P908" s="53"/>
      <c r="Q908" s="57"/>
      <c r="R908" s="53"/>
      <c r="S908" s="53"/>
      <c r="T908" s="53"/>
      <c r="U908" s="53"/>
      <c r="V908" s="53"/>
    </row>
    <row r="909" spans="1:22" ht="12.75" customHeight="1" x14ac:dyDescent="0.2">
      <c r="A909" s="48" t="s">
        <v>555</v>
      </c>
      <c r="B909" s="49" t="s">
        <v>19</v>
      </c>
      <c r="C909" s="49"/>
      <c r="D909" s="49"/>
      <c r="E909" s="49"/>
      <c r="F909" s="49"/>
      <c r="G909" s="49"/>
      <c r="H909" s="49"/>
      <c r="I909" s="49"/>
      <c r="J909" s="49"/>
      <c r="K909" s="49"/>
      <c r="L909" s="49"/>
      <c r="M909" s="49"/>
      <c r="N909" s="49"/>
      <c r="O909" s="49"/>
      <c r="P909" s="49"/>
      <c r="Q909" s="49"/>
      <c r="R909" s="49"/>
      <c r="S909" s="49"/>
      <c r="T909" s="49"/>
      <c r="U909" s="49"/>
      <c r="V909" s="49"/>
    </row>
    <row r="910" spans="1:22" ht="12.75" customHeight="1" x14ac:dyDescent="0.2">
      <c r="A910" s="48"/>
      <c r="B910" s="52" t="s">
        <v>463</v>
      </c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</row>
    <row r="911" spans="1:22" ht="56.25" customHeight="1" x14ac:dyDescent="0.2">
      <c r="A911" s="48"/>
      <c r="B911" s="50" t="s">
        <v>552</v>
      </c>
      <c r="C911" s="50" t="s">
        <v>552</v>
      </c>
      <c r="D911" s="50"/>
      <c r="E911" s="50"/>
      <c r="F911" s="50"/>
      <c r="G911" s="50"/>
      <c r="H911" s="50"/>
      <c r="I911" s="50"/>
      <c r="J911" s="53" t="s">
        <v>557</v>
      </c>
      <c r="K911" s="53" t="s">
        <v>60</v>
      </c>
      <c r="L911" s="53" t="s">
        <v>70</v>
      </c>
      <c r="M911" s="53" t="s">
        <v>588</v>
      </c>
      <c r="N911" s="53" t="s">
        <v>20</v>
      </c>
      <c r="O911" s="53" t="s">
        <v>19</v>
      </c>
      <c r="P911" s="53" t="s">
        <v>20</v>
      </c>
      <c r="Q911" s="57" t="s">
        <v>558</v>
      </c>
      <c r="R911" s="53" t="s">
        <v>11</v>
      </c>
      <c r="S911" s="53" t="s">
        <v>162</v>
      </c>
      <c r="T911" s="53" t="s">
        <v>18</v>
      </c>
      <c r="U911" s="53"/>
      <c r="V911" s="53" t="s">
        <v>677</v>
      </c>
    </row>
    <row r="912" spans="1:22" x14ac:dyDescent="0.2">
      <c r="A912" s="48"/>
      <c r="B912" s="51" t="s">
        <v>5</v>
      </c>
      <c r="C912" s="51" t="s">
        <v>5</v>
      </c>
      <c r="D912" s="24">
        <f>SUM(D913:D916)</f>
        <v>363.625</v>
      </c>
      <c r="E912" s="25">
        <f>SUM(E913:E916)</f>
        <v>363.625</v>
      </c>
      <c r="F912" s="25"/>
      <c r="G912" s="25"/>
      <c r="H912" s="25"/>
      <c r="I912" s="25"/>
      <c r="J912" s="53"/>
      <c r="K912" s="53"/>
      <c r="L912" s="53"/>
      <c r="M912" s="53"/>
      <c r="N912" s="53"/>
      <c r="O912" s="53"/>
      <c r="P912" s="53"/>
      <c r="Q912" s="57"/>
      <c r="R912" s="53"/>
      <c r="S912" s="53"/>
      <c r="T912" s="53"/>
      <c r="U912" s="53"/>
      <c r="V912" s="53"/>
    </row>
    <row r="913" spans="1:22" x14ac:dyDescent="0.2">
      <c r="A913" s="48"/>
      <c r="B913" s="51" t="s">
        <v>0</v>
      </c>
      <c r="C913" s="51" t="s">
        <v>0</v>
      </c>
      <c r="D913" s="24">
        <f>E913+F913+G913+H913+I913</f>
        <v>0</v>
      </c>
      <c r="E913" s="25"/>
      <c r="F913" s="25"/>
      <c r="G913" s="25"/>
      <c r="H913" s="25"/>
      <c r="I913" s="25"/>
      <c r="J913" s="53"/>
      <c r="K913" s="53"/>
      <c r="L913" s="53"/>
      <c r="M913" s="53"/>
      <c r="N913" s="53"/>
      <c r="O913" s="53"/>
      <c r="P913" s="53"/>
      <c r="Q913" s="57"/>
      <c r="R913" s="53"/>
      <c r="S913" s="53"/>
      <c r="T913" s="53"/>
      <c r="U913" s="53"/>
      <c r="V913" s="53"/>
    </row>
    <row r="914" spans="1:22" x14ac:dyDescent="0.2">
      <c r="A914" s="48"/>
      <c r="B914" s="51" t="s">
        <v>1</v>
      </c>
      <c r="C914" s="51" t="s">
        <v>1</v>
      </c>
      <c r="D914" s="24">
        <f>E914+F914+G914+H914+I914</f>
        <v>363.625</v>
      </c>
      <c r="E914" s="25">
        <v>363.625</v>
      </c>
      <c r="F914" s="25"/>
      <c r="G914" s="25"/>
      <c r="H914" s="25"/>
      <c r="I914" s="25"/>
      <c r="J914" s="53"/>
      <c r="K914" s="53"/>
      <c r="L914" s="53"/>
      <c r="M914" s="53"/>
      <c r="N914" s="53"/>
      <c r="O914" s="53"/>
      <c r="P914" s="53"/>
      <c r="Q914" s="57"/>
      <c r="R914" s="53"/>
      <c r="S914" s="53"/>
      <c r="T914" s="53"/>
      <c r="U914" s="53"/>
      <c r="V914" s="53"/>
    </row>
    <row r="915" spans="1:22" x14ac:dyDescent="0.2">
      <c r="A915" s="48"/>
      <c r="B915" s="51" t="s">
        <v>2</v>
      </c>
      <c r="C915" s="51" t="s">
        <v>2</v>
      </c>
      <c r="D915" s="24">
        <f>E915+F915+G915+H915+I915</f>
        <v>0</v>
      </c>
      <c r="E915" s="25"/>
      <c r="F915" s="25"/>
      <c r="G915" s="25"/>
      <c r="H915" s="25"/>
      <c r="I915" s="25"/>
      <c r="J915" s="53"/>
      <c r="K915" s="53"/>
      <c r="L915" s="53"/>
      <c r="M915" s="53"/>
      <c r="N915" s="53"/>
      <c r="O915" s="53"/>
      <c r="P915" s="53"/>
      <c r="Q915" s="57"/>
      <c r="R915" s="53"/>
      <c r="S915" s="53"/>
      <c r="T915" s="53"/>
      <c r="U915" s="53"/>
      <c r="V915" s="53"/>
    </row>
    <row r="916" spans="1:22" ht="21.75" customHeight="1" x14ac:dyDescent="0.2">
      <c r="A916" s="48"/>
      <c r="B916" s="51" t="s">
        <v>3</v>
      </c>
      <c r="C916" s="51" t="s">
        <v>3</v>
      </c>
      <c r="D916" s="24">
        <f>E916+F916+G916+H916+I916</f>
        <v>0</v>
      </c>
      <c r="E916" s="25"/>
      <c r="F916" s="25"/>
      <c r="G916" s="25"/>
      <c r="H916" s="25"/>
      <c r="I916" s="25"/>
      <c r="J916" s="53"/>
      <c r="K916" s="53"/>
      <c r="L916" s="53"/>
      <c r="M916" s="53"/>
      <c r="N916" s="53"/>
      <c r="O916" s="53"/>
      <c r="P916" s="53"/>
      <c r="Q916" s="57"/>
      <c r="R916" s="53"/>
      <c r="S916" s="53"/>
      <c r="T916" s="53"/>
      <c r="U916" s="53"/>
      <c r="V916" s="53"/>
    </row>
    <row r="917" spans="1:22" ht="12.75" customHeight="1" x14ac:dyDescent="0.2">
      <c r="A917" s="48" t="s">
        <v>591</v>
      </c>
      <c r="B917" s="49" t="s">
        <v>19</v>
      </c>
      <c r="C917" s="49"/>
      <c r="D917" s="49"/>
      <c r="E917" s="49"/>
      <c r="F917" s="49"/>
      <c r="G917" s="49"/>
      <c r="H917" s="49"/>
      <c r="I917" s="49"/>
      <c r="J917" s="49"/>
      <c r="K917" s="49"/>
      <c r="L917" s="49"/>
      <c r="M917" s="49"/>
      <c r="N917" s="49"/>
      <c r="O917" s="49"/>
      <c r="P917" s="49"/>
      <c r="Q917" s="49"/>
      <c r="R917" s="49"/>
      <c r="S917" s="49"/>
      <c r="T917" s="49"/>
      <c r="U917" s="49"/>
      <c r="V917" s="49"/>
    </row>
    <row r="918" spans="1:22" ht="12.75" customHeight="1" x14ac:dyDescent="0.2">
      <c r="A918" s="48"/>
      <c r="B918" s="52" t="s">
        <v>463</v>
      </c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</row>
    <row r="919" spans="1:22" ht="57" customHeight="1" x14ac:dyDescent="0.2">
      <c r="A919" s="48"/>
      <c r="B919" s="50" t="s">
        <v>556</v>
      </c>
      <c r="C919" s="50" t="s">
        <v>556</v>
      </c>
      <c r="D919" s="50"/>
      <c r="E919" s="50"/>
      <c r="F919" s="50"/>
      <c r="G919" s="50"/>
      <c r="H919" s="50"/>
      <c r="I919" s="50"/>
      <c r="J919" s="53" t="s">
        <v>559</v>
      </c>
      <c r="K919" s="53" t="s">
        <v>60</v>
      </c>
      <c r="L919" s="53" t="s">
        <v>70</v>
      </c>
      <c r="M919" s="53" t="s">
        <v>590</v>
      </c>
      <c r="N919" s="53" t="s">
        <v>20</v>
      </c>
      <c r="O919" s="53" t="s">
        <v>19</v>
      </c>
      <c r="P919" s="53" t="s">
        <v>20</v>
      </c>
      <c r="Q919" s="57" t="s">
        <v>560</v>
      </c>
      <c r="R919" s="53" t="s">
        <v>11</v>
      </c>
      <c r="S919" s="53" t="s">
        <v>162</v>
      </c>
      <c r="T919" s="53" t="s">
        <v>18</v>
      </c>
      <c r="U919" s="53"/>
      <c r="V919" s="53" t="s">
        <v>678</v>
      </c>
    </row>
    <row r="920" spans="1:22" x14ac:dyDescent="0.2">
      <c r="A920" s="48"/>
      <c r="B920" s="51" t="s">
        <v>5</v>
      </c>
      <c r="C920" s="51" t="s">
        <v>5</v>
      </c>
      <c r="D920" s="24">
        <f>SUM(D921:D924)</f>
        <v>315.053</v>
      </c>
      <c r="E920" s="25">
        <f>SUM(E921:E924)</f>
        <v>315.053</v>
      </c>
      <c r="F920" s="25"/>
      <c r="G920" s="25"/>
      <c r="H920" s="25"/>
      <c r="I920" s="25"/>
      <c r="J920" s="53"/>
      <c r="K920" s="53"/>
      <c r="L920" s="53"/>
      <c r="M920" s="53"/>
      <c r="N920" s="53"/>
      <c r="O920" s="53"/>
      <c r="P920" s="53"/>
      <c r="Q920" s="57"/>
      <c r="R920" s="53"/>
      <c r="S920" s="53"/>
      <c r="T920" s="53"/>
      <c r="U920" s="53"/>
      <c r="V920" s="53"/>
    </row>
    <row r="921" spans="1:22" x14ac:dyDescent="0.2">
      <c r="A921" s="48"/>
      <c r="B921" s="51" t="s">
        <v>0</v>
      </c>
      <c r="C921" s="51" t="s">
        <v>0</v>
      </c>
      <c r="D921" s="24">
        <f>E921+F921+G921+H921+I921</f>
        <v>0</v>
      </c>
      <c r="E921" s="25"/>
      <c r="F921" s="25"/>
      <c r="G921" s="25"/>
      <c r="H921" s="25"/>
      <c r="I921" s="25"/>
      <c r="J921" s="53"/>
      <c r="K921" s="53"/>
      <c r="L921" s="53"/>
      <c r="M921" s="53"/>
      <c r="N921" s="53"/>
      <c r="O921" s="53"/>
      <c r="P921" s="53"/>
      <c r="Q921" s="57"/>
      <c r="R921" s="53"/>
      <c r="S921" s="53"/>
      <c r="T921" s="53"/>
      <c r="U921" s="53"/>
      <c r="V921" s="53"/>
    </row>
    <row r="922" spans="1:22" x14ac:dyDescent="0.2">
      <c r="A922" s="48"/>
      <c r="B922" s="51" t="s">
        <v>1</v>
      </c>
      <c r="C922" s="51" t="s">
        <v>1</v>
      </c>
      <c r="D922" s="24">
        <f>E922+F922+G922+H922+I922</f>
        <v>315.053</v>
      </c>
      <c r="E922" s="25">
        <v>315.053</v>
      </c>
      <c r="F922" s="25"/>
      <c r="G922" s="25"/>
      <c r="H922" s="25"/>
      <c r="I922" s="25"/>
      <c r="J922" s="53"/>
      <c r="K922" s="53"/>
      <c r="L922" s="53"/>
      <c r="M922" s="53"/>
      <c r="N922" s="53"/>
      <c r="O922" s="53"/>
      <c r="P922" s="53"/>
      <c r="Q922" s="57"/>
      <c r="R922" s="53"/>
      <c r="S922" s="53"/>
      <c r="T922" s="53"/>
      <c r="U922" s="53"/>
      <c r="V922" s="53"/>
    </row>
    <row r="923" spans="1:22" x14ac:dyDescent="0.2">
      <c r="A923" s="48"/>
      <c r="B923" s="51" t="s">
        <v>2</v>
      </c>
      <c r="C923" s="51" t="s">
        <v>2</v>
      </c>
      <c r="D923" s="24">
        <f>E923+F923+G923+H923+I923</f>
        <v>0</v>
      </c>
      <c r="E923" s="25"/>
      <c r="F923" s="25"/>
      <c r="G923" s="25"/>
      <c r="H923" s="25"/>
      <c r="I923" s="25"/>
      <c r="J923" s="53"/>
      <c r="K923" s="53"/>
      <c r="L923" s="53"/>
      <c r="M923" s="53"/>
      <c r="N923" s="53"/>
      <c r="O923" s="53"/>
      <c r="P923" s="53"/>
      <c r="Q923" s="57"/>
      <c r="R923" s="53"/>
      <c r="S923" s="53"/>
      <c r="T923" s="53"/>
      <c r="U923" s="53"/>
      <c r="V923" s="53"/>
    </row>
    <row r="924" spans="1:22" ht="21.75" customHeight="1" x14ac:dyDescent="0.2">
      <c r="A924" s="48"/>
      <c r="B924" s="51" t="s">
        <v>3</v>
      </c>
      <c r="C924" s="51" t="s">
        <v>3</v>
      </c>
      <c r="D924" s="24">
        <f>E924+F924+G924+H924+I924</f>
        <v>0</v>
      </c>
      <c r="E924" s="25"/>
      <c r="F924" s="25"/>
      <c r="G924" s="25"/>
      <c r="H924" s="25"/>
      <c r="I924" s="25"/>
      <c r="J924" s="53"/>
      <c r="K924" s="53"/>
      <c r="L924" s="53"/>
      <c r="M924" s="53"/>
      <c r="N924" s="53"/>
      <c r="O924" s="53"/>
      <c r="P924" s="53"/>
      <c r="Q924" s="57"/>
      <c r="R924" s="53"/>
      <c r="S924" s="53"/>
      <c r="T924" s="53"/>
      <c r="U924" s="53"/>
      <c r="V924" s="53"/>
    </row>
    <row r="925" spans="1:22" ht="12.75" customHeight="1" x14ac:dyDescent="0.2">
      <c r="A925" s="48" t="s">
        <v>592</v>
      </c>
      <c r="B925" s="49" t="s">
        <v>19</v>
      </c>
      <c r="C925" s="49"/>
      <c r="D925" s="49"/>
      <c r="E925" s="49"/>
      <c r="F925" s="49"/>
      <c r="G925" s="49"/>
      <c r="H925" s="49"/>
      <c r="I925" s="49"/>
      <c r="J925" s="49"/>
      <c r="K925" s="49"/>
      <c r="L925" s="49"/>
      <c r="M925" s="49"/>
      <c r="N925" s="49"/>
      <c r="O925" s="49"/>
      <c r="P925" s="49"/>
      <c r="Q925" s="49"/>
      <c r="R925" s="49"/>
      <c r="S925" s="49"/>
      <c r="T925" s="49"/>
      <c r="U925" s="49"/>
      <c r="V925" s="49"/>
    </row>
    <row r="926" spans="1:22" ht="12.75" customHeight="1" x14ac:dyDescent="0.2">
      <c r="A926" s="48"/>
      <c r="B926" s="52" t="s">
        <v>463</v>
      </c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</row>
    <row r="927" spans="1:22" ht="62.25" customHeight="1" x14ac:dyDescent="0.2">
      <c r="A927" s="48"/>
      <c r="B927" s="50" t="s">
        <v>604</v>
      </c>
      <c r="C927" s="50" t="s">
        <v>604</v>
      </c>
      <c r="D927" s="50"/>
      <c r="E927" s="50"/>
      <c r="F927" s="50"/>
      <c r="G927" s="50"/>
      <c r="H927" s="50"/>
      <c r="I927" s="50"/>
      <c r="J927" s="53" t="s">
        <v>284</v>
      </c>
      <c r="K927" s="53"/>
      <c r="L927" s="53" t="s">
        <v>70</v>
      </c>
      <c r="M927" s="53" t="s">
        <v>121</v>
      </c>
      <c r="N927" s="53" t="s">
        <v>20</v>
      </c>
      <c r="O927" s="53" t="s">
        <v>19</v>
      </c>
      <c r="P927" s="53" t="s">
        <v>20</v>
      </c>
      <c r="Q927" s="57"/>
      <c r="R927" s="53" t="s">
        <v>11</v>
      </c>
      <c r="S927" s="53" t="s">
        <v>10</v>
      </c>
      <c r="T927" s="53" t="s">
        <v>388</v>
      </c>
      <c r="U927" s="53"/>
      <c r="V927" s="53"/>
    </row>
    <row r="928" spans="1:22" x14ac:dyDescent="0.2">
      <c r="A928" s="48"/>
      <c r="B928" s="51" t="s">
        <v>5</v>
      </c>
      <c r="C928" s="51" t="s">
        <v>5</v>
      </c>
      <c r="D928" s="24">
        <f>SUM(D929:D932)</f>
        <v>10000</v>
      </c>
      <c r="E928" s="25"/>
      <c r="F928" s="25">
        <f>SUM(F929:F932)</f>
        <v>10000</v>
      </c>
      <c r="G928" s="25"/>
      <c r="H928" s="25"/>
      <c r="I928" s="25"/>
      <c r="J928" s="53"/>
      <c r="K928" s="53"/>
      <c r="L928" s="53"/>
      <c r="M928" s="53"/>
      <c r="N928" s="53"/>
      <c r="O928" s="53"/>
      <c r="P928" s="53"/>
      <c r="Q928" s="57"/>
      <c r="R928" s="53"/>
      <c r="S928" s="53"/>
      <c r="T928" s="53"/>
      <c r="U928" s="53"/>
      <c r="V928" s="53"/>
    </row>
    <row r="929" spans="1:22" x14ac:dyDescent="0.2">
      <c r="A929" s="48"/>
      <c r="B929" s="51" t="s">
        <v>0</v>
      </c>
      <c r="C929" s="51" t="s">
        <v>0</v>
      </c>
      <c r="D929" s="24">
        <f>E929+F929+G929+H929+I929</f>
        <v>0</v>
      </c>
      <c r="E929" s="25"/>
      <c r="F929" s="25"/>
      <c r="G929" s="25"/>
      <c r="H929" s="25"/>
      <c r="I929" s="25"/>
      <c r="J929" s="53"/>
      <c r="K929" s="53"/>
      <c r="L929" s="53"/>
      <c r="M929" s="53"/>
      <c r="N929" s="53"/>
      <c r="O929" s="53"/>
      <c r="P929" s="53"/>
      <c r="Q929" s="57"/>
      <c r="R929" s="53"/>
      <c r="S929" s="53"/>
      <c r="T929" s="53"/>
      <c r="U929" s="53"/>
      <c r="V929" s="53"/>
    </row>
    <row r="930" spans="1:22" x14ac:dyDescent="0.2">
      <c r="A930" s="48"/>
      <c r="B930" s="51" t="s">
        <v>1</v>
      </c>
      <c r="C930" s="51" t="s">
        <v>1</v>
      </c>
      <c r="D930" s="24">
        <f>E930+F930+G930+H930+I930</f>
        <v>10000</v>
      </c>
      <c r="E930" s="25"/>
      <c r="F930" s="25">
        <f>0+10000</f>
        <v>10000</v>
      </c>
      <c r="G930" s="25"/>
      <c r="H930" s="25"/>
      <c r="I930" s="25"/>
      <c r="J930" s="53"/>
      <c r="K930" s="53"/>
      <c r="L930" s="53"/>
      <c r="M930" s="53"/>
      <c r="N930" s="53"/>
      <c r="O930" s="53"/>
      <c r="P930" s="53"/>
      <c r="Q930" s="57"/>
      <c r="R930" s="53"/>
      <c r="S930" s="53"/>
      <c r="T930" s="53"/>
      <c r="U930" s="53"/>
      <c r="V930" s="53"/>
    </row>
    <row r="931" spans="1:22" x14ac:dyDescent="0.2">
      <c r="A931" s="48"/>
      <c r="B931" s="51" t="s">
        <v>2</v>
      </c>
      <c r="C931" s="51" t="s">
        <v>2</v>
      </c>
      <c r="D931" s="24">
        <f>E931+F931+G931+H931+I931</f>
        <v>0</v>
      </c>
      <c r="E931" s="25"/>
      <c r="F931" s="25"/>
      <c r="G931" s="25"/>
      <c r="H931" s="25"/>
      <c r="I931" s="25"/>
      <c r="J931" s="53"/>
      <c r="K931" s="53"/>
      <c r="L931" s="53"/>
      <c r="M931" s="53"/>
      <c r="N931" s="53"/>
      <c r="O931" s="53"/>
      <c r="P931" s="53"/>
      <c r="Q931" s="57"/>
      <c r="R931" s="53"/>
      <c r="S931" s="53"/>
      <c r="T931" s="53"/>
      <c r="U931" s="53"/>
      <c r="V931" s="53"/>
    </row>
    <row r="932" spans="1:22" ht="21.75" customHeight="1" x14ac:dyDescent="0.2">
      <c r="A932" s="48"/>
      <c r="B932" s="51" t="s">
        <v>3</v>
      </c>
      <c r="C932" s="51" t="s">
        <v>3</v>
      </c>
      <c r="D932" s="24">
        <f>E932+F932+G932+H932+I932</f>
        <v>0</v>
      </c>
      <c r="E932" s="25"/>
      <c r="F932" s="25"/>
      <c r="G932" s="25"/>
      <c r="H932" s="25"/>
      <c r="I932" s="25"/>
      <c r="J932" s="53"/>
      <c r="K932" s="53"/>
      <c r="L932" s="53"/>
      <c r="M932" s="53"/>
      <c r="N932" s="53"/>
      <c r="O932" s="53"/>
      <c r="P932" s="53"/>
      <c r="Q932" s="57"/>
      <c r="R932" s="53"/>
      <c r="S932" s="53"/>
      <c r="T932" s="53"/>
      <c r="U932" s="53"/>
      <c r="V932" s="53"/>
    </row>
    <row r="933" spans="1:22" ht="12.75" customHeight="1" x14ac:dyDescent="0.2">
      <c r="A933" s="48" t="s">
        <v>605</v>
      </c>
      <c r="B933" s="49" t="s">
        <v>19</v>
      </c>
      <c r="C933" s="49"/>
      <c r="D933" s="49"/>
      <c r="E933" s="49"/>
      <c r="F933" s="49"/>
      <c r="G933" s="49"/>
      <c r="H933" s="49"/>
      <c r="I933" s="49"/>
      <c r="J933" s="49"/>
      <c r="K933" s="49"/>
      <c r="L933" s="49"/>
      <c r="M933" s="49"/>
      <c r="N933" s="49"/>
      <c r="O933" s="49"/>
      <c r="P933" s="49"/>
      <c r="Q933" s="49"/>
      <c r="R933" s="49"/>
      <c r="S933" s="49"/>
      <c r="T933" s="49"/>
      <c r="U933" s="49"/>
      <c r="V933" s="49"/>
    </row>
    <row r="934" spans="1:22" ht="12.75" customHeight="1" x14ac:dyDescent="0.2">
      <c r="A934" s="48"/>
      <c r="B934" s="52" t="s">
        <v>477</v>
      </c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</row>
    <row r="935" spans="1:22" ht="60.75" customHeight="1" x14ac:dyDescent="0.2">
      <c r="A935" s="48"/>
      <c r="B935" s="50" t="s">
        <v>618</v>
      </c>
      <c r="C935" s="50" t="s">
        <v>618</v>
      </c>
      <c r="D935" s="50"/>
      <c r="E935" s="50"/>
      <c r="F935" s="50"/>
      <c r="G935" s="50"/>
      <c r="H935" s="50"/>
      <c r="I935" s="50"/>
      <c r="J935" s="53" t="s">
        <v>76</v>
      </c>
      <c r="K935" s="53"/>
      <c r="L935" s="53" t="s">
        <v>69</v>
      </c>
      <c r="M935" s="53" t="s">
        <v>695</v>
      </c>
      <c r="N935" s="53" t="s">
        <v>19</v>
      </c>
      <c r="O935" s="53" t="s">
        <v>19</v>
      </c>
      <c r="P935" s="53" t="s">
        <v>19</v>
      </c>
      <c r="Q935" s="57" t="s">
        <v>619</v>
      </c>
      <c r="R935" s="53" t="s">
        <v>11</v>
      </c>
      <c r="S935" s="53" t="s">
        <v>14</v>
      </c>
      <c r="T935" s="53" t="s">
        <v>101</v>
      </c>
      <c r="U935" s="53"/>
      <c r="V935" s="53"/>
    </row>
    <row r="936" spans="1:22" x14ac:dyDescent="0.2">
      <c r="A936" s="48"/>
      <c r="B936" s="51" t="s">
        <v>5</v>
      </c>
      <c r="C936" s="51" t="s">
        <v>5</v>
      </c>
      <c r="D936" s="24">
        <f>SUM(D937:D940)</f>
        <v>85380</v>
      </c>
      <c r="E936" s="25">
        <f>SUM(E937:E940)</f>
        <v>85380</v>
      </c>
      <c r="F936" s="25">
        <f>SUM(F937:F940)</f>
        <v>0</v>
      </c>
      <c r="G936" s="25">
        <f>SUM(G937:G940)</f>
        <v>0</v>
      </c>
      <c r="H936" s="25">
        <f>SUM(H937:H940)</f>
        <v>0</v>
      </c>
      <c r="I936" s="25"/>
      <c r="J936" s="53"/>
      <c r="K936" s="53"/>
      <c r="L936" s="53"/>
      <c r="M936" s="53"/>
      <c r="N936" s="53"/>
      <c r="O936" s="53"/>
      <c r="P936" s="53"/>
      <c r="Q936" s="57"/>
      <c r="R936" s="53"/>
      <c r="S936" s="53"/>
      <c r="T936" s="53"/>
      <c r="U936" s="53"/>
      <c r="V936" s="53"/>
    </row>
    <row r="937" spans="1:22" x14ac:dyDescent="0.2">
      <c r="A937" s="48"/>
      <c r="B937" s="51" t="s">
        <v>0</v>
      </c>
      <c r="C937" s="51" t="s">
        <v>0</v>
      </c>
      <c r="D937" s="24">
        <f>E937+F937+G937+H937+I937</f>
        <v>0</v>
      </c>
      <c r="E937" s="25"/>
      <c r="F937" s="25"/>
      <c r="G937" s="25"/>
      <c r="H937" s="25"/>
      <c r="I937" s="25"/>
      <c r="J937" s="53"/>
      <c r="K937" s="53"/>
      <c r="L937" s="53"/>
      <c r="M937" s="53"/>
      <c r="N937" s="53"/>
      <c r="O937" s="53"/>
      <c r="P937" s="53"/>
      <c r="Q937" s="57"/>
      <c r="R937" s="53"/>
      <c r="S937" s="53"/>
      <c r="T937" s="53"/>
      <c r="U937" s="53"/>
      <c r="V937" s="53"/>
    </row>
    <row r="938" spans="1:22" x14ac:dyDescent="0.2">
      <c r="A938" s="48"/>
      <c r="B938" s="51" t="s">
        <v>1</v>
      </c>
      <c r="C938" s="51" t="s">
        <v>1</v>
      </c>
      <c r="D938" s="24">
        <f>E938+F938+G938+H938+I938</f>
        <v>85380</v>
      </c>
      <c r="E938" s="25">
        <f>0+85380</f>
        <v>85380</v>
      </c>
      <c r="F938" s="25"/>
      <c r="G938" s="25"/>
      <c r="H938" s="25"/>
      <c r="I938" s="25"/>
      <c r="J938" s="53"/>
      <c r="K938" s="53"/>
      <c r="L938" s="53"/>
      <c r="M938" s="53"/>
      <c r="N938" s="53"/>
      <c r="O938" s="53"/>
      <c r="P938" s="53"/>
      <c r="Q938" s="57"/>
      <c r="R938" s="53"/>
      <c r="S938" s="53"/>
      <c r="T938" s="53"/>
      <c r="U938" s="53"/>
      <c r="V938" s="53"/>
    </row>
    <row r="939" spans="1:22" x14ac:dyDescent="0.2">
      <c r="A939" s="48"/>
      <c r="B939" s="51" t="s">
        <v>2</v>
      </c>
      <c r="C939" s="51" t="s">
        <v>2</v>
      </c>
      <c r="D939" s="24">
        <f>E939+F939+G939+H939+I939</f>
        <v>0</v>
      </c>
      <c r="E939" s="25"/>
      <c r="F939" s="25"/>
      <c r="G939" s="25"/>
      <c r="H939" s="25"/>
      <c r="I939" s="25"/>
      <c r="J939" s="53"/>
      <c r="K939" s="53"/>
      <c r="L939" s="53"/>
      <c r="M939" s="53"/>
      <c r="N939" s="53"/>
      <c r="O939" s="53"/>
      <c r="P939" s="53"/>
      <c r="Q939" s="57"/>
      <c r="R939" s="53"/>
      <c r="S939" s="53"/>
      <c r="T939" s="53"/>
      <c r="U939" s="53"/>
      <c r="V939" s="53"/>
    </row>
    <row r="940" spans="1:22" ht="21.75" customHeight="1" x14ac:dyDescent="0.2">
      <c r="A940" s="48"/>
      <c r="B940" s="51" t="s">
        <v>3</v>
      </c>
      <c r="C940" s="51" t="s">
        <v>3</v>
      </c>
      <c r="D940" s="24">
        <f>E940+F940+G940+H940+I940</f>
        <v>0</v>
      </c>
      <c r="E940" s="25"/>
      <c r="F940" s="25"/>
      <c r="G940" s="25"/>
      <c r="H940" s="25"/>
      <c r="I940" s="25"/>
      <c r="J940" s="53"/>
      <c r="K940" s="53"/>
      <c r="L940" s="53"/>
      <c r="M940" s="53"/>
      <c r="N940" s="53"/>
      <c r="O940" s="53"/>
      <c r="P940" s="53"/>
      <c r="Q940" s="57"/>
      <c r="R940" s="53"/>
      <c r="S940" s="53"/>
      <c r="T940" s="53"/>
      <c r="U940" s="53"/>
      <c r="V940" s="53"/>
    </row>
    <row r="941" spans="1:22" x14ac:dyDescent="0.2">
      <c r="A941" s="48" t="s">
        <v>687</v>
      </c>
      <c r="B941" s="49" t="s">
        <v>19</v>
      </c>
      <c r="C941" s="49"/>
      <c r="D941" s="49"/>
      <c r="E941" s="49"/>
      <c r="F941" s="49"/>
      <c r="G941" s="49"/>
      <c r="H941" s="49"/>
      <c r="I941" s="49"/>
      <c r="J941" s="49"/>
      <c r="K941" s="49"/>
      <c r="L941" s="49"/>
      <c r="M941" s="49"/>
      <c r="N941" s="49"/>
      <c r="O941" s="49"/>
      <c r="P941" s="49"/>
      <c r="Q941" s="49"/>
      <c r="R941" s="49"/>
      <c r="S941" s="49"/>
      <c r="T941" s="49"/>
      <c r="U941" s="49"/>
      <c r="V941" s="49"/>
    </row>
    <row r="942" spans="1:22" x14ac:dyDescent="0.2">
      <c r="A942" s="48"/>
      <c r="B942" s="52" t="s">
        <v>463</v>
      </c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</row>
    <row r="943" spans="1:22" ht="75.75" customHeight="1" x14ac:dyDescent="0.2">
      <c r="A943" s="48"/>
      <c r="B943" s="50" t="s">
        <v>689</v>
      </c>
      <c r="C943" s="50" t="s">
        <v>573</v>
      </c>
      <c r="D943" s="50"/>
      <c r="E943" s="50"/>
      <c r="F943" s="50"/>
      <c r="G943" s="50"/>
      <c r="H943" s="50"/>
      <c r="I943" s="50"/>
      <c r="J943" s="53"/>
      <c r="K943" s="53" t="s">
        <v>60</v>
      </c>
      <c r="L943" s="53" t="s">
        <v>70</v>
      </c>
      <c r="M943" s="53" t="s">
        <v>691</v>
      </c>
      <c r="N943" s="53" t="s">
        <v>20</v>
      </c>
      <c r="O943" s="53" t="s">
        <v>19</v>
      </c>
      <c r="P943" s="53" t="s">
        <v>20</v>
      </c>
      <c r="Q943" s="57" t="s">
        <v>692</v>
      </c>
      <c r="R943" s="53" t="s">
        <v>11</v>
      </c>
      <c r="S943" s="53" t="s">
        <v>12</v>
      </c>
      <c r="T943" s="53" t="s">
        <v>388</v>
      </c>
      <c r="U943" s="53"/>
      <c r="V943" s="53"/>
    </row>
    <row r="944" spans="1:22" x14ac:dyDescent="0.2">
      <c r="A944" s="48"/>
      <c r="B944" s="51" t="s">
        <v>5</v>
      </c>
      <c r="C944" s="51" t="s">
        <v>5</v>
      </c>
      <c r="D944" s="24">
        <f>SUM(D945:D948)</f>
        <v>211.20302000000001</v>
      </c>
      <c r="E944" s="25">
        <f>SUM(E945:E948)</f>
        <v>211.20302000000001</v>
      </c>
      <c r="F944" s="25"/>
      <c r="G944" s="25"/>
      <c r="H944" s="25"/>
      <c r="I944" s="25"/>
      <c r="J944" s="53"/>
      <c r="K944" s="53"/>
      <c r="L944" s="53"/>
      <c r="M944" s="53"/>
      <c r="N944" s="53"/>
      <c r="O944" s="53"/>
      <c r="P944" s="53"/>
      <c r="Q944" s="57"/>
      <c r="R944" s="53"/>
      <c r="S944" s="53"/>
      <c r="T944" s="53"/>
      <c r="U944" s="53"/>
      <c r="V944" s="53"/>
    </row>
    <row r="945" spans="1:22" x14ac:dyDescent="0.2">
      <c r="A945" s="48"/>
      <c r="B945" s="51" t="s">
        <v>0</v>
      </c>
      <c r="C945" s="51" t="s">
        <v>0</v>
      </c>
      <c r="D945" s="24">
        <f>E945+F945+G945+H945+I945</f>
        <v>0</v>
      </c>
      <c r="E945" s="25"/>
      <c r="F945" s="25"/>
      <c r="G945" s="25"/>
      <c r="H945" s="25"/>
      <c r="I945" s="25"/>
      <c r="J945" s="53"/>
      <c r="K945" s="53"/>
      <c r="L945" s="53"/>
      <c r="M945" s="53"/>
      <c r="N945" s="53"/>
      <c r="O945" s="53"/>
      <c r="P945" s="53"/>
      <c r="Q945" s="57"/>
      <c r="R945" s="53"/>
      <c r="S945" s="53"/>
      <c r="T945" s="53"/>
      <c r="U945" s="53"/>
      <c r="V945" s="53"/>
    </row>
    <row r="946" spans="1:22" x14ac:dyDescent="0.2">
      <c r="A946" s="48"/>
      <c r="B946" s="51" t="s">
        <v>1</v>
      </c>
      <c r="C946" s="51" t="s">
        <v>1</v>
      </c>
      <c r="D946" s="24">
        <f>E946+F946+G946+H946+I946</f>
        <v>211.20302000000001</v>
      </c>
      <c r="E946" s="25">
        <f>0+211.20302</f>
        <v>211.20302000000001</v>
      </c>
      <c r="F946" s="25"/>
      <c r="G946" s="25"/>
      <c r="H946" s="25"/>
      <c r="I946" s="25"/>
      <c r="J946" s="53"/>
      <c r="K946" s="53"/>
      <c r="L946" s="53"/>
      <c r="M946" s="53"/>
      <c r="N946" s="53"/>
      <c r="O946" s="53"/>
      <c r="P946" s="53"/>
      <c r="Q946" s="57"/>
      <c r="R946" s="53"/>
      <c r="S946" s="53"/>
      <c r="T946" s="53"/>
      <c r="U946" s="53"/>
      <c r="V946" s="53"/>
    </row>
    <row r="947" spans="1:22" x14ac:dyDescent="0.2">
      <c r="A947" s="48"/>
      <c r="B947" s="51" t="s">
        <v>2</v>
      </c>
      <c r="C947" s="51" t="s">
        <v>2</v>
      </c>
      <c r="D947" s="24">
        <f>E947+F947+G947+H947+I947</f>
        <v>0</v>
      </c>
      <c r="E947" s="25"/>
      <c r="F947" s="25"/>
      <c r="G947" s="25"/>
      <c r="H947" s="25"/>
      <c r="I947" s="25"/>
      <c r="J947" s="53"/>
      <c r="K947" s="53"/>
      <c r="L947" s="53"/>
      <c r="M947" s="53"/>
      <c r="N947" s="53"/>
      <c r="O947" s="53"/>
      <c r="P947" s="53"/>
      <c r="Q947" s="57"/>
      <c r="R947" s="53"/>
      <c r="S947" s="53"/>
      <c r="T947" s="53"/>
      <c r="U947" s="53"/>
      <c r="V947" s="53"/>
    </row>
    <row r="948" spans="1:22" x14ac:dyDescent="0.2">
      <c r="A948" s="48"/>
      <c r="B948" s="51" t="s">
        <v>3</v>
      </c>
      <c r="C948" s="51" t="s">
        <v>3</v>
      </c>
      <c r="D948" s="24">
        <f>E948+F948+G948+H948+I948</f>
        <v>0</v>
      </c>
      <c r="E948" s="25"/>
      <c r="F948" s="25"/>
      <c r="G948" s="25"/>
      <c r="H948" s="25"/>
      <c r="I948" s="25"/>
      <c r="J948" s="53"/>
      <c r="K948" s="53"/>
      <c r="L948" s="53"/>
      <c r="M948" s="53"/>
      <c r="N948" s="53"/>
      <c r="O948" s="53"/>
      <c r="P948" s="53"/>
      <c r="Q948" s="57"/>
      <c r="R948" s="53"/>
      <c r="S948" s="53"/>
      <c r="T948" s="53"/>
      <c r="U948" s="53"/>
      <c r="V948" s="53"/>
    </row>
    <row r="949" spans="1:22" x14ac:dyDescent="0.2">
      <c r="A949" s="48" t="s">
        <v>688</v>
      </c>
      <c r="B949" s="49" t="s">
        <v>19</v>
      </c>
      <c r="C949" s="49"/>
      <c r="D949" s="49"/>
      <c r="E949" s="49"/>
      <c r="F949" s="49"/>
      <c r="G949" s="49"/>
      <c r="H949" s="49"/>
      <c r="I949" s="49"/>
      <c r="J949" s="49"/>
      <c r="K949" s="49"/>
      <c r="L949" s="49"/>
      <c r="M949" s="49"/>
      <c r="N949" s="49"/>
      <c r="O949" s="49"/>
      <c r="P949" s="49"/>
      <c r="Q949" s="49"/>
      <c r="R949" s="49"/>
      <c r="S949" s="49"/>
      <c r="T949" s="49"/>
      <c r="U949" s="49"/>
      <c r="V949" s="49"/>
    </row>
    <row r="950" spans="1:22" x14ac:dyDescent="0.2">
      <c r="A950" s="48"/>
      <c r="B950" s="52" t="s">
        <v>463</v>
      </c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</row>
    <row r="951" spans="1:22" ht="79.5" customHeight="1" x14ac:dyDescent="0.2">
      <c r="A951" s="48"/>
      <c r="B951" s="50" t="s">
        <v>690</v>
      </c>
      <c r="C951" s="50" t="s">
        <v>579</v>
      </c>
      <c r="D951" s="50"/>
      <c r="E951" s="50"/>
      <c r="F951" s="50"/>
      <c r="G951" s="50"/>
      <c r="H951" s="50"/>
      <c r="I951" s="50"/>
      <c r="J951" s="53"/>
      <c r="K951" s="53" t="s">
        <v>60</v>
      </c>
      <c r="L951" s="53" t="s">
        <v>70</v>
      </c>
      <c r="M951" s="53" t="s">
        <v>694</v>
      </c>
      <c r="N951" s="53" t="s">
        <v>20</v>
      </c>
      <c r="O951" s="53" t="s">
        <v>19</v>
      </c>
      <c r="P951" s="53" t="s">
        <v>20</v>
      </c>
      <c r="Q951" s="57" t="s">
        <v>693</v>
      </c>
      <c r="R951" s="53" t="s">
        <v>11</v>
      </c>
      <c r="S951" s="53" t="s">
        <v>12</v>
      </c>
      <c r="T951" s="53" t="s">
        <v>388</v>
      </c>
      <c r="U951" s="53"/>
      <c r="V951" s="53"/>
    </row>
    <row r="952" spans="1:22" x14ac:dyDescent="0.2">
      <c r="A952" s="48"/>
      <c r="B952" s="51" t="s">
        <v>5</v>
      </c>
      <c r="C952" s="51" t="s">
        <v>5</v>
      </c>
      <c r="D952" s="24">
        <f>SUM(D953:D956)</f>
        <v>195.73464999999999</v>
      </c>
      <c r="E952" s="25">
        <f>SUM(E953:E956)</f>
        <v>195.73464999999999</v>
      </c>
      <c r="F952" s="25"/>
      <c r="G952" s="25"/>
      <c r="H952" s="25"/>
      <c r="I952" s="25"/>
      <c r="J952" s="53"/>
      <c r="K952" s="53"/>
      <c r="L952" s="53"/>
      <c r="M952" s="53"/>
      <c r="N952" s="53"/>
      <c r="O952" s="53"/>
      <c r="P952" s="53"/>
      <c r="Q952" s="57"/>
      <c r="R952" s="53"/>
      <c r="S952" s="53"/>
      <c r="T952" s="53"/>
      <c r="U952" s="53"/>
      <c r="V952" s="53"/>
    </row>
    <row r="953" spans="1:22" x14ac:dyDescent="0.2">
      <c r="A953" s="48"/>
      <c r="B953" s="51" t="s">
        <v>0</v>
      </c>
      <c r="C953" s="51" t="s">
        <v>0</v>
      </c>
      <c r="D953" s="24">
        <f>E953+F953+G953+H953+I953</f>
        <v>0</v>
      </c>
      <c r="E953" s="25"/>
      <c r="F953" s="25"/>
      <c r="G953" s="25"/>
      <c r="H953" s="25"/>
      <c r="I953" s="25"/>
      <c r="J953" s="53"/>
      <c r="K953" s="53"/>
      <c r="L953" s="53"/>
      <c r="M953" s="53"/>
      <c r="N953" s="53"/>
      <c r="O953" s="53"/>
      <c r="P953" s="53"/>
      <c r="Q953" s="57"/>
      <c r="R953" s="53"/>
      <c r="S953" s="53"/>
      <c r="T953" s="53"/>
      <c r="U953" s="53"/>
      <c r="V953" s="53"/>
    </row>
    <row r="954" spans="1:22" x14ac:dyDescent="0.2">
      <c r="A954" s="48"/>
      <c r="B954" s="51" t="s">
        <v>1</v>
      </c>
      <c r="C954" s="51" t="s">
        <v>1</v>
      </c>
      <c r="D954" s="24">
        <f>E954+F954+G954+H954+I954</f>
        <v>195.73464999999999</v>
      </c>
      <c r="E954" s="25">
        <f>0+195.73465</f>
        <v>195.73464999999999</v>
      </c>
      <c r="F954" s="25"/>
      <c r="G954" s="25"/>
      <c r="H954" s="25"/>
      <c r="I954" s="25"/>
      <c r="J954" s="53"/>
      <c r="K954" s="53"/>
      <c r="L954" s="53"/>
      <c r="M954" s="53"/>
      <c r="N954" s="53"/>
      <c r="O954" s="53"/>
      <c r="P954" s="53"/>
      <c r="Q954" s="57"/>
      <c r="R954" s="53"/>
      <c r="S954" s="53"/>
      <c r="T954" s="53"/>
      <c r="U954" s="53"/>
      <c r="V954" s="53"/>
    </row>
    <row r="955" spans="1:22" x14ac:dyDescent="0.2">
      <c r="A955" s="48"/>
      <c r="B955" s="51" t="s">
        <v>2</v>
      </c>
      <c r="C955" s="51" t="s">
        <v>2</v>
      </c>
      <c r="D955" s="24">
        <f>E955+F955+G955+H955+I955</f>
        <v>0</v>
      </c>
      <c r="E955" s="25"/>
      <c r="F955" s="25"/>
      <c r="G955" s="25"/>
      <c r="H955" s="25"/>
      <c r="I955" s="25"/>
      <c r="J955" s="53"/>
      <c r="K955" s="53"/>
      <c r="L955" s="53"/>
      <c r="M955" s="53"/>
      <c r="N955" s="53"/>
      <c r="O955" s="53"/>
      <c r="P955" s="53"/>
      <c r="Q955" s="57"/>
      <c r="R955" s="53"/>
      <c r="S955" s="53"/>
      <c r="T955" s="53"/>
      <c r="U955" s="53"/>
      <c r="V955" s="53"/>
    </row>
    <row r="956" spans="1:22" x14ac:dyDescent="0.2">
      <c r="A956" s="48"/>
      <c r="B956" s="51" t="s">
        <v>3</v>
      </c>
      <c r="C956" s="51" t="s">
        <v>3</v>
      </c>
      <c r="D956" s="24">
        <f>E956+F956+G956+H956+I956</f>
        <v>0</v>
      </c>
      <c r="E956" s="25"/>
      <c r="F956" s="25"/>
      <c r="G956" s="25"/>
      <c r="H956" s="25"/>
      <c r="I956" s="25"/>
      <c r="J956" s="53"/>
      <c r="K956" s="53"/>
      <c r="L956" s="53"/>
      <c r="M956" s="53"/>
      <c r="N956" s="53"/>
      <c r="O956" s="53"/>
      <c r="P956" s="53"/>
      <c r="Q956" s="57"/>
      <c r="R956" s="53"/>
      <c r="S956" s="53"/>
      <c r="T956" s="53"/>
      <c r="U956" s="53"/>
      <c r="V956" s="53"/>
    </row>
    <row r="957" spans="1:22" ht="12.75" customHeight="1" x14ac:dyDescent="0.2">
      <c r="A957" s="54" t="s">
        <v>54</v>
      </c>
      <c r="B957" s="55" t="s">
        <v>128</v>
      </c>
      <c r="C957" s="55"/>
      <c r="D957" s="55"/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  <c r="S957" s="55"/>
      <c r="T957" s="55"/>
      <c r="U957" s="55"/>
      <c r="V957" s="55"/>
    </row>
    <row r="958" spans="1:22" ht="12.75" customHeight="1" x14ac:dyDescent="0.2">
      <c r="A958" s="54"/>
      <c r="B958" s="56" t="s">
        <v>5</v>
      </c>
      <c r="C958" s="56"/>
      <c r="D958" s="23">
        <f t="shared" ref="D958:I958" si="62">SUM(D959:D962)</f>
        <v>169516.66500000001</v>
      </c>
      <c r="E958" s="23">
        <f>SUM(E959:E962)</f>
        <v>169516.66500000001</v>
      </c>
      <c r="F958" s="23">
        <f t="shared" si="62"/>
        <v>0</v>
      </c>
      <c r="G958" s="23">
        <f t="shared" si="62"/>
        <v>0</v>
      </c>
      <c r="H958" s="23">
        <f t="shared" si="62"/>
        <v>0</v>
      </c>
      <c r="I958" s="23">
        <f t="shared" si="62"/>
        <v>0</v>
      </c>
      <c r="J958" s="12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4"/>
    </row>
    <row r="959" spans="1:22" x14ac:dyDescent="0.2">
      <c r="A959" s="54"/>
      <c r="B959" s="56" t="s">
        <v>0</v>
      </c>
      <c r="C959" s="56"/>
      <c r="D959" s="23">
        <f>E959+F959+G959+H959+I959</f>
        <v>0</v>
      </c>
      <c r="E959" s="23">
        <f>E967+E975+E983+E991</f>
        <v>0</v>
      </c>
      <c r="F959" s="23">
        <f t="shared" ref="F959:I959" si="63">F967+F975+F983+F991</f>
        <v>0</v>
      </c>
      <c r="G959" s="23">
        <f t="shared" si="63"/>
        <v>0</v>
      </c>
      <c r="H959" s="23">
        <f t="shared" si="63"/>
        <v>0</v>
      </c>
      <c r="I959" s="23">
        <f t="shared" si="63"/>
        <v>0</v>
      </c>
      <c r="J959" s="15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7"/>
    </row>
    <row r="960" spans="1:22" ht="12.75" customHeight="1" x14ac:dyDescent="0.2">
      <c r="A960" s="54"/>
      <c r="B960" s="56" t="s">
        <v>1</v>
      </c>
      <c r="C960" s="56"/>
      <c r="D960" s="23">
        <f>E960+F960+G960+H960+I960</f>
        <v>169516.66500000001</v>
      </c>
      <c r="E960" s="23">
        <f t="shared" ref="E960:I960" si="64">E968+E976+E984+E992</f>
        <v>169516.66500000001</v>
      </c>
      <c r="F960" s="23">
        <f t="shared" si="64"/>
        <v>0</v>
      </c>
      <c r="G960" s="23">
        <f t="shared" si="64"/>
        <v>0</v>
      </c>
      <c r="H960" s="23">
        <f t="shared" si="64"/>
        <v>0</v>
      </c>
      <c r="I960" s="23">
        <f t="shared" si="64"/>
        <v>0</v>
      </c>
      <c r="J960" s="15"/>
      <c r="K960" s="18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7"/>
    </row>
    <row r="961" spans="1:22" ht="12.75" customHeight="1" x14ac:dyDescent="0.2">
      <c r="A961" s="54"/>
      <c r="B961" s="56" t="s">
        <v>2</v>
      </c>
      <c r="C961" s="56"/>
      <c r="D961" s="23">
        <f>E961+F961+G961+H961+I961</f>
        <v>0</v>
      </c>
      <c r="E961" s="23">
        <f t="shared" ref="E961:I961" si="65">E969+E977+E985+E993</f>
        <v>0</v>
      </c>
      <c r="F961" s="23">
        <f t="shared" si="65"/>
        <v>0</v>
      </c>
      <c r="G961" s="23">
        <f t="shared" si="65"/>
        <v>0</v>
      </c>
      <c r="H961" s="23">
        <f t="shared" si="65"/>
        <v>0</v>
      </c>
      <c r="I961" s="23">
        <f t="shared" si="65"/>
        <v>0</v>
      </c>
      <c r="J961" s="15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7"/>
    </row>
    <row r="962" spans="1:22" ht="22.5" customHeight="1" x14ac:dyDescent="0.2">
      <c r="A962" s="54"/>
      <c r="B962" s="56" t="s">
        <v>3</v>
      </c>
      <c r="C962" s="56"/>
      <c r="D962" s="23">
        <f>E962+F962+G962+H962+I962</f>
        <v>0</v>
      </c>
      <c r="E962" s="23">
        <f t="shared" ref="E962:I962" si="66">E970+E978+E986+E994</f>
        <v>0</v>
      </c>
      <c r="F962" s="23">
        <f t="shared" si="66"/>
        <v>0</v>
      </c>
      <c r="G962" s="23">
        <f t="shared" si="66"/>
        <v>0</v>
      </c>
      <c r="H962" s="23">
        <f t="shared" si="66"/>
        <v>0</v>
      </c>
      <c r="I962" s="23">
        <f t="shared" si="66"/>
        <v>0</v>
      </c>
      <c r="J962" s="19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1"/>
    </row>
    <row r="963" spans="1:22" ht="12.75" customHeight="1" x14ac:dyDescent="0.2">
      <c r="A963" s="48" t="s">
        <v>55</v>
      </c>
      <c r="B963" s="49" t="s">
        <v>93</v>
      </c>
      <c r="C963" s="49"/>
      <c r="D963" s="49"/>
      <c r="E963" s="49"/>
      <c r="F963" s="49"/>
      <c r="G963" s="49"/>
      <c r="H963" s="49"/>
      <c r="I963" s="49"/>
      <c r="J963" s="49"/>
      <c r="K963" s="49"/>
      <c r="L963" s="49"/>
      <c r="M963" s="49"/>
      <c r="N963" s="49"/>
      <c r="O963" s="49"/>
      <c r="P963" s="49"/>
      <c r="Q963" s="49"/>
      <c r="R963" s="49"/>
      <c r="S963" s="49"/>
      <c r="T963" s="49"/>
      <c r="U963" s="49"/>
      <c r="V963" s="49"/>
    </row>
    <row r="964" spans="1:22" ht="12.75" customHeight="1" x14ac:dyDescent="0.2">
      <c r="A964" s="48"/>
      <c r="B964" s="52" t="s">
        <v>464</v>
      </c>
      <c r="C964" s="52"/>
      <c r="D964" s="52"/>
      <c r="E964" s="52"/>
      <c r="F964" s="52"/>
      <c r="G964" s="52"/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</row>
    <row r="965" spans="1:22" ht="49.5" customHeight="1" x14ac:dyDescent="0.2">
      <c r="A965" s="48"/>
      <c r="B965" s="50" t="s">
        <v>485</v>
      </c>
      <c r="C965" s="50" t="s">
        <v>485</v>
      </c>
      <c r="D965" s="50"/>
      <c r="E965" s="50"/>
      <c r="F965" s="50"/>
      <c r="G965" s="50"/>
      <c r="H965" s="50"/>
      <c r="I965" s="50"/>
      <c r="J965" s="53" t="s">
        <v>76</v>
      </c>
      <c r="K965" s="53"/>
      <c r="L965" s="53" t="s">
        <v>549</v>
      </c>
      <c r="M965" s="53"/>
      <c r="N965" s="53" t="s">
        <v>282</v>
      </c>
      <c r="O965" s="53" t="s">
        <v>93</v>
      </c>
      <c r="P965" s="53" t="s">
        <v>283</v>
      </c>
      <c r="Q965" s="57" t="s">
        <v>329</v>
      </c>
      <c r="R965" s="53" t="s">
        <v>11</v>
      </c>
      <c r="S965" s="53" t="s">
        <v>10</v>
      </c>
      <c r="T965" s="53" t="s">
        <v>18</v>
      </c>
      <c r="U965" s="53"/>
      <c r="V965" s="53"/>
    </row>
    <row r="966" spans="1:22" x14ac:dyDescent="0.2">
      <c r="A966" s="48"/>
      <c r="B966" s="51" t="s">
        <v>5</v>
      </c>
      <c r="C966" s="51" t="s">
        <v>5</v>
      </c>
      <c r="D966" s="24">
        <f>SUM(D967:D970)</f>
        <v>145579.48000000001</v>
      </c>
      <c r="E966" s="25">
        <f>SUM(E967:E970)</f>
        <v>145579.48000000001</v>
      </c>
      <c r="F966" s="25"/>
      <c r="G966" s="25"/>
      <c r="H966" s="25"/>
      <c r="I966" s="25"/>
      <c r="J966" s="53"/>
      <c r="K966" s="53"/>
      <c r="L966" s="53"/>
      <c r="M966" s="53"/>
      <c r="N966" s="53"/>
      <c r="O966" s="53"/>
      <c r="P966" s="53"/>
      <c r="Q966" s="57"/>
      <c r="R966" s="53"/>
      <c r="S966" s="53"/>
      <c r="T966" s="53"/>
      <c r="U966" s="53"/>
      <c r="V966" s="53"/>
    </row>
    <row r="967" spans="1:22" x14ac:dyDescent="0.2">
      <c r="A967" s="48"/>
      <c r="B967" s="51" t="s">
        <v>0</v>
      </c>
      <c r="C967" s="51" t="s">
        <v>0</v>
      </c>
      <c r="D967" s="24">
        <f>E967+F967+G967+H967+I967</f>
        <v>0</v>
      </c>
      <c r="E967" s="25"/>
      <c r="F967" s="25"/>
      <c r="G967" s="25"/>
      <c r="H967" s="25"/>
      <c r="I967" s="25"/>
      <c r="J967" s="53"/>
      <c r="K967" s="53"/>
      <c r="L967" s="53"/>
      <c r="M967" s="53"/>
      <c r="N967" s="53"/>
      <c r="O967" s="53"/>
      <c r="P967" s="53"/>
      <c r="Q967" s="57"/>
      <c r="R967" s="53"/>
      <c r="S967" s="53"/>
      <c r="T967" s="53"/>
      <c r="U967" s="53"/>
      <c r="V967" s="53"/>
    </row>
    <row r="968" spans="1:22" x14ac:dyDescent="0.2">
      <c r="A968" s="48"/>
      <c r="B968" s="51" t="s">
        <v>1</v>
      </c>
      <c r="C968" s="51" t="s">
        <v>1</v>
      </c>
      <c r="D968" s="24">
        <f>E968+F968+G968+H968+I968</f>
        <v>145579.48000000001</v>
      </c>
      <c r="E968" s="25">
        <f>57518+135216.07-13872.185-33282.405</f>
        <v>145579.48000000001</v>
      </c>
      <c r="F968" s="25"/>
      <c r="G968" s="25"/>
      <c r="H968" s="25"/>
      <c r="I968" s="25"/>
      <c r="J968" s="53"/>
      <c r="K968" s="53"/>
      <c r="L968" s="53"/>
      <c r="M968" s="53"/>
      <c r="N968" s="53"/>
      <c r="O968" s="53"/>
      <c r="P968" s="53"/>
      <c r="Q968" s="57"/>
      <c r="R968" s="53"/>
      <c r="S968" s="53"/>
      <c r="T968" s="53"/>
      <c r="U968" s="53"/>
      <c r="V968" s="53"/>
    </row>
    <row r="969" spans="1:22" x14ac:dyDescent="0.2">
      <c r="A969" s="48"/>
      <c r="B969" s="51" t="s">
        <v>2</v>
      </c>
      <c r="C969" s="51" t="s">
        <v>2</v>
      </c>
      <c r="D969" s="24">
        <f>E969+F969+G969+H969+I969</f>
        <v>0</v>
      </c>
      <c r="E969" s="25"/>
      <c r="F969" s="25"/>
      <c r="G969" s="25"/>
      <c r="H969" s="25"/>
      <c r="I969" s="25"/>
      <c r="J969" s="53"/>
      <c r="K969" s="53"/>
      <c r="L969" s="53"/>
      <c r="M969" s="53"/>
      <c r="N969" s="53"/>
      <c r="O969" s="53"/>
      <c r="P969" s="53"/>
      <c r="Q969" s="57"/>
      <c r="R969" s="53"/>
      <c r="S969" s="53"/>
      <c r="T969" s="53"/>
      <c r="U969" s="53"/>
      <c r="V969" s="53"/>
    </row>
    <row r="970" spans="1:22" ht="21.75" customHeight="1" x14ac:dyDescent="0.2">
      <c r="A970" s="48"/>
      <c r="B970" s="51" t="s">
        <v>3</v>
      </c>
      <c r="C970" s="51" t="s">
        <v>3</v>
      </c>
      <c r="D970" s="24">
        <f>E970+F970+G970+H970+I970</f>
        <v>0</v>
      </c>
      <c r="E970" s="25"/>
      <c r="F970" s="25"/>
      <c r="G970" s="25"/>
      <c r="H970" s="25"/>
      <c r="I970" s="25"/>
      <c r="J970" s="53"/>
      <c r="K970" s="53"/>
      <c r="L970" s="53"/>
      <c r="M970" s="53"/>
      <c r="N970" s="53"/>
      <c r="O970" s="53"/>
      <c r="P970" s="53"/>
      <c r="Q970" s="57"/>
      <c r="R970" s="53"/>
      <c r="S970" s="53"/>
      <c r="T970" s="53"/>
      <c r="U970" s="53"/>
      <c r="V970" s="53"/>
    </row>
    <row r="971" spans="1:22" ht="12.75" customHeight="1" x14ac:dyDescent="0.2">
      <c r="A971" s="48" t="s">
        <v>596</v>
      </c>
      <c r="B971" s="49" t="s">
        <v>93</v>
      </c>
      <c r="C971" s="49"/>
      <c r="D971" s="49"/>
      <c r="E971" s="49"/>
      <c r="F971" s="49"/>
      <c r="G971" s="49"/>
      <c r="H971" s="49"/>
      <c r="I971" s="49"/>
      <c r="J971" s="49"/>
      <c r="K971" s="49"/>
      <c r="L971" s="49"/>
      <c r="M971" s="49"/>
      <c r="N971" s="49"/>
      <c r="O971" s="49"/>
      <c r="P971" s="49"/>
      <c r="Q971" s="49"/>
      <c r="R971" s="49"/>
      <c r="S971" s="49"/>
      <c r="T971" s="49"/>
      <c r="U971" s="49"/>
      <c r="V971" s="49"/>
    </row>
    <row r="972" spans="1:22" ht="12.75" customHeight="1" x14ac:dyDescent="0.2">
      <c r="A972" s="48"/>
      <c r="B972" s="52" t="s">
        <v>464</v>
      </c>
      <c r="C972" s="52"/>
      <c r="D972" s="52"/>
      <c r="E972" s="52"/>
      <c r="F972" s="52"/>
      <c r="G972" s="52"/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</row>
    <row r="973" spans="1:22" ht="42" customHeight="1" x14ac:dyDescent="0.2">
      <c r="A973" s="48"/>
      <c r="B973" s="50" t="s">
        <v>606</v>
      </c>
      <c r="C973" s="50" t="s">
        <v>606</v>
      </c>
      <c r="D973" s="50"/>
      <c r="E973" s="50"/>
      <c r="F973" s="50"/>
      <c r="G973" s="50"/>
      <c r="H973" s="50"/>
      <c r="I973" s="50"/>
      <c r="J973" s="53" t="s">
        <v>76</v>
      </c>
      <c r="K973" s="53"/>
      <c r="L973" s="53" t="s">
        <v>549</v>
      </c>
      <c r="M973" s="53"/>
      <c r="N973" s="53" t="s">
        <v>282</v>
      </c>
      <c r="O973" s="53" t="s">
        <v>93</v>
      </c>
      <c r="P973" s="53" t="s">
        <v>283</v>
      </c>
      <c r="Q973" s="57" t="s">
        <v>598</v>
      </c>
      <c r="R973" s="53" t="s">
        <v>11</v>
      </c>
      <c r="S973" s="53" t="s">
        <v>10</v>
      </c>
      <c r="T973" s="53" t="s">
        <v>18</v>
      </c>
      <c r="U973" s="53"/>
      <c r="V973" s="53"/>
    </row>
    <row r="974" spans="1:22" ht="12.75" customHeight="1" x14ac:dyDescent="0.2">
      <c r="A974" s="48"/>
      <c r="B974" s="51" t="s">
        <v>5</v>
      </c>
      <c r="C974" s="51" t="s">
        <v>5</v>
      </c>
      <c r="D974" s="24">
        <f>SUM(D975:D978)</f>
        <v>5041.067</v>
      </c>
      <c r="E974" s="25">
        <f>SUM(E975:E978)</f>
        <v>5041.067</v>
      </c>
      <c r="F974" s="25"/>
      <c r="G974" s="25"/>
      <c r="H974" s="25"/>
      <c r="I974" s="25"/>
      <c r="J974" s="53"/>
      <c r="K974" s="53"/>
      <c r="L974" s="53"/>
      <c r="M974" s="53"/>
      <c r="N974" s="53"/>
      <c r="O974" s="53"/>
      <c r="P974" s="53"/>
      <c r="Q974" s="57"/>
      <c r="R974" s="53"/>
      <c r="S974" s="53"/>
      <c r="T974" s="53"/>
      <c r="U974" s="53"/>
      <c r="V974" s="53"/>
    </row>
    <row r="975" spans="1:22" ht="12.75" customHeight="1" x14ac:dyDescent="0.2">
      <c r="A975" s="48"/>
      <c r="B975" s="51" t="s">
        <v>0</v>
      </c>
      <c r="C975" s="51" t="s">
        <v>0</v>
      </c>
      <c r="D975" s="24">
        <f>E975+F975+G975+H975+I975</f>
        <v>0</v>
      </c>
      <c r="E975" s="25"/>
      <c r="F975" s="25"/>
      <c r="G975" s="25"/>
      <c r="H975" s="25"/>
      <c r="I975" s="25"/>
      <c r="J975" s="53"/>
      <c r="K975" s="53"/>
      <c r="L975" s="53"/>
      <c r="M975" s="53"/>
      <c r="N975" s="53"/>
      <c r="O975" s="53"/>
      <c r="P975" s="53"/>
      <c r="Q975" s="57"/>
      <c r="R975" s="53"/>
      <c r="S975" s="53"/>
      <c r="T975" s="53"/>
      <c r="U975" s="53"/>
      <c r="V975" s="53"/>
    </row>
    <row r="976" spans="1:22" ht="12.75" customHeight="1" x14ac:dyDescent="0.2">
      <c r="A976" s="48"/>
      <c r="B976" s="51" t="s">
        <v>1</v>
      </c>
      <c r="C976" s="51" t="s">
        <v>1</v>
      </c>
      <c r="D976" s="24">
        <f>E976+F976+G976+H976+I976</f>
        <v>5041.067</v>
      </c>
      <c r="E976" s="25">
        <f>0+5041.067</f>
        <v>5041.067</v>
      </c>
      <c r="F976" s="25"/>
      <c r="G976" s="25"/>
      <c r="H976" s="25"/>
      <c r="I976" s="25"/>
      <c r="J976" s="53"/>
      <c r="K976" s="53"/>
      <c r="L976" s="53"/>
      <c r="M976" s="53"/>
      <c r="N976" s="53"/>
      <c r="O976" s="53"/>
      <c r="P976" s="53"/>
      <c r="Q976" s="57"/>
      <c r="R976" s="53"/>
      <c r="S976" s="53"/>
      <c r="T976" s="53"/>
      <c r="U976" s="53"/>
      <c r="V976" s="53"/>
    </row>
    <row r="977" spans="1:22" ht="12.75" customHeight="1" x14ac:dyDescent="0.2">
      <c r="A977" s="48"/>
      <c r="B977" s="51" t="s">
        <v>2</v>
      </c>
      <c r="C977" s="51" t="s">
        <v>2</v>
      </c>
      <c r="D977" s="24">
        <f>E977+F977+G977+H977+I977</f>
        <v>0</v>
      </c>
      <c r="E977" s="25"/>
      <c r="F977" s="25"/>
      <c r="G977" s="25"/>
      <c r="H977" s="25"/>
      <c r="I977" s="25"/>
      <c r="J977" s="53"/>
      <c r="K977" s="53"/>
      <c r="L977" s="53"/>
      <c r="M977" s="53"/>
      <c r="N977" s="53"/>
      <c r="O977" s="53"/>
      <c r="P977" s="53"/>
      <c r="Q977" s="57"/>
      <c r="R977" s="53"/>
      <c r="S977" s="53"/>
      <c r="T977" s="53"/>
      <c r="U977" s="53"/>
      <c r="V977" s="53"/>
    </row>
    <row r="978" spans="1:22" ht="21.75" customHeight="1" x14ac:dyDescent="0.2">
      <c r="A978" s="48"/>
      <c r="B978" s="51" t="s">
        <v>3</v>
      </c>
      <c r="C978" s="51" t="s">
        <v>3</v>
      </c>
      <c r="D978" s="24">
        <f>E978+F978+G978+H978+I978</f>
        <v>0</v>
      </c>
      <c r="E978" s="25"/>
      <c r="F978" s="25"/>
      <c r="G978" s="25"/>
      <c r="H978" s="25"/>
      <c r="I978" s="25"/>
      <c r="J978" s="53"/>
      <c r="K978" s="53"/>
      <c r="L978" s="53"/>
      <c r="M978" s="53"/>
      <c r="N978" s="53"/>
      <c r="O978" s="53"/>
      <c r="P978" s="53"/>
      <c r="Q978" s="57"/>
      <c r="R978" s="53"/>
      <c r="S978" s="53"/>
      <c r="T978" s="53"/>
      <c r="U978" s="53"/>
      <c r="V978" s="53"/>
    </row>
    <row r="979" spans="1:22" ht="12.75" customHeight="1" x14ac:dyDescent="0.2">
      <c r="A979" s="48" t="s">
        <v>597</v>
      </c>
      <c r="B979" s="49" t="s">
        <v>93</v>
      </c>
      <c r="C979" s="49"/>
      <c r="D979" s="49"/>
      <c r="E979" s="49"/>
      <c r="F979" s="49"/>
      <c r="G979" s="49"/>
      <c r="H979" s="49"/>
      <c r="I979" s="49"/>
      <c r="J979" s="49"/>
      <c r="K979" s="49"/>
      <c r="L979" s="49"/>
      <c r="M979" s="49"/>
      <c r="N979" s="49"/>
      <c r="O979" s="49"/>
      <c r="P979" s="49"/>
      <c r="Q979" s="49"/>
      <c r="R979" s="49"/>
      <c r="S979" s="49"/>
      <c r="T979" s="49"/>
      <c r="U979" s="49"/>
      <c r="V979" s="49"/>
    </row>
    <row r="980" spans="1:22" ht="12.75" customHeight="1" x14ac:dyDescent="0.2">
      <c r="A980" s="48"/>
      <c r="B980" s="52" t="s">
        <v>464</v>
      </c>
      <c r="C980" s="52"/>
      <c r="D980" s="52"/>
      <c r="E980" s="52"/>
      <c r="F980" s="52"/>
      <c r="G980" s="52"/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</row>
    <row r="981" spans="1:22" ht="45.75" customHeight="1" x14ac:dyDescent="0.2">
      <c r="A981" s="48"/>
      <c r="B981" s="50" t="s">
        <v>620</v>
      </c>
      <c r="C981" s="50" t="s">
        <v>620</v>
      </c>
      <c r="D981" s="50"/>
      <c r="E981" s="50"/>
      <c r="F981" s="50"/>
      <c r="G981" s="50"/>
      <c r="H981" s="50"/>
      <c r="I981" s="50"/>
      <c r="J981" s="53" t="s">
        <v>76</v>
      </c>
      <c r="K981" s="53"/>
      <c r="L981" s="53" t="s">
        <v>549</v>
      </c>
      <c r="M981" s="53"/>
      <c r="N981" s="53" t="s">
        <v>282</v>
      </c>
      <c r="O981" s="53" t="s">
        <v>93</v>
      </c>
      <c r="P981" s="53" t="s">
        <v>283</v>
      </c>
      <c r="Q981" s="57" t="s">
        <v>599</v>
      </c>
      <c r="R981" s="53" t="s">
        <v>11</v>
      </c>
      <c r="S981" s="53" t="s">
        <v>10</v>
      </c>
      <c r="T981" s="53" t="s">
        <v>18</v>
      </c>
      <c r="U981" s="53"/>
      <c r="V981" s="53"/>
    </row>
    <row r="982" spans="1:22" x14ac:dyDescent="0.2">
      <c r="A982" s="48"/>
      <c r="B982" s="51" t="s">
        <v>5</v>
      </c>
      <c r="C982" s="51" t="s">
        <v>5</v>
      </c>
      <c r="D982" s="24">
        <f>SUM(D983:D986)</f>
        <v>6996.1180000000004</v>
      </c>
      <c r="E982" s="25">
        <f>SUM(E983:E986)</f>
        <v>6996.1180000000004</v>
      </c>
      <c r="F982" s="25"/>
      <c r="G982" s="25"/>
      <c r="H982" s="25"/>
      <c r="I982" s="25"/>
      <c r="J982" s="53"/>
      <c r="K982" s="53"/>
      <c r="L982" s="53"/>
      <c r="M982" s="53"/>
      <c r="N982" s="53"/>
      <c r="O982" s="53"/>
      <c r="P982" s="53"/>
      <c r="Q982" s="57"/>
      <c r="R982" s="53"/>
      <c r="S982" s="53"/>
      <c r="T982" s="53"/>
      <c r="U982" s="53"/>
      <c r="V982" s="53"/>
    </row>
    <row r="983" spans="1:22" x14ac:dyDescent="0.2">
      <c r="A983" s="48"/>
      <c r="B983" s="51" t="s">
        <v>0</v>
      </c>
      <c r="C983" s="51" t="s">
        <v>0</v>
      </c>
      <c r="D983" s="24">
        <f>E983+F983+G983+H983+I983</f>
        <v>0</v>
      </c>
      <c r="E983" s="25"/>
      <c r="F983" s="25"/>
      <c r="G983" s="25"/>
      <c r="H983" s="25"/>
      <c r="I983" s="25"/>
      <c r="J983" s="53"/>
      <c r="K983" s="53"/>
      <c r="L983" s="53"/>
      <c r="M983" s="53"/>
      <c r="N983" s="53"/>
      <c r="O983" s="53"/>
      <c r="P983" s="53"/>
      <c r="Q983" s="57"/>
      <c r="R983" s="53"/>
      <c r="S983" s="53"/>
      <c r="T983" s="53"/>
      <c r="U983" s="53"/>
      <c r="V983" s="53"/>
    </row>
    <row r="984" spans="1:22" x14ac:dyDescent="0.2">
      <c r="A984" s="48"/>
      <c r="B984" s="51" t="s">
        <v>1</v>
      </c>
      <c r="C984" s="51" t="s">
        <v>1</v>
      </c>
      <c r="D984" s="24">
        <f>E984+F984+G984+H984+I984</f>
        <v>6996.1180000000004</v>
      </c>
      <c r="E984" s="25">
        <f>0+6996.118</f>
        <v>6996.1180000000004</v>
      </c>
      <c r="F984" s="25"/>
      <c r="G984" s="25"/>
      <c r="H984" s="25"/>
      <c r="I984" s="25"/>
      <c r="J984" s="53"/>
      <c r="K984" s="53"/>
      <c r="L984" s="53"/>
      <c r="M984" s="53"/>
      <c r="N984" s="53"/>
      <c r="O984" s="53"/>
      <c r="P984" s="53"/>
      <c r="Q984" s="57"/>
      <c r="R984" s="53"/>
      <c r="S984" s="53"/>
      <c r="T984" s="53"/>
      <c r="U984" s="53"/>
      <c r="V984" s="53"/>
    </row>
    <row r="985" spans="1:22" x14ac:dyDescent="0.2">
      <c r="A985" s="48"/>
      <c r="B985" s="51" t="s">
        <v>2</v>
      </c>
      <c r="C985" s="51" t="s">
        <v>2</v>
      </c>
      <c r="D985" s="24">
        <f>E985+F985+G985+H985+I985</f>
        <v>0</v>
      </c>
      <c r="E985" s="25"/>
      <c r="F985" s="25"/>
      <c r="G985" s="25"/>
      <c r="H985" s="25"/>
      <c r="I985" s="25"/>
      <c r="J985" s="53"/>
      <c r="K985" s="53"/>
      <c r="L985" s="53"/>
      <c r="M985" s="53"/>
      <c r="N985" s="53"/>
      <c r="O985" s="53"/>
      <c r="P985" s="53"/>
      <c r="Q985" s="57"/>
      <c r="R985" s="53"/>
      <c r="S985" s="53"/>
      <c r="T985" s="53"/>
      <c r="U985" s="53"/>
      <c r="V985" s="53"/>
    </row>
    <row r="986" spans="1:22" ht="21.75" customHeight="1" x14ac:dyDescent="0.2">
      <c r="A986" s="48"/>
      <c r="B986" s="51" t="s">
        <v>3</v>
      </c>
      <c r="C986" s="51" t="s">
        <v>3</v>
      </c>
      <c r="D986" s="24">
        <f>E986+F986+G986+H986+I986</f>
        <v>0</v>
      </c>
      <c r="E986" s="25"/>
      <c r="F986" s="25"/>
      <c r="G986" s="25"/>
      <c r="H986" s="25"/>
      <c r="I986" s="25"/>
      <c r="J986" s="53"/>
      <c r="K986" s="53"/>
      <c r="L986" s="53"/>
      <c r="M986" s="53"/>
      <c r="N986" s="53"/>
      <c r="O986" s="53"/>
      <c r="P986" s="53"/>
      <c r="Q986" s="57"/>
      <c r="R986" s="53"/>
      <c r="S986" s="53"/>
      <c r="T986" s="53"/>
      <c r="U986" s="53"/>
      <c r="V986" s="53"/>
    </row>
    <row r="987" spans="1:22" ht="12.75" customHeight="1" x14ac:dyDescent="0.2">
      <c r="A987" s="48" t="s">
        <v>614</v>
      </c>
      <c r="B987" s="49" t="s">
        <v>93</v>
      </c>
      <c r="C987" s="49"/>
      <c r="D987" s="49"/>
      <c r="E987" s="49"/>
      <c r="F987" s="49"/>
      <c r="G987" s="49"/>
      <c r="H987" s="49"/>
      <c r="I987" s="49"/>
      <c r="J987" s="49"/>
      <c r="K987" s="49"/>
      <c r="L987" s="49"/>
      <c r="M987" s="49"/>
      <c r="N987" s="49"/>
      <c r="O987" s="49"/>
      <c r="P987" s="49"/>
      <c r="Q987" s="49"/>
      <c r="R987" s="49"/>
      <c r="S987" s="49"/>
      <c r="T987" s="49"/>
      <c r="U987" s="49"/>
      <c r="V987" s="49"/>
    </row>
    <row r="988" spans="1:22" ht="12.75" customHeight="1" x14ac:dyDescent="0.2">
      <c r="A988" s="48"/>
      <c r="B988" s="52" t="s">
        <v>464</v>
      </c>
      <c r="C988" s="52"/>
      <c r="D988" s="52"/>
      <c r="E988" s="52"/>
      <c r="F988" s="52"/>
      <c r="G988" s="52"/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</row>
    <row r="989" spans="1:22" ht="42.75" customHeight="1" x14ac:dyDescent="0.2">
      <c r="A989" s="48"/>
      <c r="B989" s="50" t="s">
        <v>615</v>
      </c>
      <c r="C989" s="50" t="s">
        <v>615</v>
      </c>
      <c r="D989" s="50"/>
      <c r="E989" s="50"/>
      <c r="F989" s="50"/>
      <c r="G989" s="50"/>
      <c r="H989" s="50"/>
      <c r="I989" s="50"/>
      <c r="J989" s="53"/>
      <c r="K989" s="53" t="s">
        <v>76</v>
      </c>
      <c r="L989" s="53" t="s">
        <v>549</v>
      </c>
      <c r="M989" s="53"/>
      <c r="N989" s="53" t="s">
        <v>282</v>
      </c>
      <c r="O989" s="53" t="s">
        <v>93</v>
      </c>
      <c r="P989" s="53" t="s">
        <v>283</v>
      </c>
      <c r="Q989" s="57" t="s">
        <v>616</v>
      </c>
      <c r="R989" s="53" t="s">
        <v>11</v>
      </c>
      <c r="S989" s="53" t="s">
        <v>10</v>
      </c>
      <c r="T989" s="53" t="s">
        <v>85</v>
      </c>
      <c r="U989" s="53"/>
      <c r="V989" s="53"/>
    </row>
    <row r="990" spans="1:22" x14ac:dyDescent="0.2">
      <c r="A990" s="48"/>
      <c r="B990" s="51" t="s">
        <v>5</v>
      </c>
      <c r="C990" s="51" t="s">
        <v>5</v>
      </c>
      <c r="D990" s="24">
        <f>SUM(D991:D994)</f>
        <v>11900</v>
      </c>
      <c r="E990" s="25">
        <f>SUM(E991:E994)</f>
        <v>11900</v>
      </c>
      <c r="F990" s="25"/>
      <c r="G990" s="25"/>
      <c r="H990" s="25"/>
      <c r="I990" s="25"/>
      <c r="J990" s="53"/>
      <c r="K990" s="53"/>
      <c r="L990" s="53"/>
      <c r="M990" s="53"/>
      <c r="N990" s="53"/>
      <c r="O990" s="53"/>
      <c r="P990" s="53"/>
      <c r="Q990" s="57"/>
      <c r="R990" s="53"/>
      <c r="S990" s="53"/>
      <c r="T990" s="53"/>
      <c r="U990" s="53"/>
      <c r="V990" s="53"/>
    </row>
    <row r="991" spans="1:22" x14ac:dyDescent="0.2">
      <c r="A991" s="48"/>
      <c r="B991" s="51" t="s">
        <v>0</v>
      </c>
      <c r="C991" s="51" t="s">
        <v>0</v>
      </c>
      <c r="D991" s="24">
        <f>E991+F991+G991+H991+I991</f>
        <v>0</v>
      </c>
      <c r="E991" s="25"/>
      <c r="F991" s="25"/>
      <c r="G991" s="25"/>
      <c r="H991" s="25"/>
      <c r="I991" s="25"/>
      <c r="J991" s="53"/>
      <c r="K991" s="53"/>
      <c r="L991" s="53"/>
      <c r="M991" s="53"/>
      <c r="N991" s="53"/>
      <c r="O991" s="53"/>
      <c r="P991" s="53"/>
      <c r="Q991" s="57"/>
      <c r="R991" s="53"/>
      <c r="S991" s="53"/>
      <c r="T991" s="53"/>
      <c r="U991" s="53"/>
      <c r="V991" s="53"/>
    </row>
    <row r="992" spans="1:22" x14ac:dyDescent="0.2">
      <c r="A992" s="48"/>
      <c r="B992" s="51" t="s">
        <v>1</v>
      </c>
      <c r="C992" s="51" t="s">
        <v>1</v>
      </c>
      <c r="D992" s="24">
        <f>E992+F992+G992+H992+I992</f>
        <v>11900</v>
      </c>
      <c r="E992" s="25">
        <v>11900</v>
      </c>
      <c r="F992" s="25"/>
      <c r="G992" s="25"/>
      <c r="H992" s="25"/>
      <c r="I992" s="25"/>
      <c r="J992" s="53"/>
      <c r="K992" s="53"/>
      <c r="L992" s="53"/>
      <c r="M992" s="53"/>
      <c r="N992" s="53"/>
      <c r="O992" s="53"/>
      <c r="P992" s="53"/>
      <c r="Q992" s="57"/>
      <c r="R992" s="53"/>
      <c r="S992" s="53"/>
      <c r="T992" s="53"/>
      <c r="U992" s="53"/>
      <c r="V992" s="53"/>
    </row>
    <row r="993" spans="1:22" x14ac:dyDescent="0.2">
      <c r="A993" s="48"/>
      <c r="B993" s="51" t="s">
        <v>2</v>
      </c>
      <c r="C993" s="51" t="s">
        <v>2</v>
      </c>
      <c r="D993" s="24">
        <f>E993+F993+G993+H993+I993</f>
        <v>0</v>
      </c>
      <c r="E993" s="25"/>
      <c r="F993" s="25"/>
      <c r="G993" s="25"/>
      <c r="H993" s="25"/>
      <c r="I993" s="25"/>
      <c r="J993" s="53"/>
      <c r="K993" s="53"/>
      <c r="L993" s="53"/>
      <c r="M993" s="53"/>
      <c r="N993" s="53"/>
      <c r="O993" s="53"/>
      <c r="P993" s="53"/>
      <c r="Q993" s="57"/>
      <c r="R993" s="53"/>
      <c r="S993" s="53"/>
      <c r="T993" s="53"/>
      <c r="U993" s="53"/>
      <c r="V993" s="53"/>
    </row>
    <row r="994" spans="1:22" ht="21.75" customHeight="1" x14ac:dyDescent="0.2">
      <c r="A994" s="48"/>
      <c r="B994" s="51" t="s">
        <v>3</v>
      </c>
      <c r="C994" s="51" t="s">
        <v>3</v>
      </c>
      <c r="D994" s="24">
        <f>E994+F994+G994+H994+I994</f>
        <v>0</v>
      </c>
      <c r="E994" s="25"/>
      <c r="F994" s="25"/>
      <c r="G994" s="25"/>
      <c r="H994" s="25"/>
      <c r="I994" s="25"/>
      <c r="J994" s="53"/>
      <c r="K994" s="53"/>
      <c r="L994" s="53"/>
      <c r="M994" s="53"/>
      <c r="N994" s="53"/>
      <c r="O994" s="53"/>
      <c r="P994" s="53"/>
      <c r="Q994" s="57"/>
      <c r="R994" s="53"/>
      <c r="S994" s="53"/>
      <c r="T994" s="53"/>
      <c r="U994" s="53"/>
      <c r="V994" s="53"/>
    </row>
    <row r="995" spans="1:22" ht="12.75" customHeight="1" x14ac:dyDescent="0.2">
      <c r="A995" s="54" t="s">
        <v>82</v>
      </c>
      <c r="B995" s="55" t="s">
        <v>126</v>
      </c>
      <c r="C995" s="55"/>
      <c r="D995" s="55"/>
      <c r="E995" s="55"/>
      <c r="F995" s="55"/>
      <c r="G995" s="55"/>
      <c r="H995" s="55"/>
      <c r="I995" s="55"/>
      <c r="J995" s="55"/>
      <c r="K995" s="55"/>
      <c r="L995" s="55"/>
      <c r="M995" s="55"/>
      <c r="N995" s="55"/>
      <c r="O995" s="55"/>
      <c r="P995" s="55"/>
      <c r="Q995" s="55"/>
      <c r="R995" s="55"/>
      <c r="S995" s="55"/>
      <c r="T995" s="55"/>
      <c r="U995" s="55"/>
      <c r="V995" s="55"/>
    </row>
    <row r="996" spans="1:22" ht="12.75" customHeight="1" x14ac:dyDescent="0.2">
      <c r="A996" s="54"/>
      <c r="B996" s="56" t="s">
        <v>5</v>
      </c>
      <c r="C996" s="56"/>
      <c r="D996" s="23">
        <f t="shared" ref="D996:I996" si="67">SUM(D997:D1000)</f>
        <v>36619.31</v>
      </c>
      <c r="E996" s="23">
        <f>SUM(E997:E1000)</f>
        <v>36619.31</v>
      </c>
      <c r="F996" s="23">
        <f t="shared" si="67"/>
        <v>0</v>
      </c>
      <c r="G996" s="23">
        <f t="shared" si="67"/>
        <v>0</v>
      </c>
      <c r="H996" s="23">
        <f t="shared" si="67"/>
        <v>0</v>
      </c>
      <c r="I996" s="23">
        <f t="shared" si="67"/>
        <v>0</v>
      </c>
      <c r="J996" s="12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4"/>
    </row>
    <row r="997" spans="1:22" x14ac:dyDescent="0.2">
      <c r="A997" s="54"/>
      <c r="B997" s="56" t="s">
        <v>0</v>
      </c>
      <c r="C997" s="56"/>
      <c r="D997" s="23">
        <f>E997+F997+G997+H997+I997</f>
        <v>0</v>
      </c>
      <c r="E997" s="23">
        <f>E1005+E1013</f>
        <v>0</v>
      </c>
      <c r="F997" s="23">
        <f t="shared" ref="F997:I997" si="68">F1005+F1013</f>
        <v>0</v>
      </c>
      <c r="G997" s="23">
        <f t="shared" si="68"/>
        <v>0</v>
      </c>
      <c r="H997" s="23">
        <f t="shared" si="68"/>
        <v>0</v>
      </c>
      <c r="I997" s="23">
        <f t="shared" si="68"/>
        <v>0</v>
      </c>
      <c r="J997" s="15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7"/>
    </row>
    <row r="998" spans="1:22" ht="12.75" customHeight="1" x14ac:dyDescent="0.2">
      <c r="A998" s="54"/>
      <c r="B998" s="56" t="s">
        <v>1</v>
      </c>
      <c r="C998" s="56"/>
      <c r="D998" s="23">
        <f>E998+F998+G998+H998+I998</f>
        <v>36619.31</v>
      </c>
      <c r="E998" s="23">
        <f t="shared" ref="E998:I998" si="69">E1006+E1014</f>
        <v>36619.31</v>
      </c>
      <c r="F998" s="23">
        <f t="shared" si="69"/>
        <v>0</v>
      </c>
      <c r="G998" s="23">
        <f t="shared" si="69"/>
        <v>0</v>
      </c>
      <c r="H998" s="23">
        <f t="shared" si="69"/>
        <v>0</v>
      </c>
      <c r="I998" s="23">
        <f t="shared" si="69"/>
        <v>0</v>
      </c>
      <c r="J998" s="15"/>
      <c r="K998" s="18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7"/>
    </row>
    <row r="999" spans="1:22" ht="12.75" customHeight="1" x14ac:dyDescent="0.2">
      <c r="A999" s="54"/>
      <c r="B999" s="56" t="s">
        <v>2</v>
      </c>
      <c r="C999" s="56"/>
      <c r="D999" s="23">
        <f>E999+F999+G999+H999+I999</f>
        <v>0</v>
      </c>
      <c r="E999" s="23">
        <f t="shared" ref="E999:I999" si="70">E1007+E1015</f>
        <v>0</v>
      </c>
      <c r="F999" s="23">
        <f t="shared" si="70"/>
        <v>0</v>
      </c>
      <c r="G999" s="23">
        <f t="shared" si="70"/>
        <v>0</v>
      </c>
      <c r="H999" s="23">
        <f t="shared" si="70"/>
        <v>0</v>
      </c>
      <c r="I999" s="23">
        <f t="shared" si="70"/>
        <v>0</v>
      </c>
      <c r="J999" s="15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7"/>
    </row>
    <row r="1000" spans="1:22" ht="21" customHeight="1" x14ac:dyDescent="0.2">
      <c r="A1000" s="54"/>
      <c r="B1000" s="56" t="s">
        <v>3</v>
      </c>
      <c r="C1000" s="56"/>
      <c r="D1000" s="23">
        <f>E1000+F1000+G1000+H1000+I1000</f>
        <v>0</v>
      </c>
      <c r="E1000" s="23">
        <f t="shared" ref="E1000:I1000" si="71">E1008+E1016</f>
        <v>0</v>
      </c>
      <c r="F1000" s="23">
        <f t="shared" si="71"/>
        <v>0</v>
      </c>
      <c r="G1000" s="23">
        <f t="shared" si="71"/>
        <v>0</v>
      </c>
      <c r="H1000" s="23">
        <f t="shared" si="71"/>
        <v>0</v>
      </c>
      <c r="I1000" s="23">
        <f t="shared" si="71"/>
        <v>0</v>
      </c>
      <c r="J1000" s="19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1"/>
    </row>
    <row r="1001" spans="1:22" ht="12.75" customHeight="1" x14ac:dyDescent="0.2">
      <c r="A1001" s="48" t="s">
        <v>83</v>
      </c>
      <c r="B1001" s="49" t="s">
        <v>104</v>
      </c>
      <c r="C1001" s="49"/>
      <c r="D1001" s="49"/>
      <c r="E1001" s="49"/>
      <c r="F1001" s="49"/>
      <c r="G1001" s="49"/>
      <c r="H1001" s="49"/>
      <c r="I1001" s="49"/>
      <c r="J1001" s="49"/>
      <c r="K1001" s="49"/>
      <c r="L1001" s="49"/>
      <c r="M1001" s="49"/>
      <c r="N1001" s="49"/>
      <c r="O1001" s="49"/>
      <c r="P1001" s="49"/>
      <c r="Q1001" s="49"/>
      <c r="R1001" s="49"/>
      <c r="S1001" s="49"/>
      <c r="T1001" s="49"/>
      <c r="U1001" s="49"/>
      <c r="V1001" s="49"/>
    </row>
    <row r="1002" spans="1:22" x14ac:dyDescent="0.2">
      <c r="A1002" s="48"/>
      <c r="B1002" s="52" t="s">
        <v>127</v>
      </c>
      <c r="C1002" s="52"/>
      <c r="D1002" s="52"/>
      <c r="E1002" s="52"/>
      <c r="F1002" s="52"/>
      <c r="G1002" s="52"/>
      <c r="H1002" s="52"/>
      <c r="I1002" s="52"/>
      <c r="J1002" s="52"/>
      <c r="K1002" s="52"/>
      <c r="L1002" s="52"/>
      <c r="M1002" s="52"/>
      <c r="N1002" s="52"/>
      <c r="O1002" s="52"/>
      <c r="P1002" s="52"/>
      <c r="Q1002" s="52"/>
      <c r="R1002" s="52"/>
      <c r="S1002" s="52"/>
      <c r="T1002" s="52"/>
      <c r="U1002" s="52"/>
      <c r="V1002" s="52"/>
    </row>
    <row r="1003" spans="1:22" ht="63" customHeight="1" x14ac:dyDescent="0.2">
      <c r="A1003" s="48"/>
      <c r="B1003" s="50" t="s">
        <v>240</v>
      </c>
      <c r="C1003" s="50" t="s">
        <v>240</v>
      </c>
      <c r="D1003" s="50"/>
      <c r="E1003" s="50"/>
      <c r="F1003" s="50"/>
      <c r="G1003" s="50"/>
      <c r="H1003" s="50"/>
      <c r="I1003" s="50"/>
      <c r="J1003" s="53" t="s">
        <v>60</v>
      </c>
      <c r="K1003" s="53"/>
      <c r="L1003" s="53" t="s">
        <v>70</v>
      </c>
      <c r="M1003" s="53"/>
      <c r="N1003" s="53" t="s">
        <v>58</v>
      </c>
      <c r="O1003" s="53" t="s">
        <v>104</v>
      </c>
      <c r="P1003" s="53" t="s">
        <v>58</v>
      </c>
      <c r="Q1003" s="57" t="s">
        <v>357</v>
      </c>
      <c r="R1003" s="53" t="s">
        <v>11</v>
      </c>
      <c r="S1003" s="53" t="s">
        <v>12</v>
      </c>
      <c r="T1003" s="53" t="s">
        <v>7</v>
      </c>
      <c r="U1003" s="53"/>
      <c r="V1003" s="53" t="s">
        <v>680</v>
      </c>
    </row>
    <row r="1004" spans="1:22" x14ac:dyDescent="0.2">
      <c r="A1004" s="48"/>
      <c r="B1004" s="51" t="s">
        <v>5</v>
      </c>
      <c r="C1004" s="51" t="s">
        <v>5</v>
      </c>
      <c r="D1004" s="24">
        <f>SUM(D1005:D1008)</f>
        <v>27810.09</v>
      </c>
      <c r="E1004" s="25">
        <f>SUM(E1005:E1008)</f>
        <v>27810.09</v>
      </c>
      <c r="F1004" s="25"/>
      <c r="G1004" s="25"/>
      <c r="H1004" s="25"/>
      <c r="I1004" s="25"/>
      <c r="J1004" s="53"/>
      <c r="K1004" s="53"/>
      <c r="L1004" s="53"/>
      <c r="M1004" s="53"/>
      <c r="N1004" s="53"/>
      <c r="O1004" s="53"/>
      <c r="P1004" s="53"/>
      <c r="Q1004" s="57"/>
      <c r="R1004" s="53"/>
      <c r="S1004" s="53"/>
      <c r="T1004" s="53"/>
      <c r="U1004" s="53"/>
      <c r="V1004" s="53"/>
    </row>
    <row r="1005" spans="1:22" x14ac:dyDescent="0.2">
      <c r="A1005" s="48"/>
      <c r="B1005" s="51" t="s">
        <v>0</v>
      </c>
      <c r="C1005" s="51" t="s">
        <v>0</v>
      </c>
      <c r="D1005" s="24">
        <f>E1005+F1005+G1005+H1005+I1005</f>
        <v>0</v>
      </c>
      <c r="E1005" s="25"/>
      <c r="F1005" s="25"/>
      <c r="G1005" s="25"/>
      <c r="H1005" s="25"/>
      <c r="I1005" s="25"/>
      <c r="J1005" s="53"/>
      <c r="K1005" s="53"/>
      <c r="L1005" s="53"/>
      <c r="M1005" s="53"/>
      <c r="N1005" s="53"/>
      <c r="O1005" s="53"/>
      <c r="P1005" s="53"/>
      <c r="Q1005" s="57"/>
      <c r="R1005" s="53"/>
      <c r="S1005" s="53"/>
      <c r="T1005" s="53"/>
      <c r="U1005" s="53"/>
      <c r="V1005" s="53"/>
    </row>
    <row r="1006" spans="1:22" x14ac:dyDescent="0.2">
      <c r="A1006" s="48"/>
      <c r="B1006" s="51" t="s">
        <v>1</v>
      </c>
      <c r="C1006" s="51" t="s">
        <v>1</v>
      </c>
      <c r="D1006" s="24">
        <f>E1006+F1006+G1006+H1006+I1006</f>
        <v>27810.09</v>
      </c>
      <c r="E1006" s="25">
        <f>16901.79+10908.3</f>
        <v>27810.09</v>
      </c>
      <c r="F1006" s="25"/>
      <c r="G1006" s="25"/>
      <c r="H1006" s="25"/>
      <c r="I1006" s="25"/>
      <c r="J1006" s="53"/>
      <c r="K1006" s="53"/>
      <c r="L1006" s="53"/>
      <c r="M1006" s="53"/>
      <c r="N1006" s="53"/>
      <c r="O1006" s="53"/>
      <c r="P1006" s="53"/>
      <c r="Q1006" s="57"/>
      <c r="R1006" s="53"/>
      <c r="S1006" s="53"/>
      <c r="T1006" s="53"/>
      <c r="U1006" s="53"/>
      <c r="V1006" s="53"/>
    </row>
    <row r="1007" spans="1:22" x14ac:dyDescent="0.2">
      <c r="A1007" s="48"/>
      <c r="B1007" s="51" t="s">
        <v>2</v>
      </c>
      <c r="C1007" s="51" t="s">
        <v>2</v>
      </c>
      <c r="D1007" s="24">
        <f>E1007+F1007+G1007+H1007+I1007</f>
        <v>0</v>
      </c>
      <c r="E1007" s="25"/>
      <c r="F1007" s="25"/>
      <c r="G1007" s="25"/>
      <c r="H1007" s="25"/>
      <c r="I1007" s="25"/>
      <c r="J1007" s="53"/>
      <c r="K1007" s="53"/>
      <c r="L1007" s="53"/>
      <c r="M1007" s="53"/>
      <c r="N1007" s="53"/>
      <c r="O1007" s="53"/>
      <c r="P1007" s="53"/>
      <c r="Q1007" s="57"/>
      <c r="R1007" s="53"/>
      <c r="S1007" s="53"/>
      <c r="T1007" s="53"/>
      <c r="U1007" s="53"/>
      <c r="V1007" s="53"/>
    </row>
    <row r="1008" spans="1:22" ht="21.75" customHeight="1" x14ac:dyDescent="0.2">
      <c r="A1008" s="48"/>
      <c r="B1008" s="51" t="s">
        <v>3</v>
      </c>
      <c r="C1008" s="51" t="s">
        <v>3</v>
      </c>
      <c r="D1008" s="24">
        <f>E1008+F1008+G1008+H1008+I1008</f>
        <v>0</v>
      </c>
      <c r="E1008" s="25"/>
      <c r="F1008" s="25"/>
      <c r="G1008" s="25"/>
      <c r="H1008" s="25"/>
      <c r="I1008" s="25"/>
      <c r="J1008" s="53"/>
      <c r="K1008" s="53"/>
      <c r="L1008" s="53"/>
      <c r="M1008" s="53"/>
      <c r="N1008" s="53"/>
      <c r="O1008" s="53"/>
      <c r="P1008" s="53"/>
      <c r="Q1008" s="57"/>
      <c r="R1008" s="53"/>
      <c r="S1008" s="53"/>
      <c r="T1008" s="53"/>
      <c r="U1008" s="53"/>
      <c r="V1008" s="53"/>
    </row>
    <row r="1009" spans="1:22" ht="12.75" customHeight="1" x14ac:dyDescent="0.2">
      <c r="A1009" s="48" t="s">
        <v>439</v>
      </c>
      <c r="B1009" s="49" t="s">
        <v>104</v>
      </c>
      <c r="C1009" s="49"/>
      <c r="D1009" s="49"/>
      <c r="E1009" s="49"/>
      <c r="F1009" s="49"/>
      <c r="G1009" s="49"/>
      <c r="H1009" s="49"/>
      <c r="I1009" s="49"/>
      <c r="J1009" s="49"/>
      <c r="K1009" s="49"/>
      <c r="L1009" s="49"/>
      <c r="M1009" s="49"/>
      <c r="N1009" s="49"/>
      <c r="O1009" s="49"/>
      <c r="P1009" s="49"/>
      <c r="Q1009" s="49"/>
      <c r="R1009" s="49"/>
      <c r="S1009" s="49"/>
      <c r="T1009" s="49"/>
      <c r="U1009" s="49"/>
      <c r="V1009" s="49"/>
    </row>
    <row r="1010" spans="1:22" ht="12.75" customHeight="1" x14ac:dyDescent="0.2">
      <c r="A1010" s="48"/>
      <c r="B1010" s="52" t="s">
        <v>127</v>
      </c>
      <c r="C1010" s="52"/>
      <c r="D1010" s="52"/>
      <c r="E1010" s="52"/>
      <c r="F1010" s="52"/>
      <c r="G1010" s="52"/>
      <c r="H1010" s="52"/>
      <c r="I1010" s="52"/>
      <c r="J1010" s="52"/>
      <c r="K1010" s="52"/>
      <c r="L1010" s="52"/>
      <c r="M1010" s="52"/>
      <c r="N1010" s="52"/>
      <c r="O1010" s="52"/>
      <c r="P1010" s="52"/>
      <c r="Q1010" s="52"/>
      <c r="R1010" s="52"/>
      <c r="S1010" s="52"/>
      <c r="T1010" s="52"/>
      <c r="U1010" s="52"/>
      <c r="V1010" s="52"/>
    </row>
    <row r="1011" spans="1:22" ht="58.5" customHeight="1" x14ac:dyDescent="0.2">
      <c r="A1011" s="48"/>
      <c r="B1011" s="50" t="s">
        <v>440</v>
      </c>
      <c r="C1011" s="50" t="s">
        <v>440</v>
      </c>
      <c r="D1011" s="50"/>
      <c r="E1011" s="50"/>
      <c r="F1011" s="50"/>
      <c r="G1011" s="50"/>
      <c r="H1011" s="50"/>
      <c r="I1011" s="50"/>
      <c r="J1011" s="53" t="s">
        <v>60</v>
      </c>
      <c r="K1011" s="53" t="s">
        <v>60</v>
      </c>
      <c r="L1011" s="53" t="s">
        <v>70</v>
      </c>
      <c r="M1011" s="53"/>
      <c r="N1011" s="53" t="s">
        <v>58</v>
      </c>
      <c r="O1011" s="53" t="s">
        <v>104</v>
      </c>
      <c r="P1011" s="53" t="s">
        <v>58</v>
      </c>
      <c r="Q1011" s="57" t="s">
        <v>442</v>
      </c>
      <c r="R1011" s="53" t="s">
        <v>11</v>
      </c>
      <c r="S1011" s="53" t="s">
        <v>12</v>
      </c>
      <c r="T1011" s="53" t="s">
        <v>18</v>
      </c>
      <c r="U1011" s="53"/>
      <c r="V1011" s="53" t="s">
        <v>441</v>
      </c>
    </row>
    <row r="1012" spans="1:22" x14ac:dyDescent="0.2">
      <c r="A1012" s="48"/>
      <c r="B1012" s="51" t="s">
        <v>5</v>
      </c>
      <c r="C1012" s="51" t="s">
        <v>5</v>
      </c>
      <c r="D1012" s="24">
        <f>SUM(D1013:D1016)</f>
        <v>8809.2199999999993</v>
      </c>
      <c r="E1012" s="25">
        <f>SUM(E1013:E1016)</f>
        <v>8809.2199999999993</v>
      </c>
      <c r="F1012" s="25"/>
      <c r="G1012" s="25"/>
      <c r="H1012" s="25"/>
      <c r="I1012" s="25"/>
      <c r="J1012" s="53"/>
      <c r="K1012" s="53"/>
      <c r="L1012" s="53"/>
      <c r="M1012" s="53"/>
      <c r="N1012" s="53"/>
      <c r="O1012" s="53"/>
      <c r="P1012" s="53"/>
      <c r="Q1012" s="57"/>
      <c r="R1012" s="53"/>
      <c r="S1012" s="53"/>
      <c r="T1012" s="53"/>
      <c r="U1012" s="53"/>
      <c r="V1012" s="53"/>
    </row>
    <row r="1013" spans="1:22" x14ac:dyDescent="0.2">
      <c r="A1013" s="48"/>
      <c r="B1013" s="51" t="s">
        <v>0</v>
      </c>
      <c r="C1013" s="51" t="s">
        <v>0</v>
      </c>
      <c r="D1013" s="24">
        <f>E1013+F1013+G1013+H1013+I1013</f>
        <v>0</v>
      </c>
      <c r="E1013" s="25"/>
      <c r="F1013" s="25"/>
      <c r="G1013" s="25"/>
      <c r="H1013" s="25"/>
      <c r="I1013" s="25"/>
      <c r="J1013" s="53"/>
      <c r="K1013" s="53"/>
      <c r="L1013" s="53"/>
      <c r="M1013" s="53"/>
      <c r="N1013" s="53"/>
      <c r="O1013" s="53"/>
      <c r="P1013" s="53"/>
      <c r="Q1013" s="57"/>
      <c r="R1013" s="53"/>
      <c r="S1013" s="53"/>
      <c r="T1013" s="53"/>
      <c r="U1013" s="53"/>
      <c r="V1013" s="53"/>
    </row>
    <row r="1014" spans="1:22" x14ac:dyDescent="0.2">
      <c r="A1014" s="48"/>
      <c r="B1014" s="51" t="s">
        <v>1</v>
      </c>
      <c r="C1014" s="51" t="s">
        <v>1</v>
      </c>
      <c r="D1014" s="24">
        <f>E1014+F1014+G1014+H1014+I1014</f>
        <v>8809.2199999999993</v>
      </c>
      <c r="E1014" s="25">
        <v>8809.2199999999993</v>
      </c>
      <c r="F1014" s="25"/>
      <c r="G1014" s="25"/>
      <c r="H1014" s="25"/>
      <c r="I1014" s="25"/>
      <c r="J1014" s="53"/>
      <c r="K1014" s="53"/>
      <c r="L1014" s="53"/>
      <c r="M1014" s="53"/>
      <c r="N1014" s="53"/>
      <c r="O1014" s="53"/>
      <c r="P1014" s="53"/>
      <c r="Q1014" s="57"/>
      <c r="R1014" s="53"/>
      <c r="S1014" s="53"/>
      <c r="T1014" s="53"/>
      <c r="U1014" s="53"/>
      <c r="V1014" s="53"/>
    </row>
    <row r="1015" spans="1:22" x14ac:dyDescent="0.2">
      <c r="A1015" s="48"/>
      <c r="B1015" s="51" t="s">
        <v>2</v>
      </c>
      <c r="C1015" s="51" t="s">
        <v>2</v>
      </c>
      <c r="D1015" s="24">
        <f>E1015+F1015+G1015+H1015+I1015</f>
        <v>0</v>
      </c>
      <c r="E1015" s="25"/>
      <c r="F1015" s="25"/>
      <c r="G1015" s="25"/>
      <c r="H1015" s="25"/>
      <c r="I1015" s="25"/>
      <c r="J1015" s="53"/>
      <c r="K1015" s="53"/>
      <c r="L1015" s="53"/>
      <c r="M1015" s="53"/>
      <c r="N1015" s="53"/>
      <c r="O1015" s="53"/>
      <c r="P1015" s="53"/>
      <c r="Q1015" s="57"/>
      <c r="R1015" s="53"/>
      <c r="S1015" s="53"/>
      <c r="T1015" s="53"/>
      <c r="U1015" s="53"/>
      <c r="V1015" s="53"/>
    </row>
    <row r="1016" spans="1:22" ht="21.75" customHeight="1" x14ac:dyDescent="0.2">
      <c r="A1016" s="48"/>
      <c r="B1016" s="51" t="s">
        <v>3</v>
      </c>
      <c r="C1016" s="51" t="s">
        <v>3</v>
      </c>
      <c r="D1016" s="24">
        <f>E1016+F1016+G1016+H1016+I1016</f>
        <v>0</v>
      </c>
      <c r="E1016" s="25"/>
      <c r="F1016" s="25"/>
      <c r="G1016" s="25"/>
      <c r="H1016" s="25"/>
      <c r="I1016" s="25"/>
      <c r="J1016" s="53"/>
      <c r="K1016" s="53"/>
      <c r="L1016" s="53"/>
      <c r="M1016" s="53"/>
      <c r="N1016" s="53"/>
      <c r="O1016" s="53"/>
      <c r="P1016" s="53"/>
      <c r="Q1016" s="57"/>
      <c r="R1016" s="53"/>
      <c r="S1016" s="53"/>
      <c r="T1016" s="53"/>
      <c r="U1016" s="53"/>
      <c r="V1016" s="53"/>
    </row>
    <row r="1017" spans="1:22" ht="12.75" customHeight="1" x14ac:dyDescent="0.2">
      <c r="A1017" s="54" t="s">
        <v>66</v>
      </c>
      <c r="B1017" s="55" t="s">
        <v>125</v>
      </c>
      <c r="C1017" s="55"/>
      <c r="D1017" s="55"/>
      <c r="E1017" s="55"/>
      <c r="F1017" s="55"/>
      <c r="G1017" s="55"/>
      <c r="H1017" s="55"/>
      <c r="I1017" s="55"/>
      <c r="J1017" s="55"/>
      <c r="K1017" s="55"/>
      <c r="L1017" s="55"/>
      <c r="M1017" s="55"/>
      <c r="N1017" s="55"/>
      <c r="O1017" s="55"/>
      <c r="P1017" s="55"/>
      <c r="Q1017" s="55"/>
      <c r="R1017" s="55"/>
      <c r="S1017" s="55"/>
      <c r="T1017" s="55"/>
      <c r="U1017" s="55"/>
      <c r="V1017" s="55"/>
    </row>
    <row r="1018" spans="1:22" ht="12.75" customHeight="1" x14ac:dyDescent="0.2">
      <c r="A1018" s="54"/>
      <c r="B1018" s="56" t="s">
        <v>5</v>
      </c>
      <c r="C1018" s="56"/>
      <c r="D1018" s="23">
        <f t="shared" ref="D1018:I1018" si="72">SUM(D1019:D1022)</f>
        <v>385012.74407252524</v>
      </c>
      <c r="E1018" s="23">
        <f t="shared" si="72"/>
        <v>307962.28245252528</v>
      </c>
      <c r="F1018" s="23">
        <f t="shared" si="72"/>
        <v>77050.461620000002</v>
      </c>
      <c r="G1018" s="23">
        <f t="shared" si="72"/>
        <v>0</v>
      </c>
      <c r="H1018" s="23">
        <f t="shared" si="72"/>
        <v>0</v>
      </c>
      <c r="I1018" s="23">
        <f t="shared" si="72"/>
        <v>0</v>
      </c>
      <c r="J1018" s="12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4"/>
    </row>
    <row r="1019" spans="1:22" x14ac:dyDescent="0.2">
      <c r="A1019" s="54"/>
      <c r="B1019" s="56" t="s">
        <v>0</v>
      </c>
      <c r="C1019" s="56"/>
      <c r="D1019" s="23">
        <f>E1019+F1019+G1019+H1019+I1019</f>
        <v>0</v>
      </c>
      <c r="E1019" s="23">
        <f>E1027+E1035+E1043</f>
        <v>0</v>
      </c>
      <c r="F1019" s="23">
        <f t="shared" ref="F1019:I1019" si="73">F1027+F1035+F1043</f>
        <v>0</v>
      </c>
      <c r="G1019" s="23">
        <f t="shared" si="73"/>
        <v>0</v>
      </c>
      <c r="H1019" s="23">
        <f t="shared" si="73"/>
        <v>0</v>
      </c>
      <c r="I1019" s="23">
        <f t="shared" si="73"/>
        <v>0</v>
      </c>
      <c r="J1019" s="15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  <c r="V1019" s="17"/>
    </row>
    <row r="1020" spans="1:22" ht="12.75" customHeight="1" x14ac:dyDescent="0.2">
      <c r="A1020" s="54"/>
      <c r="B1020" s="56" t="s">
        <v>1</v>
      </c>
      <c r="C1020" s="56"/>
      <c r="D1020" s="23">
        <f>E1020+F1020+G1020+H1020+I1020</f>
        <v>381136.81682000001</v>
      </c>
      <c r="E1020" s="23">
        <f t="shared" ref="E1020:I1020" si="74">E1028+E1036+E1044</f>
        <v>304856.85982000001</v>
      </c>
      <c r="F1020" s="23">
        <f t="shared" si="74"/>
        <v>76279.956999999995</v>
      </c>
      <c r="G1020" s="23">
        <f t="shared" si="74"/>
        <v>0</v>
      </c>
      <c r="H1020" s="23">
        <f t="shared" si="74"/>
        <v>0</v>
      </c>
      <c r="I1020" s="23">
        <f t="shared" si="74"/>
        <v>0</v>
      </c>
      <c r="J1020" s="15"/>
      <c r="K1020" s="18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  <c r="V1020" s="17"/>
    </row>
    <row r="1021" spans="1:22" ht="12.75" customHeight="1" x14ac:dyDescent="0.2">
      <c r="A1021" s="54"/>
      <c r="B1021" s="56" t="s">
        <v>2</v>
      </c>
      <c r="C1021" s="56"/>
      <c r="D1021" s="23">
        <f>E1021+F1021+G1021+H1021+I1021</f>
        <v>3875.9272525252522</v>
      </c>
      <c r="E1021" s="23">
        <f t="shared" ref="E1021:I1021" si="75">E1029+E1037+E1045</f>
        <v>3105.4226325252521</v>
      </c>
      <c r="F1021" s="23">
        <f t="shared" si="75"/>
        <v>770.50462000000005</v>
      </c>
      <c r="G1021" s="23">
        <f t="shared" si="75"/>
        <v>0</v>
      </c>
      <c r="H1021" s="23">
        <f t="shared" si="75"/>
        <v>0</v>
      </c>
      <c r="I1021" s="23">
        <f t="shared" si="75"/>
        <v>0</v>
      </c>
      <c r="J1021" s="15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  <c r="V1021" s="17"/>
    </row>
    <row r="1022" spans="1:22" ht="21.75" customHeight="1" x14ac:dyDescent="0.2">
      <c r="A1022" s="54"/>
      <c r="B1022" s="56" t="s">
        <v>3</v>
      </c>
      <c r="C1022" s="56"/>
      <c r="D1022" s="23">
        <f>E1022+F1022+G1022+H1022+I1022</f>
        <v>0</v>
      </c>
      <c r="E1022" s="23">
        <f t="shared" ref="E1022:I1022" si="76">E1030+E1038+E1046</f>
        <v>0</v>
      </c>
      <c r="F1022" s="23">
        <f t="shared" si="76"/>
        <v>0</v>
      </c>
      <c r="G1022" s="23">
        <f t="shared" si="76"/>
        <v>0</v>
      </c>
      <c r="H1022" s="23">
        <f t="shared" si="76"/>
        <v>0</v>
      </c>
      <c r="I1022" s="23">
        <f t="shared" si="76"/>
        <v>0</v>
      </c>
      <c r="J1022" s="19"/>
      <c r="K1022" s="20"/>
      <c r="L1022" s="20"/>
      <c r="M1022" s="20"/>
      <c r="N1022" s="20"/>
      <c r="O1022" s="20"/>
      <c r="P1022" s="20"/>
      <c r="Q1022" s="20"/>
      <c r="R1022" s="20"/>
      <c r="S1022" s="20"/>
      <c r="T1022" s="20"/>
      <c r="U1022" s="20"/>
      <c r="V1022" s="21"/>
    </row>
    <row r="1023" spans="1:22" ht="12.75" customHeight="1" x14ac:dyDescent="0.2">
      <c r="A1023" s="48" t="s">
        <v>67</v>
      </c>
      <c r="B1023" s="49" t="s">
        <v>16</v>
      </c>
      <c r="C1023" s="49"/>
      <c r="D1023" s="49"/>
      <c r="E1023" s="49"/>
      <c r="F1023" s="49"/>
      <c r="G1023" s="49"/>
      <c r="H1023" s="49"/>
      <c r="I1023" s="49"/>
      <c r="J1023" s="49"/>
      <c r="K1023" s="49"/>
      <c r="L1023" s="49"/>
      <c r="M1023" s="49"/>
      <c r="N1023" s="49"/>
      <c r="O1023" s="49"/>
      <c r="P1023" s="49"/>
      <c r="Q1023" s="49"/>
      <c r="R1023" s="49"/>
      <c r="S1023" s="49"/>
      <c r="T1023" s="49"/>
      <c r="U1023" s="49"/>
      <c r="V1023" s="49"/>
    </row>
    <row r="1024" spans="1:22" ht="12.75" customHeight="1" x14ac:dyDescent="0.2">
      <c r="A1024" s="48"/>
      <c r="B1024" s="52" t="s">
        <v>124</v>
      </c>
      <c r="C1024" s="52"/>
      <c r="D1024" s="52"/>
      <c r="E1024" s="52"/>
      <c r="F1024" s="52"/>
      <c r="G1024" s="52"/>
      <c r="H1024" s="52"/>
      <c r="I1024" s="52"/>
      <c r="J1024" s="52"/>
      <c r="K1024" s="52"/>
      <c r="L1024" s="52"/>
      <c r="M1024" s="52"/>
      <c r="N1024" s="52"/>
      <c r="O1024" s="52"/>
      <c r="P1024" s="52"/>
      <c r="Q1024" s="52"/>
      <c r="R1024" s="52"/>
      <c r="S1024" s="52"/>
      <c r="T1024" s="52"/>
      <c r="U1024" s="52"/>
      <c r="V1024" s="52"/>
    </row>
    <row r="1025" spans="1:22" ht="42.75" customHeight="1" x14ac:dyDescent="0.2">
      <c r="A1025" s="48"/>
      <c r="B1025" s="50" t="s">
        <v>243</v>
      </c>
      <c r="C1025" s="50" t="s">
        <v>243</v>
      </c>
      <c r="D1025" s="50"/>
      <c r="E1025" s="50"/>
      <c r="F1025" s="50"/>
      <c r="G1025" s="50"/>
      <c r="H1025" s="50"/>
      <c r="I1025" s="50"/>
      <c r="J1025" s="53" t="s">
        <v>96</v>
      </c>
      <c r="K1025" s="53"/>
      <c r="L1025" s="53" t="s">
        <v>72</v>
      </c>
      <c r="M1025" s="53"/>
      <c r="N1025" s="53" t="s">
        <v>68</v>
      </c>
      <c r="O1025" s="53"/>
      <c r="P1025" s="53" t="s">
        <v>74</v>
      </c>
      <c r="Q1025" s="57"/>
      <c r="R1025" s="53" t="s">
        <v>9</v>
      </c>
      <c r="S1025" s="53" t="s">
        <v>68</v>
      </c>
      <c r="T1025" s="53" t="s">
        <v>7</v>
      </c>
      <c r="U1025" s="53"/>
      <c r="V1025" s="53"/>
    </row>
    <row r="1026" spans="1:22" x14ac:dyDescent="0.2">
      <c r="A1026" s="48"/>
      <c r="B1026" s="51" t="s">
        <v>5</v>
      </c>
      <c r="C1026" s="51" t="s">
        <v>5</v>
      </c>
      <c r="D1026" s="24">
        <f>SUM(D1027:D1030)</f>
        <v>261254.43110484848</v>
      </c>
      <c r="E1026" s="25">
        <f>SUM(E1027:E1030)</f>
        <v>184203.96948484847</v>
      </c>
      <c r="F1026" s="25">
        <f>SUM(F1027:F1030)</f>
        <v>77050.461620000002</v>
      </c>
      <c r="G1026" s="25"/>
      <c r="H1026" s="25"/>
      <c r="I1026" s="25"/>
      <c r="J1026" s="53"/>
      <c r="K1026" s="53"/>
      <c r="L1026" s="53"/>
      <c r="M1026" s="53"/>
      <c r="N1026" s="53"/>
      <c r="O1026" s="53"/>
      <c r="P1026" s="53"/>
      <c r="Q1026" s="57"/>
      <c r="R1026" s="53"/>
      <c r="S1026" s="53"/>
      <c r="T1026" s="53"/>
      <c r="U1026" s="53"/>
      <c r="V1026" s="53"/>
    </row>
    <row r="1027" spans="1:22" x14ac:dyDescent="0.2">
      <c r="A1027" s="48"/>
      <c r="B1027" s="51" t="s">
        <v>0</v>
      </c>
      <c r="C1027" s="51" t="s">
        <v>0</v>
      </c>
      <c r="D1027" s="24">
        <f>E1027+F1027+G1027+H1027+I1027</f>
        <v>0</v>
      </c>
      <c r="E1027" s="25"/>
      <c r="F1027" s="25"/>
      <c r="G1027" s="25"/>
      <c r="H1027" s="25"/>
      <c r="I1027" s="25"/>
      <c r="J1027" s="53"/>
      <c r="K1027" s="53"/>
      <c r="L1027" s="53"/>
      <c r="M1027" s="53"/>
      <c r="N1027" s="53"/>
      <c r="O1027" s="53"/>
      <c r="P1027" s="53"/>
      <c r="Q1027" s="57"/>
      <c r="R1027" s="53"/>
      <c r="S1027" s="53"/>
      <c r="T1027" s="53"/>
      <c r="U1027" s="53"/>
      <c r="V1027" s="53"/>
    </row>
    <row r="1028" spans="1:22" x14ac:dyDescent="0.2">
      <c r="A1028" s="48"/>
      <c r="B1028" s="51" t="s">
        <v>1</v>
      </c>
      <c r="C1028" s="51" t="s">
        <v>1</v>
      </c>
      <c r="D1028" s="24">
        <f>E1028+F1028+G1028+H1028+I1028</f>
        <v>258641.88678999999</v>
      </c>
      <c r="E1028" s="25">
        <f>304941.209+7767.03112-188845.106+59985.49887+13340.93916-47093.84839+54197.68403-17476.478-4455</f>
        <v>182361.92978999999</v>
      </c>
      <c r="F1028" s="25">
        <v>76279.956999999995</v>
      </c>
      <c r="G1028" s="25"/>
      <c r="H1028" s="25"/>
      <c r="I1028" s="25"/>
      <c r="J1028" s="53"/>
      <c r="K1028" s="53"/>
      <c r="L1028" s="53"/>
      <c r="M1028" s="53"/>
      <c r="N1028" s="53"/>
      <c r="O1028" s="53"/>
      <c r="P1028" s="53"/>
      <c r="Q1028" s="57"/>
      <c r="R1028" s="53"/>
      <c r="S1028" s="53"/>
      <c r="T1028" s="53"/>
      <c r="U1028" s="53"/>
      <c r="V1028" s="53"/>
    </row>
    <row r="1029" spans="1:22" x14ac:dyDescent="0.2">
      <c r="A1029" s="48"/>
      <c r="B1029" s="51" t="s">
        <v>2</v>
      </c>
      <c r="C1029" s="51" t="s">
        <v>2</v>
      </c>
      <c r="D1029" s="24">
        <f>E1029+F1029+G1029+H1029+I1029</f>
        <v>2612.5443148484846</v>
      </c>
      <c r="E1029" s="25">
        <v>1842.0396948484847</v>
      </c>
      <c r="F1029" s="25">
        <v>770.50462000000005</v>
      </c>
      <c r="G1029" s="25"/>
      <c r="H1029" s="25"/>
      <c r="I1029" s="25"/>
      <c r="J1029" s="53"/>
      <c r="K1029" s="53"/>
      <c r="L1029" s="53"/>
      <c r="M1029" s="53"/>
      <c r="N1029" s="53"/>
      <c r="O1029" s="53"/>
      <c r="P1029" s="53"/>
      <c r="Q1029" s="57"/>
      <c r="R1029" s="53"/>
      <c r="S1029" s="53"/>
      <c r="T1029" s="53"/>
      <c r="U1029" s="53"/>
      <c r="V1029" s="53"/>
    </row>
    <row r="1030" spans="1:22" ht="21.75" customHeight="1" x14ac:dyDescent="0.2">
      <c r="A1030" s="48"/>
      <c r="B1030" s="51" t="s">
        <v>3</v>
      </c>
      <c r="C1030" s="51" t="s">
        <v>3</v>
      </c>
      <c r="D1030" s="24">
        <f>E1030+F1030+G1030+H1030+I1030</f>
        <v>0</v>
      </c>
      <c r="E1030" s="25"/>
      <c r="F1030" s="25"/>
      <c r="G1030" s="25"/>
      <c r="H1030" s="25"/>
      <c r="I1030" s="25"/>
      <c r="J1030" s="53"/>
      <c r="K1030" s="53"/>
      <c r="L1030" s="53"/>
      <c r="M1030" s="53"/>
      <c r="N1030" s="53"/>
      <c r="O1030" s="53"/>
      <c r="P1030" s="53"/>
      <c r="Q1030" s="57"/>
      <c r="R1030" s="53"/>
      <c r="S1030" s="53"/>
      <c r="T1030" s="53"/>
      <c r="U1030" s="53"/>
      <c r="V1030" s="53"/>
    </row>
    <row r="1031" spans="1:22" ht="12.75" customHeight="1" x14ac:dyDescent="0.2">
      <c r="A1031" s="48" t="s">
        <v>490</v>
      </c>
      <c r="B1031" s="49" t="s">
        <v>16</v>
      </c>
      <c r="C1031" s="49"/>
      <c r="D1031" s="49"/>
      <c r="E1031" s="49"/>
      <c r="F1031" s="49"/>
      <c r="G1031" s="49"/>
      <c r="H1031" s="49"/>
      <c r="I1031" s="49"/>
      <c r="J1031" s="49"/>
      <c r="K1031" s="49"/>
      <c r="L1031" s="49"/>
      <c r="M1031" s="49"/>
      <c r="N1031" s="49"/>
      <c r="O1031" s="49"/>
      <c r="P1031" s="49"/>
      <c r="Q1031" s="49"/>
      <c r="R1031" s="49"/>
      <c r="S1031" s="49"/>
      <c r="T1031" s="49"/>
      <c r="U1031" s="49"/>
      <c r="V1031" s="49"/>
    </row>
    <row r="1032" spans="1:22" ht="12.75" customHeight="1" x14ac:dyDescent="0.2">
      <c r="A1032" s="48"/>
      <c r="B1032" s="52" t="s">
        <v>124</v>
      </c>
      <c r="C1032" s="52"/>
      <c r="D1032" s="52"/>
      <c r="E1032" s="52"/>
      <c r="F1032" s="52"/>
      <c r="G1032" s="52"/>
      <c r="H1032" s="52"/>
      <c r="I1032" s="52"/>
      <c r="J1032" s="52"/>
      <c r="K1032" s="52"/>
      <c r="L1032" s="52"/>
      <c r="M1032" s="52"/>
      <c r="N1032" s="52"/>
      <c r="O1032" s="52"/>
      <c r="P1032" s="52"/>
      <c r="Q1032" s="52"/>
      <c r="R1032" s="52"/>
      <c r="S1032" s="52"/>
      <c r="T1032" s="52"/>
      <c r="U1032" s="52"/>
      <c r="V1032" s="52"/>
    </row>
    <row r="1033" spans="1:22" ht="45" customHeight="1" x14ac:dyDescent="0.2">
      <c r="A1033" s="48"/>
      <c r="B1033" s="50" t="s">
        <v>484</v>
      </c>
      <c r="C1033" s="50" t="s">
        <v>484</v>
      </c>
      <c r="D1033" s="50"/>
      <c r="E1033" s="50"/>
      <c r="F1033" s="50"/>
      <c r="G1033" s="50"/>
      <c r="H1033" s="50"/>
      <c r="I1033" s="50"/>
      <c r="J1033" s="53" t="s">
        <v>96</v>
      </c>
      <c r="K1033" s="53"/>
      <c r="L1033" s="53" t="s">
        <v>72</v>
      </c>
      <c r="M1033" s="53"/>
      <c r="N1033" s="53" t="s">
        <v>68</v>
      </c>
      <c r="O1033" s="53"/>
      <c r="P1033" s="53" t="s">
        <v>74</v>
      </c>
      <c r="Q1033" s="57"/>
      <c r="R1033" s="53" t="s">
        <v>9</v>
      </c>
      <c r="S1033" s="53" t="s">
        <v>68</v>
      </c>
      <c r="T1033" s="53" t="s">
        <v>7</v>
      </c>
      <c r="U1033" s="53"/>
      <c r="V1033" s="53"/>
    </row>
    <row r="1034" spans="1:22" x14ac:dyDescent="0.2">
      <c r="A1034" s="48"/>
      <c r="B1034" s="51" t="s">
        <v>5</v>
      </c>
      <c r="C1034" s="51" t="s">
        <v>5</v>
      </c>
      <c r="D1034" s="24">
        <f>SUM(D1035:D1038)</f>
        <v>120910.05938999998</v>
      </c>
      <c r="E1034" s="25">
        <f>SUM(E1035:E1038)</f>
        <v>120910.05938999998</v>
      </c>
      <c r="F1034" s="25">
        <f>SUM(F1035:F1038)</f>
        <v>0</v>
      </c>
      <c r="G1034" s="25"/>
      <c r="H1034" s="25"/>
      <c r="I1034" s="25"/>
      <c r="J1034" s="53"/>
      <c r="K1034" s="53"/>
      <c r="L1034" s="53"/>
      <c r="M1034" s="53"/>
      <c r="N1034" s="53"/>
      <c r="O1034" s="53"/>
      <c r="P1034" s="53"/>
      <c r="Q1034" s="57"/>
      <c r="R1034" s="53"/>
      <c r="S1034" s="53"/>
      <c r="T1034" s="53"/>
      <c r="U1034" s="53"/>
      <c r="V1034" s="53"/>
    </row>
    <row r="1035" spans="1:22" x14ac:dyDescent="0.2">
      <c r="A1035" s="48"/>
      <c r="B1035" s="51" t="s">
        <v>0</v>
      </c>
      <c r="C1035" s="51" t="s">
        <v>0</v>
      </c>
      <c r="D1035" s="24">
        <f>E1035+F1035+G1035+H1035+I1035</f>
        <v>0</v>
      </c>
      <c r="E1035" s="25"/>
      <c r="F1035" s="25"/>
      <c r="G1035" s="25"/>
      <c r="H1035" s="25"/>
      <c r="I1035" s="25"/>
      <c r="J1035" s="53"/>
      <c r="K1035" s="53"/>
      <c r="L1035" s="53"/>
      <c r="M1035" s="53"/>
      <c r="N1035" s="53"/>
      <c r="O1035" s="53"/>
      <c r="P1035" s="53"/>
      <c r="Q1035" s="57"/>
      <c r="R1035" s="53"/>
      <c r="S1035" s="53"/>
      <c r="T1035" s="53"/>
      <c r="U1035" s="53"/>
      <c r="V1035" s="53"/>
    </row>
    <row r="1036" spans="1:22" x14ac:dyDescent="0.2">
      <c r="A1036" s="48"/>
      <c r="B1036" s="51" t="s">
        <v>1</v>
      </c>
      <c r="C1036" s="51" t="s">
        <v>1</v>
      </c>
      <c r="D1036" s="24">
        <f>E1036+F1036+G1036+H1036+I1036</f>
        <v>119719.09821999999</v>
      </c>
      <c r="E1036" s="25">
        <f>188845.106-69651.35387-3551.91782+4077.26391</f>
        <v>119719.09821999999</v>
      </c>
      <c r="F1036" s="25"/>
      <c r="G1036" s="25"/>
      <c r="H1036" s="25"/>
      <c r="I1036" s="25"/>
      <c r="J1036" s="53"/>
      <c r="K1036" s="53"/>
      <c r="L1036" s="53"/>
      <c r="M1036" s="53"/>
      <c r="N1036" s="53"/>
      <c r="O1036" s="53"/>
      <c r="P1036" s="53"/>
      <c r="Q1036" s="57"/>
      <c r="R1036" s="53"/>
      <c r="S1036" s="53"/>
      <c r="T1036" s="53"/>
      <c r="U1036" s="53"/>
      <c r="V1036" s="53"/>
    </row>
    <row r="1037" spans="1:22" x14ac:dyDescent="0.2">
      <c r="A1037" s="48"/>
      <c r="B1037" s="51" t="s">
        <v>2</v>
      </c>
      <c r="C1037" s="51" t="s">
        <v>2</v>
      </c>
      <c r="D1037" s="24">
        <f>E1037+F1037+G1037+H1037+I1037</f>
        <v>1190.96117</v>
      </c>
      <c r="E1037" s="25">
        <v>1190.96117</v>
      </c>
      <c r="F1037" s="25"/>
      <c r="G1037" s="25"/>
      <c r="H1037" s="25"/>
      <c r="I1037" s="25"/>
      <c r="J1037" s="53"/>
      <c r="K1037" s="53"/>
      <c r="L1037" s="53"/>
      <c r="M1037" s="53"/>
      <c r="N1037" s="53"/>
      <c r="O1037" s="53"/>
      <c r="P1037" s="53"/>
      <c r="Q1037" s="57"/>
      <c r="R1037" s="53"/>
      <c r="S1037" s="53"/>
      <c r="T1037" s="53"/>
      <c r="U1037" s="53"/>
      <c r="V1037" s="53"/>
    </row>
    <row r="1038" spans="1:22" ht="21.75" customHeight="1" x14ac:dyDescent="0.2">
      <c r="A1038" s="48"/>
      <c r="B1038" s="51" t="s">
        <v>3</v>
      </c>
      <c r="C1038" s="51" t="s">
        <v>3</v>
      </c>
      <c r="D1038" s="24">
        <f>E1038+F1038+G1038+H1038+I1038</f>
        <v>0</v>
      </c>
      <c r="E1038" s="25"/>
      <c r="F1038" s="25"/>
      <c r="G1038" s="25"/>
      <c r="H1038" s="25"/>
      <c r="I1038" s="25"/>
      <c r="J1038" s="53"/>
      <c r="K1038" s="53"/>
      <c r="L1038" s="53"/>
      <c r="M1038" s="53"/>
      <c r="N1038" s="53"/>
      <c r="O1038" s="53"/>
      <c r="P1038" s="53"/>
      <c r="Q1038" s="57"/>
      <c r="R1038" s="53"/>
      <c r="S1038" s="53"/>
      <c r="T1038" s="53"/>
      <c r="U1038" s="53"/>
      <c r="V1038" s="53"/>
    </row>
    <row r="1039" spans="1:22" ht="12.75" customHeight="1" x14ac:dyDescent="0.2">
      <c r="A1039" s="48" t="s">
        <v>491</v>
      </c>
      <c r="B1039" s="49" t="s">
        <v>16</v>
      </c>
      <c r="C1039" s="49"/>
      <c r="D1039" s="49"/>
      <c r="E1039" s="49"/>
      <c r="F1039" s="49"/>
      <c r="G1039" s="49"/>
      <c r="H1039" s="49"/>
      <c r="I1039" s="49"/>
      <c r="J1039" s="49"/>
      <c r="K1039" s="49"/>
      <c r="L1039" s="49"/>
      <c r="M1039" s="49"/>
      <c r="N1039" s="49"/>
      <c r="O1039" s="49"/>
      <c r="P1039" s="49"/>
      <c r="Q1039" s="49"/>
      <c r="R1039" s="49"/>
      <c r="S1039" s="49"/>
      <c r="T1039" s="49"/>
      <c r="U1039" s="49"/>
      <c r="V1039" s="49"/>
    </row>
    <row r="1040" spans="1:22" ht="12.75" customHeight="1" x14ac:dyDescent="0.2">
      <c r="A1040" s="48"/>
      <c r="B1040" s="52" t="s">
        <v>124</v>
      </c>
      <c r="C1040" s="52"/>
      <c r="D1040" s="52"/>
      <c r="E1040" s="52"/>
      <c r="F1040" s="52"/>
      <c r="G1040" s="52"/>
      <c r="H1040" s="52"/>
      <c r="I1040" s="52"/>
      <c r="J1040" s="52"/>
      <c r="K1040" s="52"/>
      <c r="L1040" s="52"/>
      <c r="M1040" s="52"/>
      <c r="N1040" s="52"/>
      <c r="O1040" s="52"/>
      <c r="P1040" s="52"/>
      <c r="Q1040" s="52"/>
      <c r="R1040" s="52"/>
      <c r="S1040" s="52"/>
      <c r="T1040" s="52"/>
      <c r="U1040" s="52"/>
      <c r="V1040" s="52"/>
    </row>
    <row r="1041" spans="1:22" ht="44.25" customHeight="1" x14ac:dyDescent="0.2">
      <c r="A1041" s="48"/>
      <c r="B1041" s="50" t="s">
        <v>424</v>
      </c>
      <c r="C1041" s="50" t="s">
        <v>424</v>
      </c>
      <c r="D1041" s="50"/>
      <c r="E1041" s="50"/>
      <c r="F1041" s="50"/>
      <c r="G1041" s="50"/>
      <c r="H1041" s="50"/>
      <c r="I1041" s="50"/>
      <c r="J1041" s="53" t="s">
        <v>60</v>
      </c>
      <c r="K1041" s="53"/>
      <c r="L1041" s="53" t="s">
        <v>72</v>
      </c>
      <c r="M1041" s="53"/>
      <c r="N1041" s="53" t="s">
        <v>425</v>
      </c>
      <c r="O1041" s="53" t="s">
        <v>425</v>
      </c>
      <c r="P1041" s="53" t="s">
        <v>425</v>
      </c>
      <c r="Q1041" s="57"/>
      <c r="R1041" s="53" t="s">
        <v>9</v>
      </c>
      <c r="S1041" s="53" t="s">
        <v>426</v>
      </c>
      <c r="T1041" s="53" t="s">
        <v>7</v>
      </c>
      <c r="U1041" s="53"/>
      <c r="V1041" s="53"/>
    </row>
    <row r="1042" spans="1:22" x14ac:dyDescent="0.2">
      <c r="A1042" s="48"/>
      <c r="B1042" s="51" t="s">
        <v>5</v>
      </c>
      <c r="C1042" s="51" t="s">
        <v>5</v>
      </c>
      <c r="D1042" s="24">
        <f>SUM(D1043:D1046)</f>
        <v>2848.2535776767663</v>
      </c>
      <c r="E1042" s="25">
        <f>SUM(E1043:E1046)</f>
        <v>2848.2535776767663</v>
      </c>
      <c r="F1042" s="25"/>
      <c r="G1042" s="25"/>
      <c r="H1042" s="25"/>
      <c r="I1042" s="25"/>
      <c r="J1042" s="53"/>
      <c r="K1042" s="53"/>
      <c r="L1042" s="53"/>
      <c r="M1042" s="53"/>
      <c r="N1042" s="53"/>
      <c r="O1042" s="53"/>
      <c r="P1042" s="53"/>
      <c r="Q1042" s="57"/>
      <c r="R1042" s="53"/>
      <c r="S1042" s="53"/>
      <c r="T1042" s="53"/>
      <c r="U1042" s="53"/>
      <c r="V1042" s="53"/>
    </row>
    <row r="1043" spans="1:22" x14ac:dyDescent="0.2">
      <c r="A1043" s="48"/>
      <c r="B1043" s="51" t="s">
        <v>0</v>
      </c>
      <c r="C1043" s="51" t="s">
        <v>0</v>
      </c>
      <c r="D1043" s="24">
        <f>E1043+F1043+G1043+H1043+I1043</f>
        <v>0</v>
      </c>
      <c r="E1043" s="25"/>
      <c r="F1043" s="25"/>
      <c r="G1043" s="25"/>
      <c r="H1043" s="25"/>
      <c r="I1043" s="25"/>
      <c r="J1043" s="53"/>
      <c r="K1043" s="53"/>
      <c r="L1043" s="53"/>
      <c r="M1043" s="53"/>
      <c r="N1043" s="53"/>
      <c r="O1043" s="53"/>
      <c r="P1043" s="53"/>
      <c r="Q1043" s="57"/>
      <c r="R1043" s="53"/>
      <c r="S1043" s="53"/>
      <c r="T1043" s="53"/>
      <c r="U1043" s="53"/>
      <c r="V1043" s="53"/>
    </row>
    <row r="1044" spans="1:22" x14ac:dyDescent="0.2">
      <c r="A1044" s="48"/>
      <c r="B1044" s="51" t="s">
        <v>1</v>
      </c>
      <c r="C1044" s="51" t="s">
        <v>1</v>
      </c>
      <c r="D1044" s="24">
        <f>E1044+F1044+G1044+H1044+I1044</f>
        <v>2775.8318099999988</v>
      </c>
      <c r="E1044" s="25">
        <f>603.9+9665.855-7493.92319</f>
        <v>2775.8318099999988</v>
      </c>
      <c r="F1044" s="25"/>
      <c r="G1044" s="25"/>
      <c r="H1044" s="25"/>
      <c r="I1044" s="25"/>
      <c r="J1044" s="53"/>
      <c r="K1044" s="53"/>
      <c r="L1044" s="53"/>
      <c r="M1044" s="53"/>
      <c r="N1044" s="53"/>
      <c r="O1044" s="53"/>
      <c r="P1044" s="53"/>
      <c r="Q1044" s="57"/>
      <c r="R1044" s="53"/>
      <c r="S1044" s="53"/>
      <c r="T1044" s="53"/>
      <c r="U1044" s="53"/>
      <c r="V1044" s="53"/>
    </row>
    <row r="1045" spans="1:22" x14ac:dyDescent="0.2">
      <c r="A1045" s="48"/>
      <c r="B1045" s="51" t="s">
        <v>2</v>
      </c>
      <c r="C1045" s="51" t="s">
        <v>2</v>
      </c>
      <c r="D1045" s="24">
        <f>E1045+F1045+G1045+H1045+I1045</f>
        <v>72.421767676767672</v>
      </c>
      <c r="E1045" s="25">
        <v>72.421767676767672</v>
      </c>
      <c r="F1045" s="25"/>
      <c r="G1045" s="25"/>
      <c r="H1045" s="25"/>
      <c r="I1045" s="25"/>
      <c r="J1045" s="53"/>
      <c r="K1045" s="53"/>
      <c r="L1045" s="53"/>
      <c r="M1045" s="53"/>
      <c r="N1045" s="53"/>
      <c r="O1045" s="53"/>
      <c r="P1045" s="53"/>
      <c r="Q1045" s="57"/>
      <c r="R1045" s="53"/>
      <c r="S1045" s="53"/>
      <c r="T1045" s="53"/>
      <c r="U1045" s="53"/>
      <c r="V1045" s="53"/>
    </row>
    <row r="1046" spans="1:22" ht="21.75" customHeight="1" x14ac:dyDescent="0.2">
      <c r="A1046" s="48"/>
      <c r="B1046" s="51" t="s">
        <v>3</v>
      </c>
      <c r="C1046" s="51" t="s">
        <v>3</v>
      </c>
      <c r="D1046" s="24">
        <f>E1046+F1046+G1046+H1046+I1046</f>
        <v>0</v>
      </c>
      <c r="E1046" s="25"/>
      <c r="F1046" s="25"/>
      <c r="G1046" s="25"/>
      <c r="H1046" s="25"/>
      <c r="I1046" s="25"/>
      <c r="J1046" s="53"/>
      <c r="K1046" s="53"/>
      <c r="L1046" s="53"/>
      <c r="M1046" s="53"/>
      <c r="N1046" s="53"/>
      <c r="O1046" s="53"/>
      <c r="P1046" s="53"/>
      <c r="Q1046" s="57"/>
      <c r="R1046" s="53"/>
      <c r="S1046" s="53"/>
      <c r="T1046" s="53"/>
      <c r="U1046" s="53"/>
      <c r="V1046" s="53"/>
    </row>
    <row r="1047" spans="1:22" ht="12.75" customHeight="1" x14ac:dyDescent="0.2">
      <c r="A1047" s="54" t="s">
        <v>56</v>
      </c>
      <c r="B1047" s="55" t="s">
        <v>234</v>
      </c>
      <c r="C1047" s="55"/>
      <c r="D1047" s="55"/>
      <c r="E1047" s="55"/>
      <c r="F1047" s="55"/>
      <c r="G1047" s="55"/>
      <c r="H1047" s="55"/>
      <c r="I1047" s="55"/>
      <c r="J1047" s="55"/>
      <c r="K1047" s="55"/>
      <c r="L1047" s="55"/>
      <c r="M1047" s="55"/>
      <c r="N1047" s="55"/>
      <c r="O1047" s="55"/>
      <c r="P1047" s="55"/>
      <c r="Q1047" s="55"/>
      <c r="R1047" s="55"/>
      <c r="S1047" s="55"/>
      <c r="T1047" s="55"/>
      <c r="U1047" s="55"/>
      <c r="V1047" s="55"/>
    </row>
    <row r="1048" spans="1:22" ht="12.75" customHeight="1" x14ac:dyDescent="0.2">
      <c r="A1048" s="54"/>
      <c r="B1048" s="56" t="s">
        <v>5</v>
      </c>
      <c r="C1048" s="56"/>
      <c r="D1048" s="23">
        <f t="shared" ref="D1048:I1048" si="77">SUM(D1049:D1052)</f>
        <v>46593.444230000001</v>
      </c>
      <c r="E1048" s="23">
        <f t="shared" si="77"/>
        <v>46593.444230000001</v>
      </c>
      <c r="F1048" s="23">
        <f t="shared" si="77"/>
        <v>0</v>
      </c>
      <c r="G1048" s="23">
        <f t="shared" si="77"/>
        <v>0</v>
      </c>
      <c r="H1048" s="23">
        <f t="shared" si="77"/>
        <v>0</v>
      </c>
      <c r="I1048" s="23">
        <f t="shared" si="77"/>
        <v>0</v>
      </c>
      <c r="J1048" s="12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4"/>
    </row>
    <row r="1049" spans="1:22" x14ac:dyDescent="0.2">
      <c r="A1049" s="54"/>
      <c r="B1049" s="56" t="s">
        <v>0</v>
      </c>
      <c r="C1049" s="56"/>
      <c r="D1049" s="23">
        <f>E1049+F1049+G1049+H1049+I1049</f>
        <v>0</v>
      </c>
      <c r="E1049" s="23">
        <f>E1057</f>
        <v>0</v>
      </c>
      <c r="F1049" s="23">
        <f t="shared" ref="F1049:I1049" si="78">F1057</f>
        <v>0</v>
      </c>
      <c r="G1049" s="23">
        <f t="shared" si="78"/>
        <v>0</v>
      </c>
      <c r="H1049" s="23">
        <f t="shared" si="78"/>
        <v>0</v>
      </c>
      <c r="I1049" s="23">
        <f t="shared" si="78"/>
        <v>0</v>
      </c>
      <c r="J1049" s="15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  <c r="V1049" s="17"/>
    </row>
    <row r="1050" spans="1:22" ht="12.75" customHeight="1" x14ac:dyDescent="0.2">
      <c r="A1050" s="54"/>
      <c r="B1050" s="56" t="s">
        <v>1</v>
      </c>
      <c r="C1050" s="56"/>
      <c r="D1050" s="23">
        <f>E1050+F1050+G1050+H1050+I1050</f>
        <v>46589.343820000002</v>
      </c>
      <c r="E1050" s="23">
        <f t="shared" ref="E1050:I1050" si="79">E1058</f>
        <v>46589.343820000002</v>
      </c>
      <c r="F1050" s="23">
        <f t="shared" si="79"/>
        <v>0</v>
      </c>
      <c r="G1050" s="23">
        <f t="shared" si="79"/>
        <v>0</v>
      </c>
      <c r="H1050" s="23">
        <f t="shared" si="79"/>
        <v>0</v>
      </c>
      <c r="I1050" s="23">
        <f t="shared" si="79"/>
        <v>0</v>
      </c>
      <c r="J1050" s="15"/>
      <c r="K1050" s="18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  <c r="V1050" s="17"/>
    </row>
    <row r="1051" spans="1:22" ht="12.75" customHeight="1" x14ac:dyDescent="0.2">
      <c r="A1051" s="54"/>
      <c r="B1051" s="56" t="s">
        <v>2</v>
      </c>
      <c r="C1051" s="56"/>
      <c r="D1051" s="23">
        <f>E1051+F1051+G1051+H1051+I1051</f>
        <v>4.1004100000000001</v>
      </c>
      <c r="E1051" s="23">
        <f t="shared" ref="E1051:I1051" si="80">E1059</f>
        <v>4.1004100000000001</v>
      </c>
      <c r="F1051" s="23">
        <f t="shared" si="80"/>
        <v>0</v>
      </c>
      <c r="G1051" s="23">
        <f t="shared" si="80"/>
        <v>0</v>
      </c>
      <c r="H1051" s="23">
        <f t="shared" si="80"/>
        <v>0</v>
      </c>
      <c r="I1051" s="23">
        <f t="shared" si="80"/>
        <v>0</v>
      </c>
      <c r="J1051" s="15"/>
      <c r="K1051" s="16"/>
      <c r="L1051" s="16"/>
      <c r="M1051" s="16"/>
      <c r="N1051" s="16"/>
      <c r="O1051" s="16"/>
      <c r="P1051" s="16"/>
      <c r="Q1051" s="16"/>
      <c r="R1051" s="16"/>
      <c r="S1051" s="16"/>
      <c r="T1051" s="16"/>
      <c r="U1051" s="16"/>
      <c r="V1051" s="17"/>
    </row>
    <row r="1052" spans="1:22" ht="19.5" customHeight="1" x14ac:dyDescent="0.2">
      <c r="A1052" s="54"/>
      <c r="B1052" s="56" t="s">
        <v>3</v>
      </c>
      <c r="C1052" s="56"/>
      <c r="D1052" s="23">
        <f>E1052+F1052+G1052+H1052+I1052</f>
        <v>0</v>
      </c>
      <c r="E1052" s="23">
        <f t="shared" ref="E1052:I1052" si="81">E1060</f>
        <v>0</v>
      </c>
      <c r="F1052" s="23">
        <f t="shared" si="81"/>
        <v>0</v>
      </c>
      <c r="G1052" s="23">
        <f t="shared" si="81"/>
        <v>0</v>
      </c>
      <c r="H1052" s="23">
        <f t="shared" si="81"/>
        <v>0</v>
      </c>
      <c r="I1052" s="23">
        <f t="shared" si="81"/>
        <v>0</v>
      </c>
      <c r="J1052" s="19"/>
      <c r="K1052" s="20"/>
      <c r="L1052" s="20"/>
      <c r="M1052" s="20"/>
      <c r="N1052" s="20"/>
      <c r="O1052" s="20"/>
      <c r="P1052" s="20"/>
      <c r="Q1052" s="20"/>
      <c r="R1052" s="20"/>
      <c r="S1052" s="20"/>
      <c r="T1052" s="20"/>
      <c r="U1052" s="20"/>
      <c r="V1052" s="21"/>
    </row>
    <row r="1053" spans="1:22" ht="12.75" customHeight="1" x14ac:dyDescent="0.2">
      <c r="A1053" s="48" t="s">
        <v>57</v>
      </c>
      <c r="B1053" s="49" t="s">
        <v>133</v>
      </c>
      <c r="C1053" s="49"/>
      <c r="D1053" s="49"/>
      <c r="E1053" s="49"/>
      <c r="F1053" s="49"/>
      <c r="G1053" s="49"/>
      <c r="H1053" s="49"/>
      <c r="I1053" s="49"/>
      <c r="J1053" s="49"/>
      <c r="K1053" s="49"/>
      <c r="L1053" s="49"/>
      <c r="M1053" s="49"/>
      <c r="N1053" s="49"/>
      <c r="O1053" s="49"/>
      <c r="P1053" s="49"/>
      <c r="Q1053" s="49"/>
      <c r="R1053" s="49"/>
      <c r="S1053" s="49"/>
      <c r="T1053" s="49"/>
      <c r="U1053" s="49"/>
      <c r="V1053" s="49"/>
    </row>
    <row r="1054" spans="1:22" ht="12.75" customHeight="1" x14ac:dyDescent="0.2">
      <c r="A1054" s="48"/>
      <c r="B1054" s="52" t="s">
        <v>280</v>
      </c>
      <c r="C1054" s="52"/>
      <c r="D1054" s="52"/>
      <c r="E1054" s="52"/>
      <c r="F1054" s="52"/>
      <c r="G1054" s="52"/>
      <c r="H1054" s="52"/>
      <c r="I1054" s="52"/>
      <c r="J1054" s="52"/>
      <c r="K1054" s="52"/>
      <c r="L1054" s="52"/>
      <c r="M1054" s="52"/>
      <c r="N1054" s="52"/>
      <c r="O1054" s="52"/>
      <c r="P1054" s="52"/>
      <c r="Q1054" s="52"/>
      <c r="R1054" s="52"/>
      <c r="S1054" s="52"/>
      <c r="T1054" s="52"/>
      <c r="U1054" s="52"/>
      <c r="V1054" s="52"/>
    </row>
    <row r="1055" spans="1:22" ht="45.75" customHeight="1" x14ac:dyDescent="0.2">
      <c r="A1055" s="48"/>
      <c r="B1055" s="50" t="s">
        <v>358</v>
      </c>
      <c r="C1055" s="50" t="s">
        <v>358</v>
      </c>
      <c r="D1055" s="50"/>
      <c r="E1055" s="50"/>
      <c r="F1055" s="50"/>
      <c r="G1055" s="50"/>
      <c r="H1055" s="50"/>
      <c r="I1055" s="50"/>
      <c r="J1055" s="53" t="s">
        <v>60</v>
      </c>
      <c r="K1055" s="53"/>
      <c r="L1055" s="53" t="s">
        <v>72</v>
      </c>
      <c r="M1055" s="53" t="s">
        <v>170</v>
      </c>
      <c r="N1055" s="53" t="s">
        <v>14</v>
      </c>
      <c r="O1055" s="53" t="s">
        <v>173</v>
      </c>
      <c r="P1055" s="53" t="s">
        <v>173</v>
      </c>
      <c r="Q1055" s="57"/>
      <c r="R1055" s="53" t="s">
        <v>9</v>
      </c>
      <c r="S1055" s="53" t="s">
        <v>14</v>
      </c>
      <c r="T1055" s="53" t="s">
        <v>7</v>
      </c>
      <c r="U1055" s="53"/>
      <c r="V1055" s="53" t="s">
        <v>681</v>
      </c>
    </row>
    <row r="1056" spans="1:22" x14ac:dyDescent="0.2">
      <c r="A1056" s="48"/>
      <c r="B1056" s="51" t="s">
        <v>5</v>
      </c>
      <c r="C1056" s="51" t="s">
        <v>5</v>
      </c>
      <c r="D1056" s="24">
        <f>SUM(D1057:D1060)</f>
        <v>46593.444230000001</v>
      </c>
      <c r="E1056" s="25">
        <f>SUM(E1057:E1060)</f>
        <v>46593.444230000001</v>
      </c>
      <c r="F1056" s="25"/>
      <c r="G1056" s="25"/>
      <c r="H1056" s="25"/>
      <c r="I1056" s="25"/>
      <c r="J1056" s="53"/>
      <c r="K1056" s="53"/>
      <c r="L1056" s="53"/>
      <c r="M1056" s="53"/>
      <c r="N1056" s="53"/>
      <c r="O1056" s="53"/>
      <c r="P1056" s="53"/>
      <c r="Q1056" s="57"/>
      <c r="R1056" s="53"/>
      <c r="S1056" s="53"/>
      <c r="T1056" s="53"/>
      <c r="U1056" s="53"/>
      <c r="V1056" s="53"/>
    </row>
    <row r="1057" spans="1:22" x14ac:dyDescent="0.2">
      <c r="A1057" s="48"/>
      <c r="B1057" s="51" t="s">
        <v>0</v>
      </c>
      <c r="C1057" s="51" t="s">
        <v>0</v>
      </c>
      <c r="D1057" s="24">
        <f>E1057+F1057+G1057+H1057+I1057</f>
        <v>0</v>
      </c>
      <c r="E1057" s="25"/>
      <c r="F1057" s="25"/>
      <c r="G1057" s="25"/>
      <c r="H1057" s="25"/>
      <c r="I1057" s="25"/>
      <c r="J1057" s="53"/>
      <c r="K1057" s="53"/>
      <c r="L1057" s="53"/>
      <c r="M1057" s="53"/>
      <c r="N1057" s="53"/>
      <c r="O1057" s="53"/>
      <c r="P1057" s="53"/>
      <c r="Q1057" s="57"/>
      <c r="R1057" s="53"/>
      <c r="S1057" s="53"/>
      <c r="T1057" s="53"/>
      <c r="U1057" s="53"/>
      <c r="V1057" s="53"/>
    </row>
    <row r="1058" spans="1:22" x14ac:dyDescent="0.2">
      <c r="A1058" s="48"/>
      <c r="B1058" s="51" t="s">
        <v>1</v>
      </c>
      <c r="C1058" s="51" t="s">
        <v>1</v>
      </c>
      <c r="D1058" s="24">
        <f>E1058+F1058+G1058+H1058+I1058</f>
        <v>46589.343820000002</v>
      </c>
      <c r="E1058" s="25">
        <f>41000+5589.34382</f>
        <v>46589.343820000002</v>
      </c>
      <c r="F1058" s="25"/>
      <c r="G1058" s="25"/>
      <c r="H1058" s="25"/>
      <c r="I1058" s="25"/>
      <c r="J1058" s="53"/>
      <c r="K1058" s="53"/>
      <c r="L1058" s="53"/>
      <c r="M1058" s="53"/>
      <c r="N1058" s="53"/>
      <c r="O1058" s="53"/>
      <c r="P1058" s="53"/>
      <c r="Q1058" s="57"/>
      <c r="R1058" s="53"/>
      <c r="S1058" s="53"/>
      <c r="T1058" s="53"/>
      <c r="U1058" s="53"/>
      <c r="V1058" s="53"/>
    </row>
    <row r="1059" spans="1:22" x14ac:dyDescent="0.2">
      <c r="A1059" s="48"/>
      <c r="B1059" s="51" t="s">
        <v>2</v>
      </c>
      <c r="C1059" s="51" t="s">
        <v>2</v>
      </c>
      <c r="D1059" s="24">
        <f>E1059+F1059+G1059+H1059+I1059</f>
        <v>4.1004100000000001</v>
      </c>
      <c r="E1059" s="25">
        <v>4.1004100000000001</v>
      </c>
      <c r="F1059" s="25"/>
      <c r="G1059" s="25"/>
      <c r="H1059" s="25"/>
      <c r="I1059" s="25"/>
      <c r="J1059" s="53"/>
      <c r="K1059" s="53"/>
      <c r="L1059" s="53"/>
      <c r="M1059" s="53"/>
      <c r="N1059" s="53"/>
      <c r="O1059" s="53"/>
      <c r="P1059" s="53"/>
      <c r="Q1059" s="57"/>
      <c r="R1059" s="53"/>
      <c r="S1059" s="53"/>
      <c r="T1059" s="53"/>
      <c r="U1059" s="53"/>
      <c r="V1059" s="53"/>
    </row>
    <row r="1060" spans="1:22" ht="21.75" customHeight="1" x14ac:dyDescent="0.2">
      <c r="A1060" s="48"/>
      <c r="B1060" s="51" t="s">
        <v>3</v>
      </c>
      <c r="C1060" s="51" t="s">
        <v>3</v>
      </c>
      <c r="D1060" s="24">
        <f>E1060+F1060+G1060+H1060+I1060</f>
        <v>0</v>
      </c>
      <c r="E1060" s="25"/>
      <c r="F1060" s="25"/>
      <c r="G1060" s="25"/>
      <c r="H1060" s="25"/>
      <c r="I1060" s="25"/>
      <c r="J1060" s="53"/>
      <c r="K1060" s="53"/>
      <c r="L1060" s="53"/>
      <c r="M1060" s="53"/>
      <c r="N1060" s="53"/>
      <c r="O1060" s="53"/>
      <c r="P1060" s="53"/>
      <c r="Q1060" s="57"/>
      <c r="R1060" s="53"/>
      <c r="S1060" s="53"/>
      <c r="T1060" s="53"/>
      <c r="U1060" s="53"/>
      <c r="V1060" s="53"/>
    </row>
    <row r="1061" spans="1:22" ht="12.75" customHeight="1" x14ac:dyDescent="0.2">
      <c r="A1061" s="54" t="s">
        <v>534</v>
      </c>
      <c r="B1061" s="55" t="s">
        <v>535</v>
      </c>
      <c r="C1061" s="55"/>
      <c r="D1061" s="55"/>
      <c r="E1061" s="55"/>
      <c r="F1061" s="55"/>
      <c r="G1061" s="55"/>
      <c r="H1061" s="55"/>
      <c r="I1061" s="55"/>
      <c r="J1061" s="55"/>
      <c r="K1061" s="55"/>
      <c r="L1061" s="55"/>
      <c r="M1061" s="55"/>
      <c r="N1061" s="55"/>
      <c r="O1061" s="55"/>
      <c r="P1061" s="55"/>
      <c r="Q1061" s="55"/>
      <c r="R1061" s="55"/>
      <c r="S1061" s="55"/>
      <c r="T1061" s="55"/>
      <c r="U1061" s="55"/>
      <c r="V1061" s="55"/>
    </row>
    <row r="1062" spans="1:22" ht="12.75" customHeight="1" x14ac:dyDescent="0.2">
      <c r="A1062" s="54"/>
      <c r="B1062" s="56" t="s">
        <v>5</v>
      </c>
      <c r="C1062" s="56"/>
      <c r="D1062" s="23">
        <f t="shared" ref="D1062:I1062" si="82">SUM(D1063:D1066)</f>
        <v>2112.2986700000001</v>
      </c>
      <c r="E1062" s="23">
        <f t="shared" si="82"/>
        <v>2112.2986700000001</v>
      </c>
      <c r="F1062" s="23">
        <f t="shared" si="82"/>
        <v>0</v>
      </c>
      <c r="G1062" s="23">
        <f t="shared" si="82"/>
        <v>0</v>
      </c>
      <c r="H1062" s="23">
        <f t="shared" si="82"/>
        <v>0</v>
      </c>
      <c r="I1062" s="23">
        <f t="shared" si="82"/>
        <v>0</v>
      </c>
      <c r="J1062" s="12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4"/>
    </row>
    <row r="1063" spans="1:22" x14ac:dyDescent="0.2">
      <c r="A1063" s="54"/>
      <c r="B1063" s="56" t="s">
        <v>0</v>
      </c>
      <c r="C1063" s="56"/>
      <c r="D1063" s="23">
        <f>E1063+F1063+G1063+H1063+I1063</f>
        <v>0</v>
      </c>
      <c r="E1063" s="23">
        <f t="shared" ref="E1063" si="83">E1071+E1079</f>
        <v>0</v>
      </c>
      <c r="F1063" s="23">
        <f t="shared" ref="F1063:I1063" si="84">F1071+F1079</f>
        <v>0</v>
      </c>
      <c r="G1063" s="23">
        <f t="shared" si="84"/>
        <v>0</v>
      </c>
      <c r="H1063" s="23">
        <f t="shared" si="84"/>
        <v>0</v>
      </c>
      <c r="I1063" s="23">
        <f t="shared" si="84"/>
        <v>0</v>
      </c>
      <c r="J1063" s="15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  <c r="V1063" s="17"/>
    </row>
    <row r="1064" spans="1:22" ht="12.75" customHeight="1" x14ac:dyDescent="0.2">
      <c r="A1064" s="54"/>
      <c r="B1064" s="56" t="s">
        <v>1</v>
      </c>
      <c r="C1064" s="56"/>
      <c r="D1064" s="23">
        <f>E1064+F1064+G1064+H1064+I1064</f>
        <v>2112.2986700000001</v>
      </c>
      <c r="E1064" s="23">
        <f t="shared" ref="E1064:I1064" si="85">E1072+E1080</f>
        <v>2112.2986700000001</v>
      </c>
      <c r="F1064" s="23">
        <f t="shared" si="85"/>
        <v>0</v>
      </c>
      <c r="G1064" s="23">
        <f t="shared" si="85"/>
        <v>0</v>
      </c>
      <c r="H1064" s="23">
        <f t="shared" si="85"/>
        <v>0</v>
      </c>
      <c r="I1064" s="23">
        <f t="shared" si="85"/>
        <v>0</v>
      </c>
      <c r="J1064" s="15"/>
      <c r="K1064" s="18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  <c r="V1064" s="17"/>
    </row>
    <row r="1065" spans="1:22" ht="12.75" customHeight="1" x14ac:dyDescent="0.2">
      <c r="A1065" s="54"/>
      <c r="B1065" s="56" t="s">
        <v>2</v>
      </c>
      <c r="C1065" s="56"/>
      <c r="D1065" s="23">
        <f>E1065+F1065+G1065+H1065+I1065</f>
        <v>0</v>
      </c>
      <c r="E1065" s="23">
        <f t="shared" ref="E1065:I1065" si="86">E1073+E1081</f>
        <v>0</v>
      </c>
      <c r="F1065" s="23">
        <f t="shared" si="86"/>
        <v>0</v>
      </c>
      <c r="G1065" s="23">
        <f t="shared" si="86"/>
        <v>0</v>
      </c>
      <c r="H1065" s="23">
        <f t="shared" si="86"/>
        <v>0</v>
      </c>
      <c r="I1065" s="23">
        <f t="shared" si="86"/>
        <v>0</v>
      </c>
      <c r="J1065" s="15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  <c r="V1065" s="17"/>
    </row>
    <row r="1066" spans="1:22" ht="20.25" customHeight="1" x14ac:dyDescent="0.2">
      <c r="A1066" s="54"/>
      <c r="B1066" s="56" t="s">
        <v>3</v>
      </c>
      <c r="C1066" s="56"/>
      <c r="D1066" s="23">
        <f>E1066+F1066+G1066+H1066+I1066</f>
        <v>0</v>
      </c>
      <c r="E1066" s="23">
        <f t="shared" ref="E1066:I1066" si="87">E1074+E1082</f>
        <v>0</v>
      </c>
      <c r="F1066" s="23">
        <f t="shared" si="87"/>
        <v>0</v>
      </c>
      <c r="G1066" s="23">
        <f t="shared" si="87"/>
        <v>0</v>
      </c>
      <c r="H1066" s="23">
        <f t="shared" si="87"/>
        <v>0</v>
      </c>
      <c r="I1066" s="23">
        <f t="shared" si="87"/>
        <v>0</v>
      </c>
      <c r="J1066" s="19"/>
      <c r="K1066" s="20"/>
      <c r="L1066" s="20"/>
      <c r="M1066" s="20"/>
      <c r="N1066" s="20"/>
      <c r="O1066" s="20"/>
      <c r="P1066" s="20"/>
      <c r="Q1066" s="20"/>
      <c r="R1066" s="20"/>
      <c r="S1066" s="20"/>
      <c r="T1066" s="20"/>
      <c r="U1066" s="20"/>
      <c r="V1066" s="21"/>
    </row>
    <row r="1067" spans="1:22" ht="12.75" customHeight="1" x14ac:dyDescent="0.2">
      <c r="A1067" s="48" t="s">
        <v>536</v>
      </c>
      <c r="B1067" s="49" t="s">
        <v>538</v>
      </c>
      <c r="C1067" s="49"/>
      <c r="D1067" s="49"/>
      <c r="E1067" s="49"/>
      <c r="F1067" s="49"/>
      <c r="G1067" s="49"/>
      <c r="H1067" s="49"/>
      <c r="I1067" s="49"/>
      <c r="J1067" s="49"/>
      <c r="K1067" s="49"/>
      <c r="L1067" s="49"/>
      <c r="M1067" s="49"/>
      <c r="N1067" s="49"/>
      <c r="O1067" s="49"/>
      <c r="P1067" s="49"/>
      <c r="Q1067" s="49"/>
      <c r="R1067" s="49"/>
      <c r="S1067" s="49"/>
      <c r="T1067" s="49"/>
      <c r="U1067" s="49"/>
      <c r="V1067" s="49"/>
    </row>
    <row r="1068" spans="1:22" x14ac:dyDescent="0.2">
      <c r="A1068" s="48"/>
      <c r="B1068" s="52" t="s">
        <v>537</v>
      </c>
      <c r="C1068" s="52"/>
      <c r="D1068" s="52"/>
      <c r="E1068" s="52"/>
      <c r="F1068" s="52"/>
      <c r="G1068" s="52"/>
      <c r="H1068" s="52"/>
      <c r="I1068" s="52"/>
      <c r="J1068" s="52"/>
      <c r="K1068" s="52"/>
      <c r="L1068" s="52"/>
      <c r="M1068" s="52"/>
      <c r="N1068" s="52"/>
      <c r="O1068" s="52"/>
      <c r="P1068" s="52"/>
      <c r="Q1068" s="52"/>
      <c r="R1068" s="52"/>
      <c r="S1068" s="52"/>
      <c r="T1068" s="52"/>
      <c r="U1068" s="52"/>
      <c r="V1068" s="52"/>
    </row>
    <row r="1069" spans="1:22" ht="48.75" customHeight="1" x14ac:dyDescent="0.2">
      <c r="A1069" s="48"/>
      <c r="B1069" s="50" t="s">
        <v>539</v>
      </c>
      <c r="C1069" s="50" t="s">
        <v>539</v>
      </c>
      <c r="D1069" s="50"/>
      <c r="E1069" s="50"/>
      <c r="F1069" s="50"/>
      <c r="G1069" s="50"/>
      <c r="H1069" s="50"/>
      <c r="I1069" s="50"/>
      <c r="J1069" s="53" t="s">
        <v>60</v>
      </c>
      <c r="K1069" s="53"/>
      <c r="L1069" s="53" t="s">
        <v>70</v>
      </c>
      <c r="M1069" s="53"/>
      <c r="N1069" s="53" t="s">
        <v>538</v>
      </c>
      <c r="O1069" s="53" t="s">
        <v>538</v>
      </c>
      <c r="P1069" s="53" t="s">
        <v>538</v>
      </c>
      <c r="Q1069" s="57"/>
      <c r="R1069" s="53" t="s">
        <v>11</v>
      </c>
      <c r="S1069" s="53" t="s">
        <v>12</v>
      </c>
      <c r="T1069" s="53" t="s">
        <v>18</v>
      </c>
      <c r="U1069" s="53"/>
      <c r="V1069" s="53"/>
    </row>
    <row r="1070" spans="1:22" x14ac:dyDescent="0.2">
      <c r="A1070" s="48"/>
      <c r="B1070" s="51" t="s">
        <v>5</v>
      </c>
      <c r="C1070" s="51" t="s">
        <v>5</v>
      </c>
      <c r="D1070" s="24">
        <f>SUM(D1071:D1074)</f>
        <v>1782</v>
      </c>
      <c r="E1070" s="25">
        <f>SUM(E1071:E1074)</f>
        <v>1782</v>
      </c>
      <c r="F1070" s="25"/>
      <c r="G1070" s="25"/>
      <c r="H1070" s="25"/>
      <c r="I1070" s="25"/>
      <c r="J1070" s="53"/>
      <c r="K1070" s="53"/>
      <c r="L1070" s="53"/>
      <c r="M1070" s="53"/>
      <c r="N1070" s="53"/>
      <c r="O1070" s="53"/>
      <c r="P1070" s="53"/>
      <c r="Q1070" s="57"/>
      <c r="R1070" s="53"/>
      <c r="S1070" s="53"/>
      <c r="T1070" s="53"/>
      <c r="U1070" s="53"/>
      <c r="V1070" s="53"/>
    </row>
    <row r="1071" spans="1:22" x14ac:dyDescent="0.2">
      <c r="A1071" s="48"/>
      <c r="B1071" s="51" t="s">
        <v>0</v>
      </c>
      <c r="C1071" s="51" t="s">
        <v>0</v>
      </c>
      <c r="D1071" s="24">
        <f>E1071+F1071+G1071+H1071+I1071</f>
        <v>0</v>
      </c>
      <c r="E1071" s="25"/>
      <c r="F1071" s="25"/>
      <c r="G1071" s="25"/>
      <c r="H1071" s="25"/>
      <c r="I1071" s="25"/>
      <c r="J1071" s="53"/>
      <c r="K1071" s="53"/>
      <c r="L1071" s="53"/>
      <c r="M1071" s="53"/>
      <c r="N1071" s="53"/>
      <c r="O1071" s="53"/>
      <c r="P1071" s="53"/>
      <c r="Q1071" s="57"/>
      <c r="R1071" s="53"/>
      <c r="S1071" s="53"/>
      <c r="T1071" s="53"/>
      <c r="U1071" s="53"/>
      <c r="V1071" s="53"/>
    </row>
    <row r="1072" spans="1:22" x14ac:dyDescent="0.2">
      <c r="A1072" s="48"/>
      <c r="B1072" s="51" t="s">
        <v>1</v>
      </c>
      <c r="C1072" s="51" t="s">
        <v>1</v>
      </c>
      <c r="D1072" s="24">
        <f>E1072+F1072+G1072+H1072+I1072</f>
        <v>1782</v>
      </c>
      <c r="E1072" s="25">
        <v>1782</v>
      </c>
      <c r="F1072" s="25"/>
      <c r="G1072" s="25"/>
      <c r="H1072" s="25"/>
      <c r="I1072" s="25"/>
      <c r="J1072" s="53"/>
      <c r="K1072" s="53"/>
      <c r="L1072" s="53"/>
      <c r="M1072" s="53"/>
      <c r="N1072" s="53"/>
      <c r="O1072" s="53"/>
      <c r="P1072" s="53"/>
      <c r="Q1072" s="57"/>
      <c r="R1072" s="53"/>
      <c r="S1072" s="53"/>
      <c r="T1072" s="53"/>
      <c r="U1072" s="53"/>
      <c r="V1072" s="53"/>
    </row>
    <row r="1073" spans="1:22" x14ac:dyDescent="0.2">
      <c r="A1073" s="48"/>
      <c r="B1073" s="51" t="s">
        <v>2</v>
      </c>
      <c r="C1073" s="51" t="s">
        <v>2</v>
      </c>
      <c r="D1073" s="24">
        <f>E1073+F1073+G1073+H1073+I1073</f>
        <v>0</v>
      </c>
      <c r="E1073" s="25"/>
      <c r="F1073" s="25"/>
      <c r="G1073" s="25"/>
      <c r="H1073" s="25"/>
      <c r="I1073" s="25"/>
      <c r="J1073" s="53"/>
      <c r="K1073" s="53"/>
      <c r="L1073" s="53"/>
      <c r="M1073" s="53"/>
      <c r="N1073" s="53"/>
      <c r="O1073" s="53"/>
      <c r="P1073" s="53"/>
      <c r="Q1073" s="57"/>
      <c r="R1073" s="53"/>
      <c r="S1073" s="53"/>
      <c r="T1073" s="53"/>
      <c r="U1073" s="53"/>
      <c r="V1073" s="53"/>
    </row>
    <row r="1074" spans="1:22" ht="21.75" customHeight="1" x14ac:dyDescent="0.2">
      <c r="A1074" s="48"/>
      <c r="B1074" s="51" t="s">
        <v>3</v>
      </c>
      <c r="C1074" s="51" t="s">
        <v>3</v>
      </c>
      <c r="D1074" s="24">
        <f>E1074+F1074+G1074+H1074+I1074</f>
        <v>0</v>
      </c>
      <c r="E1074" s="25"/>
      <c r="F1074" s="25"/>
      <c r="G1074" s="25"/>
      <c r="H1074" s="25"/>
      <c r="I1074" s="25"/>
      <c r="J1074" s="53"/>
      <c r="K1074" s="53"/>
      <c r="L1074" s="53"/>
      <c r="M1074" s="53"/>
      <c r="N1074" s="53"/>
      <c r="O1074" s="53"/>
      <c r="P1074" s="53"/>
      <c r="Q1074" s="57"/>
      <c r="R1074" s="53"/>
      <c r="S1074" s="53"/>
      <c r="T1074" s="53"/>
      <c r="U1074" s="53"/>
      <c r="V1074" s="53"/>
    </row>
    <row r="1075" spans="1:22" ht="12.75" customHeight="1" x14ac:dyDescent="0.2">
      <c r="A1075" s="48" t="s">
        <v>542</v>
      </c>
      <c r="B1075" s="49" t="s">
        <v>538</v>
      </c>
      <c r="C1075" s="49"/>
      <c r="D1075" s="49"/>
      <c r="E1075" s="49"/>
      <c r="F1075" s="49"/>
      <c r="G1075" s="49"/>
      <c r="H1075" s="49"/>
      <c r="I1075" s="49"/>
      <c r="J1075" s="49"/>
      <c r="K1075" s="49"/>
      <c r="L1075" s="49"/>
      <c r="M1075" s="49"/>
      <c r="N1075" s="49"/>
      <c r="O1075" s="49"/>
      <c r="P1075" s="49"/>
      <c r="Q1075" s="49"/>
      <c r="R1075" s="49"/>
      <c r="S1075" s="49"/>
      <c r="T1075" s="49"/>
      <c r="U1075" s="49"/>
      <c r="V1075" s="49"/>
    </row>
    <row r="1076" spans="1:22" x14ac:dyDescent="0.2">
      <c r="A1076" s="48"/>
      <c r="B1076" s="52" t="s">
        <v>537</v>
      </c>
      <c r="C1076" s="52"/>
      <c r="D1076" s="52"/>
      <c r="E1076" s="52"/>
      <c r="F1076" s="52"/>
      <c r="G1076" s="52"/>
      <c r="H1076" s="52"/>
      <c r="I1076" s="52"/>
      <c r="J1076" s="52"/>
      <c r="K1076" s="52"/>
      <c r="L1076" s="52"/>
      <c r="M1076" s="52"/>
      <c r="N1076" s="52"/>
      <c r="O1076" s="52"/>
      <c r="P1076" s="52"/>
      <c r="Q1076" s="52"/>
      <c r="R1076" s="52"/>
      <c r="S1076" s="52"/>
      <c r="T1076" s="52"/>
      <c r="U1076" s="52"/>
      <c r="V1076" s="52"/>
    </row>
    <row r="1077" spans="1:22" ht="48.75" customHeight="1" x14ac:dyDescent="0.2">
      <c r="A1077" s="48"/>
      <c r="B1077" s="50" t="s">
        <v>540</v>
      </c>
      <c r="C1077" s="50" t="s">
        <v>540</v>
      </c>
      <c r="D1077" s="50"/>
      <c r="E1077" s="50"/>
      <c r="F1077" s="50"/>
      <c r="G1077" s="50"/>
      <c r="H1077" s="50"/>
      <c r="I1077" s="50"/>
      <c r="J1077" s="53" t="s">
        <v>60</v>
      </c>
      <c r="K1077" s="53"/>
      <c r="L1077" s="53" t="s">
        <v>70</v>
      </c>
      <c r="M1077" s="53"/>
      <c r="N1077" s="53" t="s">
        <v>538</v>
      </c>
      <c r="O1077" s="53" t="s">
        <v>538</v>
      </c>
      <c r="P1077" s="53" t="s">
        <v>538</v>
      </c>
      <c r="Q1077" s="57"/>
      <c r="R1077" s="53" t="s">
        <v>11</v>
      </c>
      <c r="S1077" s="53" t="s">
        <v>13</v>
      </c>
      <c r="T1077" s="53" t="s">
        <v>18</v>
      </c>
      <c r="U1077" s="53"/>
      <c r="V1077" s="53"/>
    </row>
    <row r="1078" spans="1:22" x14ac:dyDescent="0.2">
      <c r="A1078" s="48"/>
      <c r="B1078" s="51" t="s">
        <v>5</v>
      </c>
      <c r="C1078" s="51" t="s">
        <v>5</v>
      </c>
      <c r="D1078" s="24">
        <f>SUM(D1079:D1082)</f>
        <v>330.29867000000002</v>
      </c>
      <c r="E1078" s="25">
        <f>SUM(E1079:E1082)</f>
        <v>330.29867000000002</v>
      </c>
      <c r="F1078" s="25"/>
      <c r="G1078" s="25"/>
      <c r="H1078" s="25"/>
      <c r="I1078" s="25"/>
      <c r="J1078" s="53"/>
      <c r="K1078" s="53"/>
      <c r="L1078" s="53"/>
      <c r="M1078" s="53"/>
      <c r="N1078" s="53"/>
      <c r="O1078" s="53"/>
      <c r="P1078" s="53"/>
      <c r="Q1078" s="57"/>
      <c r="R1078" s="53"/>
      <c r="S1078" s="53"/>
      <c r="T1078" s="53"/>
      <c r="U1078" s="53"/>
      <c r="V1078" s="53"/>
    </row>
    <row r="1079" spans="1:22" x14ac:dyDescent="0.2">
      <c r="A1079" s="48"/>
      <c r="B1079" s="51" t="s">
        <v>0</v>
      </c>
      <c r="C1079" s="51" t="s">
        <v>0</v>
      </c>
      <c r="D1079" s="24">
        <f>E1079+F1079+G1079+H1079+I1079</f>
        <v>0</v>
      </c>
      <c r="E1079" s="25"/>
      <c r="F1079" s="25"/>
      <c r="G1079" s="25"/>
      <c r="H1079" s="25"/>
      <c r="I1079" s="25"/>
      <c r="J1079" s="53"/>
      <c r="K1079" s="53"/>
      <c r="L1079" s="53"/>
      <c r="M1079" s="53"/>
      <c r="N1079" s="53"/>
      <c r="O1079" s="53"/>
      <c r="P1079" s="53"/>
      <c r="Q1079" s="57"/>
      <c r="R1079" s="53"/>
      <c r="S1079" s="53"/>
      <c r="T1079" s="53"/>
      <c r="U1079" s="53"/>
      <c r="V1079" s="53"/>
    </row>
    <row r="1080" spans="1:22" x14ac:dyDescent="0.2">
      <c r="A1080" s="48"/>
      <c r="B1080" s="51" t="s">
        <v>1</v>
      </c>
      <c r="C1080" s="51" t="s">
        <v>1</v>
      </c>
      <c r="D1080" s="24">
        <f>E1080+F1080+G1080+H1080+I1080</f>
        <v>330.29867000000002</v>
      </c>
      <c r="E1080" s="25">
        <v>330.29867000000002</v>
      </c>
      <c r="F1080" s="25"/>
      <c r="G1080" s="25"/>
      <c r="H1080" s="25"/>
      <c r="I1080" s="25"/>
      <c r="J1080" s="53"/>
      <c r="K1080" s="53"/>
      <c r="L1080" s="53"/>
      <c r="M1080" s="53"/>
      <c r="N1080" s="53"/>
      <c r="O1080" s="53"/>
      <c r="P1080" s="53"/>
      <c r="Q1080" s="57"/>
      <c r="R1080" s="53"/>
      <c r="S1080" s="53"/>
      <c r="T1080" s="53"/>
      <c r="U1080" s="53"/>
      <c r="V1080" s="53"/>
    </row>
    <row r="1081" spans="1:22" x14ac:dyDescent="0.2">
      <c r="A1081" s="48"/>
      <c r="B1081" s="51" t="s">
        <v>2</v>
      </c>
      <c r="C1081" s="51" t="s">
        <v>2</v>
      </c>
      <c r="D1081" s="24">
        <f>E1081+F1081+G1081+H1081+I1081</f>
        <v>0</v>
      </c>
      <c r="E1081" s="25"/>
      <c r="F1081" s="25"/>
      <c r="G1081" s="25"/>
      <c r="H1081" s="25"/>
      <c r="I1081" s="25"/>
      <c r="J1081" s="53"/>
      <c r="K1081" s="53"/>
      <c r="L1081" s="53"/>
      <c r="M1081" s="53"/>
      <c r="N1081" s="53"/>
      <c r="O1081" s="53"/>
      <c r="P1081" s="53"/>
      <c r="Q1081" s="57"/>
      <c r="R1081" s="53"/>
      <c r="S1081" s="53"/>
      <c r="T1081" s="53"/>
      <c r="U1081" s="53"/>
      <c r="V1081" s="53"/>
    </row>
    <row r="1082" spans="1:22" ht="21.75" customHeight="1" x14ac:dyDescent="0.2">
      <c r="A1082" s="48"/>
      <c r="B1082" s="51" t="s">
        <v>3</v>
      </c>
      <c r="C1082" s="51" t="s">
        <v>3</v>
      </c>
      <c r="D1082" s="24">
        <f>E1082+F1082+G1082+H1082+I1082</f>
        <v>0</v>
      </c>
      <c r="E1082" s="25"/>
      <c r="F1082" s="25"/>
      <c r="G1082" s="25"/>
      <c r="H1082" s="25"/>
      <c r="I1082" s="25"/>
      <c r="J1082" s="53"/>
      <c r="K1082" s="53"/>
      <c r="L1082" s="53"/>
      <c r="M1082" s="53"/>
      <c r="N1082" s="53"/>
      <c r="O1082" s="53"/>
      <c r="P1082" s="53"/>
      <c r="Q1082" s="57"/>
      <c r="R1082" s="53"/>
      <c r="S1082" s="53"/>
      <c r="T1082" s="53"/>
      <c r="U1082" s="53"/>
      <c r="V1082" s="53"/>
    </row>
    <row r="1083" spans="1:22" ht="12.75" customHeight="1" x14ac:dyDescent="0.2">
      <c r="A1083" s="54" t="s">
        <v>543</v>
      </c>
      <c r="B1083" s="55" t="s">
        <v>544</v>
      </c>
      <c r="C1083" s="55"/>
      <c r="D1083" s="55"/>
      <c r="E1083" s="55"/>
      <c r="F1083" s="55"/>
      <c r="G1083" s="55"/>
      <c r="H1083" s="55"/>
      <c r="I1083" s="55"/>
      <c r="J1083" s="59"/>
      <c r="K1083" s="59"/>
      <c r="L1083" s="59"/>
      <c r="M1083" s="59"/>
      <c r="N1083" s="59"/>
      <c r="O1083" s="59"/>
      <c r="P1083" s="59"/>
      <c r="Q1083" s="59"/>
      <c r="R1083" s="59"/>
      <c r="S1083" s="59"/>
      <c r="T1083" s="59"/>
      <c r="U1083" s="59"/>
      <c r="V1083" s="59"/>
    </row>
    <row r="1084" spans="1:22" ht="12.75" customHeight="1" x14ac:dyDescent="0.2">
      <c r="A1084" s="54"/>
      <c r="B1084" s="56" t="s">
        <v>5</v>
      </c>
      <c r="C1084" s="56"/>
      <c r="D1084" s="23">
        <f t="shared" ref="D1084:I1084" si="88">SUM(D1085:D1088)</f>
        <v>98295.110000000015</v>
      </c>
      <c r="E1084" s="23">
        <f t="shared" si="88"/>
        <v>3786.7211000000025</v>
      </c>
      <c r="F1084" s="23">
        <f t="shared" si="88"/>
        <v>94508.388900000005</v>
      </c>
      <c r="G1084" s="23">
        <f t="shared" si="88"/>
        <v>0</v>
      </c>
      <c r="H1084" s="23">
        <f t="shared" si="88"/>
        <v>0</v>
      </c>
      <c r="I1084" s="26">
        <f t="shared" si="88"/>
        <v>0</v>
      </c>
      <c r="J1084" s="12"/>
      <c r="K1084" s="13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14"/>
    </row>
    <row r="1085" spans="1:22" x14ac:dyDescent="0.2">
      <c r="A1085" s="54"/>
      <c r="B1085" s="56" t="s">
        <v>0</v>
      </c>
      <c r="C1085" s="56"/>
      <c r="D1085" s="23">
        <f>E1085+F1085+G1085+H1085+I1085</f>
        <v>0</v>
      </c>
      <c r="E1085" s="23">
        <f>E1093</f>
        <v>0</v>
      </c>
      <c r="F1085" s="23">
        <f t="shared" ref="F1085:I1085" si="89">F1093</f>
        <v>0</v>
      </c>
      <c r="G1085" s="23">
        <f t="shared" si="89"/>
        <v>0</v>
      </c>
      <c r="H1085" s="23">
        <f t="shared" si="89"/>
        <v>0</v>
      </c>
      <c r="I1085" s="26">
        <f t="shared" si="89"/>
        <v>0</v>
      </c>
      <c r="J1085" s="15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  <c r="V1085" s="17"/>
    </row>
    <row r="1086" spans="1:22" ht="12.75" customHeight="1" x14ac:dyDescent="0.2">
      <c r="A1086" s="54"/>
      <c r="B1086" s="56" t="s">
        <v>1</v>
      </c>
      <c r="C1086" s="56"/>
      <c r="D1086" s="23">
        <f>E1086+F1086+G1086+H1086+I1086</f>
        <v>98295.110000000015</v>
      </c>
      <c r="E1086" s="23">
        <f t="shared" ref="E1086:I1086" si="90">E1094</f>
        <v>3786.7211000000025</v>
      </c>
      <c r="F1086" s="23">
        <f t="shared" si="90"/>
        <v>94508.388900000005</v>
      </c>
      <c r="G1086" s="23">
        <f t="shared" si="90"/>
        <v>0</v>
      </c>
      <c r="H1086" s="23">
        <f t="shared" si="90"/>
        <v>0</v>
      </c>
      <c r="I1086" s="26">
        <f t="shared" si="90"/>
        <v>0</v>
      </c>
      <c r="J1086" s="15"/>
      <c r="K1086" s="18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  <c r="V1086" s="17"/>
    </row>
    <row r="1087" spans="1:22" ht="12.75" customHeight="1" x14ac:dyDescent="0.2">
      <c r="A1087" s="54"/>
      <c r="B1087" s="56" t="s">
        <v>2</v>
      </c>
      <c r="C1087" s="56"/>
      <c r="D1087" s="23">
        <f>E1087+F1087+G1087+H1087+I1087</f>
        <v>0</v>
      </c>
      <c r="E1087" s="23">
        <f t="shared" ref="E1087:I1087" si="91">E1095</f>
        <v>0</v>
      </c>
      <c r="F1087" s="23">
        <f t="shared" si="91"/>
        <v>0</v>
      </c>
      <c r="G1087" s="23">
        <f t="shared" si="91"/>
        <v>0</v>
      </c>
      <c r="H1087" s="23">
        <f t="shared" si="91"/>
        <v>0</v>
      </c>
      <c r="I1087" s="26">
        <f t="shared" si="91"/>
        <v>0</v>
      </c>
      <c r="J1087" s="15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  <c r="V1087" s="17"/>
    </row>
    <row r="1088" spans="1:22" ht="21.75" customHeight="1" x14ac:dyDescent="0.2">
      <c r="A1088" s="54"/>
      <c r="B1088" s="56" t="s">
        <v>3</v>
      </c>
      <c r="C1088" s="56"/>
      <c r="D1088" s="23">
        <f>E1088+F1088+G1088+H1088+I1088</f>
        <v>0</v>
      </c>
      <c r="E1088" s="23">
        <f t="shared" ref="E1088:I1088" si="92">E1096</f>
        <v>0</v>
      </c>
      <c r="F1088" s="23">
        <f t="shared" si="92"/>
        <v>0</v>
      </c>
      <c r="G1088" s="23">
        <f t="shared" si="92"/>
        <v>0</v>
      </c>
      <c r="H1088" s="23">
        <f t="shared" si="92"/>
        <v>0</v>
      </c>
      <c r="I1088" s="26">
        <f t="shared" si="92"/>
        <v>0</v>
      </c>
      <c r="J1088" s="19"/>
      <c r="K1088" s="20"/>
      <c r="L1088" s="20"/>
      <c r="M1088" s="20"/>
      <c r="N1088" s="20"/>
      <c r="O1088" s="20"/>
      <c r="P1088" s="20"/>
      <c r="Q1088" s="20"/>
      <c r="R1088" s="20"/>
      <c r="S1088" s="20"/>
      <c r="T1088" s="20"/>
      <c r="U1088" s="20"/>
      <c r="V1088" s="21"/>
    </row>
    <row r="1089" spans="1:22" ht="12.75" customHeight="1" x14ac:dyDescent="0.2">
      <c r="A1089" s="48" t="s">
        <v>546</v>
      </c>
      <c r="B1089" s="49" t="s">
        <v>73</v>
      </c>
      <c r="C1089" s="49"/>
      <c r="D1089" s="49"/>
      <c r="E1089" s="49"/>
      <c r="F1089" s="49"/>
      <c r="G1089" s="49"/>
      <c r="H1089" s="49"/>
      <c r="I1089" s="49"/>
      <c r="J1089" s="58"/>
      <c r="K1089" s="58"/>
      <c r="L1089" s="58"/>
      <c r="M1089" s="58"/>
      <c r="N1089" s="58"/>
      <c r="O1089" s="58"/>
      <c r="P1089" s="58"/>
      <c r="Q1089" s="58"/>
      <c r="R1089" s="58"/>
      <c r="S1089" s="58"/>
      <c r="T1089" s="58"/>
      <c r="U1089" s="58"/>
      <c r="V1089" s="58"/>
    </row>
    <row r="1090" spans="1:22" ht="12.75" customHeight="1" x14ac:dyDescent="0.2">
      <c r="A1090" s="48"/>
      <c r="B1090" s="52" t="s">
        <v>545</v>
      </c>
      <c r="C1090" s="52"/>
      <c r="D1090" s="52"/>
      <c r="E1090" s="52"/>
      <c r="F1090" s="52"/>
      <c r="G1090" s="52"/>
      <c r="H1090" s="52"/>
      <c r="I1090" s="52"/>
      <c r="J1090" s="52"/>
      <c r="K1090" s="52"/>
      <c r="L1090" s="52"/>
      <c r="M1090" s="52"/>
      <c r="N1090" s="52"/>
      <c r="O1090" s="52"/>
      <c r="P1090" s="52"/>
      <c r="Q1090" s="52"/>
      <c r="R1090" s="52"/>
      <c r="S1090" s="52"/>
      <c r="T1090" s="52"/>
      <c r="U1090" s="52"/>
      <c r="V1090" s="52"/>
    </row>
    <row r="1091" spans="1:22" ht="42.75" customHeight="1" x14ac:dyDescent="0.2">
      <c r="A1091" s="48"/>
      <c r="B1091" s="50" t="s">
        <v>547</v>
      </c>
      <c r="C1091" s="50" t="s">
        <v>547</v>
      </c>
      <c r="D1091" s="50"/>
      <c r="E1091" s="50"/>
      <c r="F1091" s="50"/>
      <c r="G1091" s="50"/>
      <c r="H1091" s="50"/>
      <c r="I1091" s="50"/>
      <c r="J1091" s="53" t="s">
        <v>76</v>
      </c>
      <c r="K1091" s="53">
        <v>2016</v>
      </c>
      <c r="L1091" s="53" t="s">
        <v>72</v>
      </c>
      <c r="M1091" s="53"/>
      <c r="N1091" s="53" t="s">
        <v>531</v>
      </c>
      <c r="O1091" s="53" t="s">
        <v>532</v>
      </c>
      <c r="P1091" s="53" t="s">
        <v>532</v>
      </c>
      <c r="Q1091" s="57"/>
      <c r="R1091" s="53" t="s">
        <v>9</v>
      </c>
      <c r="S1091" s="53" t="s">
        <v>548</v>
      </c>
      <c r="T1091" s="53" t="s">
        <v>18</v>
      </c>
      <c r="U1091" s="53"/>
      <c r="V1091" s="53" t="s">
        <v>682</v>
      </c>
    </row>
    <row r="1092" spans="1:22" x14ac:dyDescent="0.2">
      <c r="A1092" s="48"/>
      <c r="B1092" s="51" t="s">
        <v>5</v>
      </c>
      <c r="C1092" s="51" t="s">
        <v>5</v>
      </c>
      <c r="D1092" s="24">
        <f>SUM(D1093:D1096)</f>
        <v>98295.110000000015</v>
      </c>
      <c r="E1092" s="25">
        <f>SUM(E1093:E1096)</f>
        <v>3786.7211000000025</v>
      </c>
      <c r="F1092" s="25">
        <f>SUM(F1093:F1096)</f>
        <v>94508.388900000005</v>
      </c>
      <c r="G1092" s="25"/>
      <c r="H1092" s="25"/>
      <c r="I1092" s="25"/>
      <c r="J1092" s="53"/>
      <c r="K1092" s="53"/>
      <c r="L1092" s="53"/>
      <c r="M1092" s="53"/>
      <c r="N1092" s="53"/>
      <c r="O1092" s="53"/>
      <c r="P1092" s="53"/>
      <c r="Q1092" s="57"/>
      <c r="R1092" s="53"/>
      <c r="S1092" s="53"/>
      <c r="T1092" s="53"/>
      <c r="U1092" s="53"/>
      <c r="V1092" s="53"/>
    </row>
    <row r="1093" spans="1:22" x14ac:dyDescent="0.2">
      <c r="A1093" s="48"/>
      <c r="B1093" s="51" t="s">
        <v>0</v>
      </c>
      <c r="C1093" s="51" t="s">
        <v>0</v>
      </c>
      <c r="D1093" s="24">
        <f>E1093+F1093+G1093+H1093+I1093</f>
        <v>0</v>
      </c>
      <c r="E1093" s="25"/>
      <c r="F1093" s="25"/>
      <c r="G1093" s="25"/>
      <c r="H1093" s="25"/>
      <c r="I1093" s="25"/>
      <c r="J1093" s="53"/>
      <c r="K1093" s="53"/>
      <c r="L1093" s="53"/>
      <c r="M1093" s="53"/>
      <c r="N1093" s="53"/>
      <c r="O1093" s="53"/>
      <c r="P1093" s="53"/>
      <c r="Q1093" s="57"/>
      <c r="R1093" s="53"/>
      <c r="S1093" s="53"/>
      <c r="T1093" s="53"/>
      <c r="U1093" s="53"/>
      <c r="V1093" s="53"/>
    </row>
    <row r="1094" spans="1:22" x14ac:dyDescent="0.2">
      <c r="A1094" s="48"/>
      <c r="B1094" s="51" t="s">
        <v>1</v>
      </c>
      <c r="C1094" s="51" t="s">
        <v>1</v>
      </c>
      <c r="D1094" s="24">
        <f>E1094+F1094+G1094+H1094+I1094</f>
        <v>98295.110000000015</v>
      </c>
      <c r="E1094" s="25">
        <f>0+35648.4501-31861.729</f>
        <v>3786.7211000000025</v>
      </c>
      <c r="F1094" s="25">
        <v>94508.388900000005</v>
      </c>
      <c r="G1094" s="25"/>
      <c r="H1094" s="25"/>
      <c r="I1094" s="25"/>
      <c r="J1094" s="53"/>
      <c r="K1094" s="53"/>
      <c r="L1094" s="53"/>
      <c r="M1094" s="53"/>
      <c r="N1094" s="53"/>
      <c r="O1094" s="53"/>
      <c r="P1094" s="53"/>
      <c r="Q1094" s="57"/>
      <c r="R1094" s="53"/>
      <c r="S1094" s="53"/>
      <c r="T1094" s="53"/>
      <c r="U1094" s="53"/>
      <c r="V1094" s="53"/>
    </row>
    <row r="1095" spans="1:22" x14ac:dyDescent="0.2">
      <c r="A1095" s="48"/>
      <c r="B1095" s="51" t="s">
        <v>2</v>
      </c>
      <c r="C1095" s="51" t="s">
        <v>2</v>
      </c>
      <c r="D1095" s="24">
        <f>E1095+F1095+G1095+H1095+I1095</f>
        <v>0</v>
      </c>
      <c r="E1095" s="25"/>
      <c r="F1095" s="25"/>
      <c r="G1095" s="25"/>
      <c r="H1095" s="25"/>
      <c r="I1095" s="25"/>
      <c r="J1095" s="53"/>
      <c r="K1095" s="53"/>
      <c r="L1095" s="53"/>
      <c r="M1095" s="53"/>
      <c r="N1095" s="53"/>
      <c r="O1095" s="53"/>
      <c r="P1095" s="53"/>
      <c r="Q1095" s="57"/>
      <c r="R1095" s="53"/>
      <c r="S1095" s="53"/>
      <c r="T1095" s="53"/>
      <c r="U1095" s="53"/>
      <c r="V1095" s="53"/>
    </row>
    <row r="1096" spans="1:22" ht="21.75" customHeight="1" x14ac:dyDescent="0.2">
      <c r="A1096" s="48"/>
      <c r="B1096" s="51" t="s">
        <v>3</v>
      </c>
      <c r="C1096" s="51" t="s">
        <v>3</v>
      </c>
      <c r="D1096" s="24">
        <f>E1096+F1096+G1096+H1096+I1096</f>
        <v>0</v>
      </c>
      <c r="E1096" s="25"/>
      <c r="F1096" s="25"/>
      <c r="G1096" s="25"/>
      <c r="H1096" s="25"/>
      <c r="I1096" s="25"/>
      <c r="J1096" s="53"/>
      <c r="K1096" s="53"/>
      <c r="L1096" s="53"/>
      <c r="M1096" s="53"/>
      <c r="N1096" s="53"/>
      <c r="O1096" s="53"/>
      <c r="P1096" s="53"/>
      <c r="Q1096" s="57"/>
      <c r="R1096" s="53"/>
      <c r="S1096" s="53"/>
      <c r="T1096" s="53"/>
      <c r="U1096" s="53"/>
      <c r="V1096" s="53"/>
    </row>
    <row r="1097" spans="1:22" x14ac:dyDescent="0.2">
      <c r="A1097" s="64" t="s">
        <v>5</v>
      </c>
      <c r="B1097" s="64"/>
      <c r="C1097" s="64"/>
      <c r="D1097" s="64"/>
      <c r="E1097" s="64"/>
      <c r="F1097" s="64"/>
      <c r="G1097" s="64"/>
      <c r="H1097" s="64"/>
      <c r="I1097" s="64"/>
      <c r="J1097" s="64"/>
      <c r="K1097" s="64"/>
      <c r="L1097" s="64"/>
      <c r="M1097" s="64"/>
      <c r="N1097" s="64"/>
      <c r="O1097" s="64"/>
      <c r="P1097" s="64"/>
      <c r="Q1097" s="64"/>
      <c r="R1097" s="64"/>
      <c r="S1097" s="64"/>
      <c r="T1097" s="64"/>
      <c r="U1097" s="64"/>
      <c r="V1097" s="64"/>
    </row>
    <row r="1098" spans="1:22" x14ac:dyDescent="0.2">
      <c r="A1098" s="63" t="s">
        <v>5</v>
      </c>
      <c r="B1098" s="63"/>
      <c r="C1098" s="63"/>
      <c r="D1098" s="41">
        <f t="shared" ref="D1098:I1098" si="93">SUM(D1099:D1103)</f>
        <v>18381433.734476447</v>
      </c>
      <c r="E1098" s="41">
        <f>SUM(E1099:E1103)</f>
        <v>6226273.0112619381</v>
      </c>
      <c r="F1098" s="41">
        <f t="shared" si="93"/>
        <v>5240540.3221443491</v>
      </c>
      <c r="G1098" s="41">
        <f t="shared" si="93"/>
        <v>4162423.6050701598</v>
      </c>
      <c r="H1098" s="41">
        <f t="shared" si="93"/>
        <v>1636009.7960000001</v>
      </c>
      <c r="I1098" s="41">
        <f t="shared" si="93"/>
        <v>1116187</v>
      </c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30"/>
      <c r="U1098" s="30"/>
      <c r="V1098" s="31"/>
    </row>
    <row r="1099" spans="1:22" x14ac:dyDescent="0.2">
      <c r="A1099" s="63" t="s">
        <v>0</v>
      </c>
      <c r="B1099" s="63"/>
      <c r="C1099" s="63"/>
      <c r="D1099" s="42">
        <f>E1099+F1099+G1099+H1099+I1099</f>
        <v>6741990.2783499993</v>
      </c>
      <c r="E1099" s="41">
        <f t="shared" ref="E1099:I1100" si="94">E15+E77+E195+E225+E255+E359+E429+E547+E713+E959+E997+E1019+E1049+E1063+E1085</f>
        <v>1912649.8783499999</v>
      </c>
      <c r="F1099" s="41">
        <f t="shared" si="94"/>
        <v>1905561</v>
      </c>
      <c r="G1099" s="41">
        <f t="shared" si="94"/>
        <v>2519129.4</v>
      </c>
      <c r="H1099" s="41">
        <f t="shared" si="94"/>
        <v>404650</v>
      </c>
      <c r="I1099" s="41">
        <f t="shared" si="94"/>
        <v>0</v>
      </c>
      <c r="J1099" s="32"/>
      <c r="K1099" s="32"/>
      <c r="L1099" s="32"/>
      <c r="M1099" s="32"/>
      <c r="N1099" s="32"/>
      <c r="O1099" s="32"/>
      <c r="P1099" s="32"/>
      <c r="Q1099" s="32"/>
      <c r="R1099" s="32"/>
      <c r="S1099" s="32"/>
      <c r="T1099" s="30"/>
      <c r="U1099" s="30"/>
      <c r="V1099" s="31"/>
    </row>
    <row r="1100" spans="1:22" x14ac:dyDescent="0.2">
      <c r="A1100" s="63" t="s">
        <v>1</v>
      </c>
      <c r="B1100" s="63"/>
      <c r="C1100" s="63"/>
      <c r="D1100" s="42">
        <f>E1100+F1100+G1100+H1100+I1100</f>
        <v>11445343.16574</v>
      </c>
      <c r="E1100" s="41">
        <f t="shared" si="94"/>
        <v>4148808.4856300005</v>
      </c>
      <c r="F1100" s="41">
        <f t="shared" si="94"/>
        <v>3318864.4741100003</v>
      </c>
      <c r="G1100" s="41">
        <f t="shared" si="94"/>
        <v>1630123.41</v>
      </c>
      <c r="H1100" s="41">
        <f t="shared" si="94"/>
        <v>1231359.7960000001</v>
      </c>
      <c r="I1100" s="41">
        <f t="shared" si="94"/>
        <v>1116187</v>
      </c>
      <c r="J1100" s="33"/>
      <c r="K1100" s="33"/>
      <c r="L1100" s="33"/>
      <c r="M1100" s="34"/>
      <c r="N1100" s="34"/>
      <c r="O1100" s="34"/>
      <c r="P1100" s="35"/>
      <c r="Q1100" s="35"/>
      <c r="R1100" s="32"/>
      <c r="S1100" s="32"/>
      <c r="T1100" s="30"/>
      <c r="U1100" s="30"/>
      <c r="V1100" s="31"/>
    </row>
    <row r="1101" spans="1:22" ht="30" customHeight="1" x14ac:dyDescent="0.2">
      <c r="A1101" s="63" t="s">
        <v>138</v>
      </c>
      <c r="B1101" s="63"/>
      <c r="C1101" s="63"/>
      <c r="D1101" s="42">
        <f>E1101+F1101+G1101+H1101+I1101</f>
        <v>48457.98</v>
      </c>
      <c r="E1101" s="41">
        <f>E257</f>
        <v>48457.98</v>
      </c>
      <c r="F1101" s="41">
        <f>F257</f>
        <v>0</v>
      </c>
      <c r="G1101" s="41">
        <f>G257</f>
        <v>0</v>
      </c>
      <c r="H1101" s="41">
        <f>H257</f>
        <v>0</v>
      </c>
      <c r="I1101" s="41">
        <f>I257</f>
        <v>0</v>
      </c>
      <c r="J1101" s="33"/>
      <c r="K1101" s="33"/>
      <c r="L1101" s="33"/>
      <c r="M1101" s="34"/>
      <c r="N1101" s="34"/>
      <c r="O1101" s="34"/>
      <c r="P1101" s="35"/>
      <c r="Q1101" s="35"/>
      <c r="R1101" s="32"/>
      <c r="S1101" s="32"/>
      <c r="T1101" s="30"/>
      <c r="U1101" s="30"/>
      <c r="V1101" s="31"/>
    </row>
    <row r="1102" spans="1:22" x14ac:dyDescent="0.2">
      <c r="A1102" s="63" t="s">
        <v>2</v>
      </c>
      <c r="B1102" s="63"/>
      <c r="C1102" s="63"/>
      <c r="D1102" s="42">
        <f>E1102+F1102+G1102+H1102+I1102</f>
        <v>58297.910386446776</v>
      </c>
      <c r="E1102" s="41">
        <f t="shared" ref="E1102:I1103" si="95">E17+E79+E197+E227+E258+E361+E431+E549+E715+E961+E999+E1021+E1051+E1065+E1087</f>
        <v>29012.267281936802</v>
      </c>
      <c r="F1102" s="41">
        <f t="shared" si="95"/>
        <v>16114.848034349649</v>
      </c>
      <c r="G1102" s="41">
        <f t="shared" si="95"/>
        <v>13170.795070160322</v>
      </c>
      <c r="H1102" s="41">
        <f t="shared" si="95"/>
        <v>0</v>
      </c>
      <c r="I1102" s="41">
        <f t="shared" si="95"/>
        <v>0</v>
      </c>
      <c r="J1102" s="36"/>
      <c r="K1102" s="32"/>
      <c r="L1102" s="32"/>
      <c r="M1102" s="35"/>
      <c r="N1102" s="35"/>
      <c r="O1102" s="35"/>
      <c r="P1102" s="35"/>
      <c r="Q1102" s="35"/>
      <c r="R1102" s="32"/>
      <c r="S1102" s="32"/>
      <c r="T1102" s="30"/>
      <c r="U1102" s="30"/>
      <c r="V1102" s="31"/>
    </row>
    <row r="1103" spans="1:22" x14ac:dyDescent="0.2">
      <c r="A1103" s="63" t="s">
        <v>3</v>
      </c>
      <c r="B1103" s="63"/>
      <c r="C1103" s="63"/>
      <c r="D1103" s="42">
        <f>E1103+F1103+G1103+H1103+I1103</f>
        <v>87344.4</v>
      </c>
      <c r="E1103" s="41">
        <f t="shared" si="95"/>
        <v>87344.4</v>
      </c>
      <c r="F1103" s="41">
        <f t="shared" si="95"/>
        <v>0</v>
      </c>
      <c r="G1103" s="41">
        <f t="shared" si="95"/>
        <v>0</v>
      </c>
      <c r="H1103" s="41">
        <f t="shared" si="95"/>
        <v>0</v>
      </c>
      <c r="I1103" s="41">
        <f t="shared" si="95"/>
        <v>0</v>
      </c>
      <c r="J1103" s="32"/>
      <c r="K1103" s="32"/>
      <c r="L1103" s="32"/>
      <c r="M1103" s="32"/>
      <c r="N1103" s="32"/>
      <c r="O1103" s="32"/>
      <c r="P1103" s="32"/>
      <c r="Q1103" s="32"/>
      <c r="R1103" s="32"/>
      <c r="S1103" s="32"/>
      <c r="T1103" s="30"/>
      <c r="U1103" s="30"/>
      <c r="V1103" s="37"/>
    </row>
    <row r="1104" spans="1:22" x14ac:dyDescent="0.2">
      <c r="A1104" s="38"/>
      <c r="B1104" s="39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40" t="s">
        <v>379</v>
      </c>
    </row>
  </sheetData>
  <mergeCells count="2851">
    <mergeCell ref="N943:N948"/>
    <mergeCell ref="O943:O948"/>
    <mergeCell ref="P943:P948"/>
    <mergeCell ref="A949:A956"/>
    <mergeCell ref="B949:V949"/>
    <mergeCell ref="B950:V950"/>
    <mergeCell ref="B951:I951"/>
    <mergeCell ref="J951:J956"/>
    <mergeCell ref="K951:K956"/>
    <mergeCell ref="L951:L956"/>
    <mergeCell ref="M951:M956"/>
    <mergeCell ref="N951:N956"/>
    <mergeCell ref="O951:O956"/>
    <mergeCell ref="P951:P956"/>
    <mergeCell ref="Q951:Q956"/>
    <mergeCell ref="R951:R956"/>
    <mergeCell ref="S951:S956"/>
    <mergeCell ref="T951:T956"/>
    <mergeCell ref="U951:U956"/>
    <mergeCell ref="V951:V956"/>
    <mergeCell ref="B952:C952"/>
    <mergeCell ref="B953:C953"/>
    <mergeCell ref="B954:C954"/>
    <mergeCell ref="B955:C955"/>
    <mergeCell ref="B956:C956"/>
    <mergeCell ref="A245:A252"/>
    <mergeCell ref="B245:V245"/>
    <mergeCell ref="B247:I247"/>
    <mergeCell ref="B248:C248"/>
    <mergeCell ref="B249:C249"/>
    <mergeCell ref="B250:C250"/>
    <mergeCell ref="B251:C251"/>
    <mergeCell ref="B252:C252"/>
    <mergeCell ref="B220:C220"/>
    <mergeCell ref="B221:C221"/>
    <mergeCell ref="B222:C222"/>
    <mergeCell ref="A229:A236"/>
    <mergeCell ref="B229:V229"/>
    <mergeCell ref="B231:I231"/>
    <mergeCell ref="B232:C232"/>
    <mergeCell ref="B233:C233"/>
    <mergeCell ref="B234:C234"/>
    <mergeCell ref="B235:C235"/>
    <mergeCell ref="B236:C236"/>
    <mergeCell ref="A237:A244"/>
    <mergeCell ref="B237:V237"/>
    <mergeCell ref="B239:I239"/>
    <mergeCell ref="B240:C240"/>
    <mergeCell ref="B241:C241"/>
    <mergeCell ref="B242:C242"/>
    <mergeCell ref="B243:C243"/>
    <mergeCell ref="B244:C244"/>
    <mergeCell ref="N231:N236"/>
    <mergeCell ref="O231:O236"/>
    <mergeCell ref="U231:U236"/>
    <mergeCell ref="V231:V236"/>
    <mergeCell ref="L231:L236"/>
    <mergeCell ref="A199:A206"/>
    <mergeCell ref="B199:V199"/>
    <mergeCell ref="B201:I201"/>
    <mergeCell ref="B202:C202"/>
    <mergeCell ref="B203:C203"/>
    <mergeCell ref="B204:C204"/>
    <mergeCell ref="B205:C205"/>
    <mergeCell ref="B206:C206"/>
    <mergeCell ref="B211:C211"/>
    <mergeCell ref="B212:C212"/>
    <mergeCell ref="B213:C213"/>
    <mergeCell ref="B214:C214"/>
    <mergeCell ref="B200:V200"/>
    <mergeCell ref="J187:J192"/>
    <mergeCell ref="K187:K192"/>
    <mergeCell ref="L187:L192"/>
    <mergeCell ref="M187:M192"/>
    <mergeCell ref="N187:N192"/>
    <mergeCell ref="O187:O192"/>
    <mergeCell ref="P187:P192"/>
    <mergeCell ref="Q187:Q192"/>
    <mergeCell ref="R187:R192"/>
    <mergeCell ref="S187:S192"/>
    <mergeCell ref="T187:T192"/>
    <mergeCell ref="U187:U192"/>
    <mergeCell ref="V187:V192"/>
    <mergeCell ref="K209:K214"/>
    <mergeCell ref="N209:N214"/>
    <mergeCell ref="O209:O214"/>
    <mergeCell ref="P209:P214"/>
    <mergeCell ref="Q209:Q214"/>
    <mergeCell ref="R209:R214"/>
    <mergeCell ref="A161:A168"/>
    <mergeCell ref="B161:V161"/>
    <mergeCell ref="B163:I163"/>
    <mergeCell ref="B164:C164"/>
    <mergeCell ref="B165:C165"/>
    <mergeCell ref="B166:C166"/>
    <mergeCell ref="B167:C167"/>
    <mergeCell ref="B168:C168"/>
    <mergeCell ref="S163:S168"/>
    <mergeCell ref="T163:T168"/>
    <mergeCell ref="U163:U168"/>
    <mergeCell ref="V163:V168"/>
    <mergeCell ref="B154:V154"/>
    <mergeCell ref="N163:N168"/>
    <mergeCell ref="O163:O168"/>
    <mergeCell ref="P163:P168"/>
    <mergeCell ref="Q163:Q168"/>
    <mergeCell ref="R163:R168"/>
    <mergeCell ref="A129:A136"/>
    <mergeCell ref="B129:V129"/>
    <mergeCell ref="B131:I131"/>
    <mergeCell ref="B132:C132"/>
    <mergeCell ref="B133:C133"/>
    <mergeCell ref="B134:C134"/>
    <mergeCell ref="B135:C135"/>
    <mergeCell ref="B136:C136"/>
    <mergeCell ref="A137:A144"/>
    <mergeCell ref="B137:V137"/>
    <mergeCell ref="B139:I139"/>
    <mergeCell ref="B140:C140"/>
    <mergeCell ref="B141:C141"/>
    <mergeCell ref="B142:C142"/>
    <mergeCell ref="B143:C143"/>
    <mergeCell ref="B144:C144"/>
    <mergeCell ref="A145:A152"/>
    <mergeCell ref="B145:V145"/>
    <mergeCell ref="B147:I147"/>
    <mergeCell ref="B148:C148"/>
    <mergeCell ref="B149:C149"/>
    <mergeCell ref="B150:C150"/>
    <mergeCell ref="B151:C151"/>
    <mergeCell ref="B152:C152"/>
    <mergeCell ref="L147:L152"/>
    <mergeCell ref="M147:M152"/>
    <mergeCell ref="N147:N152"/>
    <mergeCell ref="O147:O152"/>
    <mergeCell ref="P147:P152"/>
    <mergeCell ref="Q147:Q152"/>
    <mergeCell ref="R147:R152"/>
    <mergeCell ref="S147:S152"/>
    <mergeCell ref="B102:C102"/>
    <mergeCell ref="B103:C103"/>
    <mergeCell ref="B104:C104"/>
    <mergeCell ref="A105:A112"/>
    <mergeCell ref="B105:V105"/>
    <mergeCell ref="B107:I107"/>
    <mergeCell ref="B108:C108"/>
    <mergeCell ref="B109:C109"/>
    <mergeCell ref="B110:C110"/>
    <mergeCell ref="B111:C111"/>
    <mergeCell ref="B112:C112"/>
    <mergeCell ref="B90:V90"/>
    <mergeCell ref="J91:J96"/>
    <mergeCell ref="K91:K96"/>
    <mergeCell ref="L91:L96"/>
    <mergeCell ref="Q91:Q96"/>
    <mergeCell ref="R91:R96"/>
    <mergeCell ref="S99:S104"/>
    <mergeCell ref="T99:T104"/>
    <mergeCell ref="B106:V106"/>
    <mergeCell ref="J107:J112"/>
    <mergeCell ref="M99:M104"/>
    <mergeCell ref="N99:N104"/>
    <mergeCell ref="O99:O104"/>
    <mergeCell ref="P99:P104"/>
    <mergeCell ref="Q99:Q104"/>
    <mergeCell ref="R99:R104"/>
    <mergeCell ref="A97:A104"/>
    <mergeCell ref="T83:T88"/>
    <mergeCell ref="B80:C80"/>
    <mergeCell ref="A75:A80"/>
    <mergeCell ref="B75:V75"/>
    <mergeCell ref="B76:C76"/>
    <mergeCell ref="J69:J74"/>
    <mergeCell ref="K69:K74"/>
    <mergeCell ref="L69:L74"/>
    <mergeCell ref="M83:M88"/>
    <mergeCell ref="M69:M74"/>
    <mergeCell ref="T69:T74"/>
    <mergeCell ref="U69:U74"/>
    <mergeCell ref="V69:V74"/>
    <mergeCell ref="B97:V97"/>
    <mergeCell ref="B99:I99"/>
    <mergeCell ref="B100:C100"/>
    <mergeCell ref="B101:C101"/>
    <mergeCell ref="O69:O74"/>
    <mergeCell ref="P69:P74"/>
    <mergeCell ref="Q69:Q74"/>
    <mergeCell ref="R69:R74"/>
    <mergeCell ref="S69:S74"/>
    <mergeCell ref="R83:R88"/>
    <mergeCell ref="S83:S88"/>
    <mergeCell ref="A35:A42"/>
    <mergeCell ref="B35:V35"/>
    <mergeCell ref="B37:I37"/>
    <mergeCell ref="B38:C38"/>
    <mergeCell ref="B39:C39"/>
    <mergeCell ref="A43:A50"/>
    <mergeCell ref="T37:T42"/>
    <mergeCell ref="U37:U42"/>
    <mergeCell ref="V37:V42"/>
    <mergeCell ref="O37:O42"/>
    <mergeCell ref="P37:P42"/>
    <mergeCell ref="Q37:Q42"/>
    <mergeCell ref="R37:R42"/>
    <mergeCell ref="J45:J50"/>
    <mergeCell ref="K45:K50"/>
    <mergeCell ref="N45:N50"/>
    <mergeCell ref="A67:A74"/>
    <mergeCell ref="B67:V67"/>
    <mergeCell ref="B69:I69"/>
    <mergeCell ref="B70:C70"/>
    <mergeCell ref="B71:C71"/>
    <mergeCell ref="B72:C72"/>
    <mergeCell ref="B73:C73"/>
    <mergeCell ref="B74:C74"/>
    <mergeCell ref="A51:A58"/>
    <mergeCell ref="B51:V51"/>
    <mergeCell ref="B53:I53"/>
    <mergeCell ref="T45:T50"/>
    <mergeCell ref="U45:U50"/>
    <mergeCell ref="V45:V50"/>
    <mergeCell ref="B44:V44"/>
    <mergeCell ref="S37:S42"/>
    <mergeCell ref="A185:A192"/>
    <mergeCell ref="B185:V185"/>
    <mergeCell ref="B187:I187"/>
    <mergeCell ref="A153:A160"/>
    <mergeCell ref="B153:V153"/>
    <mergeCell ref="B155:I155"/>
    <mergeCell ref="B156:C156"/>
    <mergeCell ref="A59:A66"/>
    <mergeCell ref="B59:V59"/>
    <mergeCell ref="B61:I61"/>
    <mergeCell ref="B62:C62"/>
    <mergeCell ref="B63:C63"/>
    <mergeCell ref="B64:C64"/>
    <mergeCell ref="B65:C65"/>
    <mergeCell ref="B66:C66"/>
    <mergeCell ref="K61:K66"/>
    <mergeCell ref="L61:L66"/>
    <mergeCell ref="M61:M66"/>
    <mergeCell ref="N61:N66"/>
    <mergeCell ref="V61:V66"/>
    <mergeCell ref="O61:O66"/>
    <mergeCell ref="P61:P66"/>
    <mergeCell ref="Q61:Q66"/>
    <mergeCell ref="A81:A88"/>
    <mergeCell ref="B81:V81"/>
    <mergeCell ref="B83:I83"/>
    <mergeCell ref="B84:C84"/>
    <mergeCell ref="B85:C85"/>
    <mergeCell ref="B86:C86"/>
    <mergeCell ref="B87:C87"/>
    <mergeCell ref="B88:C88"/>
    <mergeCell ref="U83:U88"/>
    <mergeCell ref="B36:V36"/>
    <mergeCell ref="A513:A520"/>
    <mergeCell ref="B513:V513"/>
    <mergeCell ref="B515:I515"/>
    <mergeCell ref="B516:C516"/>
    <mergeCell ref="B517:C517"/>
    <mergeCell ref="B518:C518"/>
    <mergeCell ref="B519:C519"/>
    <mergeCell ref="B520:C520"/>
    <mergeCell ref="J155:J160"/>
    <mergeCell ref="K155:K160"/>
    <mergeCell ref="L155:L160"/>
    <mergeCell ref="M155:M160"/>
    <mergeCell ref="N155:N160"/>
    <mergeCell ref="O155:O160"/>
    <mergeCell ref="P155:P160"/>
    <mergeCell ref="Q155:Q160"/>
    <mergeCell ref="B326:V326"/>
    <mergeCell ref="A177:A184"/>
    <mergeCell ref="B177:V177"/>
    <mergeCell ref="B179:I179"/>
    <mergeCell ref="B180:C180"/>
    <mergeCell ref="B434:V434"/>
    <mergeCell ref="J435:J440"/>
    <mergeCell ref="K435:K440"/>
    <mergeCell ref="M515:M520"/>
    <mergeCell ref="N515:N520"/>
    <mergeCell ref="O515:O520"/>
    <mergeCell ref="P515:P520"/>
    <mergeCell ref="B372:V372"/>
    <mergeCell ref="B183:C183"/>
    <mergeCell ref="B184:C184"/>
    <mergeCell ref="B21:I21"/>
    <mergeCell ref="B22:C22"/>
    <mergeCell ref="B23:C23"/>
    <mergeCell ref="B24:C24"/>
    <mergeCell ref="B25:C25"/>
    <mergeCell ref="B26:C26"/>
    <mergeCell ref="B19:V19"/>
    <mergeCell ref="A19:A26"/>
    <mergeCell ref="B12:C12"/>
    <mergeCell ref="B27:V27"/>
    <mergeCell ref="A27:A34"/>
    <mergeCell ref="B29:I29"/>
    <mergeCell ref="B30:C30"/>
    <mergeCell ref="B31:C31"/>
    <mergeCell ref="B32:C32"/>
    <mergeCell ref="B33:C33"/>
    <mergeCell ref="B34:C34"/>
    <mergeCell ref="N21:N26"/>
    <mergeCell ref="B28:V28"/>
    <mergeCell ref="J29:J34"/>
    <mergeCell ref="K29:K34"/>
    <mergeCell ref="P21:P26"/>
    <mergeCell ref="Q21:Q26"/>
    <mergeCell ref="R21:R26"/>
    <mergeCell ref="P29:P34"/>
    <mergeCell ref="Q29:Q34"/>
    <mergeCell ref="R29:R34"/>
    <mergeCell ref="S21:S26"/>
    <mergeCell ref="T21:T26"/>
    <mergeCell ref="L29:L34"/>
    <mergeCell ref="S29:S34"/>
    <mergeCell ref="T515:T520"/>
    <mergeCell ref="U515:U520"/>
    <mergeCell ref="V515:V520"/>
    <mergeCell ref="K585:K590"/>
    <mergeCell ref="L585:L590"/>
    <mergeCell ref="S569:S574"/>
    <mergeCell ref="B568:V568"/>
    <mergeCell ref="V577:V582"/>
    <mergeCell ref="B557:C557"/>
    <mergeCell ref="B558:C558"/>
    <mergeCell ref="B560:V560"/>
    <mergeCell ref="J561:J566"/>
    <mergeCell ref="K561:K566"/>
    <mergeCell ref="B522:V522"/>
    <mergeCell ref="Q531:Q536"/>
    <mergeCell ref="R531:R536"/>
    <mergeCell ref="R981:R986"/>
    <mergeCell ref="S981:S986"/>
    <mergeCell ref="T981:T986"/>
    <mergeCell ref="U981:U986"/>
    <mergeCell ref="V981:V986"/>
    <mergeCell ref="O935:O940"/>
    <mergeCell ref="P935:P940"/>
    <mergeCell ref="Q935:Q940"/>
    <mergeCell ref="R935:R940"/>
    <mergeCell ref="S935:S940"/>
    <mergeCell ref="T935:T940"/>
    <mergeCell ref="U935:U940"/>
    <mergeCell ref="V935:V940"/>
    <mergeCell ref="B964:V964"/>
    <mergeCell ref="N965:N970"/>
    <mergeCell ref="O965:O970"/>
    <mergeCell ref="N351:N356"/>
    <mergeCell ref="Q421:Q426"/>
    <mergeCell ref="P335:P340"/>
    <mergeCell ref="Q335:Q340"/>
    <mergeCell ref="R335:R340"/>
    <mergeCell ref="J523:J528"/>
    <mergeCell ref="K523:K528"/>
    <mergeCell ref="L523:L528"/>
    <mergeCell ref="M523:M528"/>
    <mergeCell ref="N523:N528"/>
    <mergeCell ref="O523:O528"/>
    <mergeCell ref="P523:P528"/>
    <mergeCell ref="Q523:Q528"/>
    <mergeCell ref="R523:R528"/>
    <mergeCell ref="Q515:Q520"/>
    <mergeCell ref="R515:R520"/>
    <mergeCell ref="S515:S520"/>
    <mergeCell ref="A419:A426"/>
    <mergeCell ref="B424:C424"/>
    <mergeCell ref="B426:C426"/>
    <mergeCell ref="J373:J378"/>
    <mergeCell ref="U443:U448"/>
    <mergeCell ref="V443:V448"/>
    <mergeCell ref="B358:C358"/>
    <mergeCell ref="B359:C359"/>
    <mergeCell ref="J327:J332"/>
    <mergeCell ref="K327:K332"/>
    <mergeCell ref="L327:L332"/>
    <mergeCell ref="B514:V514"/>
    <mergeCell ref="J515:J520"/>
    <mergeCell ref="K515:K520"/>
    <mergeCell ref="L515:L520"/>
    <mergeCell ref="B188:C188"/>
    <mergeCell ref="B189:C189"/>
    <mergeCell ref="B190:C190"/>
    <mergeCell ref="B191:C191"/>
    <mergeCell ref="B192:C192"/>
    <mergeCell ref="B342:V342"/>
    <mergeCell ref="J343:J348"/>
    <mergeCell ref="K343:K348"/>
    <mergeCell ref="L343:L348"/>
    <mergeCell ref="M343:M348"/>
    <mergeCell ref="N343:N348"/>
    <mergeCell ref="O343:O348"/>
    <mergeCell ref="P343:P348"/>
    <mergeCell ref="Q343:Q348"/>
    <mergeCell ref="R343:R348"/>
    <mergeCell ref="S343:S348"/>
    <mergeCell ref="T343:T348"/>
    <mergeCell ref="B350:V350"/>
    <mergeCell ref="J351:J356"/>
    <mergeCell ref="Q351:Q356"/>
    <mergeCell ref="R351:R356"/>
    <mergeCell ref="K351:K356"/>
    <mergeCell ref="L351:L356"/>
    <mergeCell ref="M351:M356"/>
    <mergeCell ref="B419:V419"/>
    <mergeCell ref="B421:I421"/>
    <mergeCell ref="B422:C422"/>
    <mergeCell ref="B423:C423"/>
    <mergeCell ref="P421:P426"/>
    <mergeCell ref="R421:R426"/>
    <mergeCell ref="S421:S426"/>
    <mergeCell ref="A357:A362"/>
    <mergeCell ref="B357:V357"/>
    <mergeCell ref="B766:V766"/>
    <mergeCell ref="V413:V418"/>
    <mergeCell ref="A427:A432"/>
    <mergeCell ref="B427:V427"/>
    <mergeCell ref="B428:C428"/>
    <mergeCell ref="B429:C429"/>
    <mergeCell ref="B430:C430"/>
    <mergeCell ref="S523:S528"/>
    <mergeCell ref="T523:T528"/>
    <mergeCell ref="U523:U528"/>
    <mergeCell ref="V523:V528"/>
    <mergeCell ref="O743:O748"/>
    <mergeCell ref="B758:V758"/>
    <mergeCell ref="R593:R598"/>
    <mergeCell ref="S593:S598"/>
    <mergeCell ref="T593:T598"/>
    <mergeCell ref="O435:O440"/>
    <mergeCell ref="P435:P440"/>
    <mergeCell ref="Q435:Q440"/>
    <mergeCell ref="R435:R440"/>
    <mergeCell ref="S435:S440"/>
    <mergeCell ref="T435:T440"/>
    <mergeCell ref="B420:V420"/>
    <mergeCell ref="J421:J426"/>
    <mergeCell ref="K421:K426"/>
    <mergeCell ref="L421:L426"/>
    <mergeCell ref="M421:M426"/>
    <mergeCell ref="N421:N426"/>
    <mergeCell ref="O421:O426"/>
    <mergeCell ref="S351:S356"/>
    <mergeCell ref="T351:T356"/>
    <mergeCell ref="V351:V356"/>
    <mergeCell ref="B360:C360"/>
    <mergeCell ref="L435:L440"/>
    <mergeCell ref="M435:M440"/>
    <mergeCell ref="N435:N440"/>
    <mergeCell ref="S365:S370"/>
    <mergeCell ref="T365:T370"/>
    <mergeCell ref="U365:U370"/>
    <mergeCell ref="V365:V370"/>
    <mergeCell ref="U351:U356"/>
    <mergeCell ref="P351:P356"/>
    <mergeCell ref="B431:C431"/>
    <mergeCell ref="O413:O418"/>
    <mergeCell ref="O351:O356"/>
    <mergeCell ref="B432:C432"/>
    <mergeCell ref="U435:U440"/>
    <mergeCell ref="V435:V440"/>
    <mergeCell ref="K231:K236"/>
    <mergeCell ref="N262:N268"/>
    <mergeCell ref="B278:V278"/>
    <mergeCell ref="J279:J284"/>
    <mergeCell ref="K279:K284"/>
    <mergeCell ref="L279:L284"/>
    <mergeCell ref="M279:M284"/>
    <mergeCell ref="S271:S276"/>
    <mergeCell ref="T271:T276"/>
    <mergeCell ref="U271:U276"/>
    <mergeCell ref="B256:C256"/>
    <mergeCell ref="R287:R292"/>
    <mergeCell ref="U279:U284"/>
    <mergeCell ref="U262:U268"/>
    <mergeCell ref="V262:V268"/>
    <mergeCell ref="B270:V270"/>
    <mergeCell ref="J271:J276"/>
    <mergeCell ref="K271:K276"/>
    <mergeCell ref="B268:C268"/>
    <mergeCell ref="P262:P268"/>
    <mergeCell ref="K239:K244"/>
    <mergeCell ref="L239:L244"/>
    <mergeCell ref="M239:M244"/>
    <mergeCell ref="V239:V244"/>
    <mergeCell ref="N239:N244"/>
    <mergeCell ref="O271:O276"/>
    <mergeCell ref="T239:T244"/>
    <mergeCell ref="U239:U244"/>
    <mergeCell ref="B238:V238"/>
    <mergeCell ref="M271:M276"/>
    <mergeCell ref="N271:N276"/>
    <mergeCell ref="P271:P276"/>
    <mergeCell ref="J147:J152"/>
    <mergeCell ref="K147:K152"/>
    <mergeCell ref="A89:A96"/>
    <mergeCell ref="B89:V89"/>
    <mergeCell ref="B91:I91"/>
    <mergeCell ref="B92:C92"/>
    <mergeCell ref="B93:C93"/>
    <mergeCell ref="B94:C94"/>
    <mergeCell ref="B95:C95"/>
    <mergeCell ref="L139:L144"/>
    <mergeCell ref="M139:M144"/>
    <mergeCell ref="L209:L214"/>
    <mergeCell ref="P231:P236"/>
    <mergeCell ref="Q231:Q236"/>
    <mergeCell ref="T231:T236"/>
    <mergeCell ref="M171:M176"/>
    <mergeCell ref="N171:N176"/>
    <mergeCell ref="O171:O176"/>
    <mergeCell ref="P171:P176"/>
    <mergeCell ref="Q171:Q176"/>
    <mergeCell ref="R171:R176"/>
    <mergeCell ref="S171:S176"/>
    <mergeCell ref="T171:T176"/>
    <mergeCell ref="R155:R160"/>
    <mergeCell ref="S155:S160"/>
    <mergeCell ref="T155:T160"/>
    <mergeCell ref="B162:V162"/>
    <mergeCell ref="J163:J168"/>
    <mergeCell ref="K163:K168"/>
    <mergeCell ref="L163:L168"/>
    <mergeCell ref="M163:M168"/>
    <mergeCell ref="T217:T222"/>
    <mergeCell ref="U171:U176"/>
    <mergeCell ref="V171:V176"/>
    <mergeCell ref="U155:U160"/>
    <mergeCell ref="V155:V160"/>
    <mergeCell ref="B186:V186"/>
    <mergeCell ref="B170:V170"/>
    <mergeCell ref="J171:J176"/>
    <mergeCell ref="K171:K176"/>
    <mergeCell ref="L171:L176"/>
    <mergeCell ref="B178:V178"/>
    <mergeCell ref="J179:J184"/>
    <mergeCell ref="K179:K184"/>
    <mergeCell ref="L179:L184"/>
    <mergeCell ref="M179:M184"/>
    <mergeCell ref="N179:N184"/>
    <mergeCell ref="O179:O184"/>
    <mergeCell ref="P179:P184"/>
    <mergeCell ref="Q179:Q184"/>
    <mergeCell ref="R179:R184"/>
    <mergeCell ref="S179:S184"/>
    <mergeCell ref="T179:T184"/>
    <mergeCell ref="U179:U184"/>
    <mergeCell ref="V179:V184"/>
    <mergeCell ref="B181:C181"/>
    <mergeCell ref="B182:C182"/>
    <mergeCell ref="B157:C157"/>
    <mergeCell ref="B158:C158"/>
    <mergeCell ref="B159:C159"/>
    <mergeCell ref="B160:C160"/>
    <mergeCell ref="B195:C195"/>
    <mergeCell ref="B196:C196"/>
    <mergeCell ref="B197:C197"/>
    <mergeCell ref="B198:C198"/>
    <mergeCell ref="S209:S214"/>
    <mergeCell ref="T209:T214"/>
    <mergeCell ref="U209:U214"/>
    <mergeCell ref="V209:V214"/>
    <mergeCell ref="M231:M236"/>
    <mergeCell ref="J201:J206"/>
    <mergeCell ref="K201:K206"/>
    <mergeCell ref="L201:L206"/>
    <mergeCell ref="M201:M206"/>
    <mergeCell ref="Q389:Q394"/>
    <mergeCell ref="R389:R394"/>
    <mergeCell ref="S389:S394"/>
    <mergeCell ref="T389:T394"/>
    <mergeCell ref="U389:U394"/>
    <mergeCell ref="V389:V394"/>
    <mergeCell ref="K381:K386"/>
    <mergeCell ref="S381:S386"/>
    <mergeCell ref="V311:V316"/>
    <mergeCell ref="L303:L308"/>
    <mergeCell ref="M303:M308"/>
    <mergeCell ref="Q381:Q386"/>
    <mergeCell ref="R381:R386"/>
    <mergeCell ref="L381:L386"/>
    <mergeCell ref="K365:K370"/>
    <mergeCell ref="B380:V380"/>
    <mergeCell ref="M365:M370"/>
    <mergeCell ref="V201:V206"/>
    <mergeCell ref="O201:O206"/>
    <mergeCell ref="N201:N206"/>
    <mergeCell ref="M209:M214"/>
    <mergeCell ref="U217:U222"/>
    <mergeCell ref="T421:T426"/>
    <mergeCell ref="U421:U426"/>
    <mergeCell ref="V421:V426"/>
    <mergeCell ref="B412:V412"/>
    <mergeCell ref="P413:P418"/>
    <mergeCell ref="Q413:Q418"/>
    <mergeCell ref="R413:R418"/>
    <mergeCell ref="S413:S418"/>
    <mergeCell ref="T413:T418"/>
    <mergeCell ref="K413:K418"/>
    <mergeCell ref="L413:L418"/>
    <mergeCell ref="M413:M418"/>
    <mergeCell ref="N413:N418"/>
    <mergeCell ref="J413:J418"/>
    <mergeCell ref="P381:P386"/>
    <mergeCell ref="J381:J386"/>
    <mergeCell ref="P201:P206"/>
    <mergeCell ref="Q201:Q206"/>
    <mergeCell ref="R201:R206"/>
    <mergeCell ref="S201:S206"/>
    <mergeCell ref="T201:T206"/>
    <mergeCell ref="J239:J244"/>
    <mergeCell ref="K303:K308"/>
    <mergeCell ref="R231:R236"/>
    <mergeCell ref="S231:S236"/>
    <mergeCell ref="J231:J236"/>
    <mergeCell ref="B258:C258"/>
    <mergeCell ref="V373:V378"/>
    <mergeCell ref="K389:K394"/>
    <mergeCell ref="O139:O144"/>
    <mergeCell ref="P139:P144"/>
    <mergeCell ref="Q139:Q144"/>
    <mergeCell ref="R139:R144"/>
    <mergeCell ref="S139:S144"/>
    <mergeCell ref="T139:T144"/>
    <mergeCell ref="U139:U144"/>
    <mergeCell ref="V139:V144"/>
    <mergeCell ref="J217:J222"/>
    <mergeCell ref="L217:L222"/>
    <mergeCell ref="M217:M222"/>
    <mergeCell ref="N217:N222"/>
    <mergeCell ref="K83:K88"/>
    <mergeCell ref="L83:L88"/>
    <mergeCell ref="B138:V138"/>
    <mergeCell ref="L115:L120"/>
    <mergeCell ref="B113:V113"/>
    <mergeCell ref="N83:N88"/>
    <mergeCell ref="B98:V98"/>
    <mergeCell ref="J99:J104"/>
    <mergeCell ref="K99:K104"/>
    <mergeCell ref="L99:L104"/>
    <mergeCell ref="U99:U104"/>
    <mergeCell ref="V99:V104"/>
    <mergeCell ref="J131:J136"/>
    <mergeCell ref="K131:K136"/>
    <mergeCell ref="L131:L136"/>
    <mergeCell ref="M131:M136"/>
    <mergeCell ref="N131:N136"/>
    <mergeCell ref="U201:U206"/>
    <mergeCell ref="B193:V193"/>
    <mergeCell ref="B194:C194"/>
    <mergeCell ref="U61:U66"/>
    <mergeCell ref="B79:C79"/>
    <mergeCell ref="J139:J144"/>
    <mergeCell ref="K139:K144"/>
    <mergeCell ref="T147:T152"/>
    <mergeCell ref="U147:U152"/>
    <mergeCell ref="V147:V152"/>
    <mergeCell ref="A9:V9"/>
    <mergeCell ref="U21:U26"/>
    <mergeCell ref="V21:V26"/>
    <mergeCell ref="B20:V20"/>
    <mergeCell ref="J21:J26"/>
    <mergeCell ref="K21:K26"/>
    <mergeCell ref="L21:L26"/>
    <mergeCell ref="M21:M26"/>
    <mergeCell ref="A13:A18"/>
    <mergeCell ref="B13:V13"/>
    <mergeCell ref="B14:C14"/>
    <mergeCell ref="B15:C15"/>
    <mergeCell ref="B16:C16"/>
    <mergeCell ref="B17:C17"/>
    <mergeCell ref="B18:C18"/>
    <mergeCell ref="O21:O26"/>
    <mergeCell ref="T29:T34"/>
    <mergeCell ref="U29:U34"/>
    <mergeCell ref="V29:V34"/>
    <mergeCell ref="M29:M34"/>
    <mergeCell ref="N29:N34"/>
    <mergeCell ref="O29:O34"/>
    <mergeCell ref="B146:V146"/>
    <mergeCell ref="B78:C78"/>
    <mergeCell ref="N139:N144"/>
    <mergeCell ref="J37:J42"/>
    <mergeCell ref="K37:K42"/>
    <mergeCell ref="L37:L42"/>
    <mergeCell ref="M37:M42"/>
    <mergeCell ref="N37:N42"/>
    <mergeCell ref="J61:J66"/>
    <mergeCell ref="B68:V68"/>
    <mergeCell ref="B52:V52"/>
    <mergeCell ref="B60:V60"/>
    <mergeCell ref="B40:C40"/>
    <mergeCell ref="B41:C41"/>
    <mergeCell ref="B42:C42"/>
    <mergeCell ref="B46:C46"/>
    <mergeCell ref="B50:C50"/>
    <mergeCell ref="B49:C49"/>
    <mergeCell ref="B48:C48"/>
    <mergeCell ref="B47:C47"/>
    <mergeCell ref="B45:I45"/>
    <mergeCell ref="B43:V43"/>
    <mergeCell ref="V53:V58"/>
    <mergeCell ref="O45:O50"/>
    <mergeCell ref="P45:P50"/>
    <mergeCell ref="Q45:Q50"/>
    <mergeCell ref="R45:R50"/>
    <mergeCell ref="S45:S50"/>
    <mergeCell ref="B58:C58"/>
    <mergeCell ref="B57:C57"/>
    <mergeCell ref="B56:C56"/>
    <mergeCell ref="B55:C55"/>
    <mergeCell ref="L45:L50"/>
    <mergeCell ref="M45:M50"/>
    <mergeCell ref="B54:C54"/>
    <mergeCell ref="J53:J58"/>
    <mergeCell ref="K53:K58"/>
    <mergeCell ref="L53:L58"/>
    <mergeCell ref="M53:M58"/>
    <mergeCell ref="N53:N58"/>
    <mergeCell ref="O53:O58"/>
    <mergeCell ref="S91:S96"/>
    <mergeCell ref="T91:T96"/>
    <mergeCell ref="U91:U96"/>
    <mergeCell ref="V91:V96"/>
    <mergeCell ref="B82:V82"/>
    <mergeCell ref="J83:J88"/>
    <mergeCell ref="M91:M96"/>
    <mergeCell ref="N91:N96"/>
    <mergeCell ref="O91:O96"/>
    <mergeCell ref="P53:P58"/>
    <mergeCell ref="Q53:Q58"/>
    <mergeCell ref="R53:R58"/>
    <mergeCell ref="S53:S58"/>
    <mergeCell ref="T53:T58"/>
    <mergeCell ref="U53:U58"/>
    <mergeCell ref="P91:P96"/>
    <mergeCell ref="B96:C96"/>
    <mergeCell ref="N69:N74"/>
    <mergeCell ref="R61:R66"/>
    <mergeCell ref="S61:S66"/>
    <mergeCell ref="T61:T66"/>
    <mergeCell ref="V83:V88"/>
    <mergeCell ref="O83:O88"/>
    <mergeCell ref="P83:P88"/>
    <mergeCell ref="Q83:Q88"/>
    <mergeCell ref="B77:C77"/>
    <mergeCell ref="A193:A198"/>
    <mergeCell ref="A121:A128"/>
    <mergeCell ref="B121:V121"/>
    <mergeCell ref="B123:I123"/>
    <mergeCell ref="B124:C124"/>
    <mergeCell ref="B125:C125"/>
    <mergeCell ref="B126:C126"/>
    <mergeCell ref="B127:C127"/>
    <mergeCell ref="B128:C128"/>
    <mergeCell ref="B114:V114"/>
    <mergeCell ref="J115:J120"/>
    <mergeCell ref="Q107:Q112"/>
    <mergeCell ref="R107:R112"/>
    <mergeCell ref="S107:S112"/>
    <mergeCell ref="T107:T112"/>
    <mergeCell ref="U107:U112"/>
    <mergeCell ref="V107:V112"/>
    <mergeCell ref="K107:K112"/>
    <mergeCell ref="L107:L112"/>
    <mergeCell ref="M107:M112"/>
    <mergeCell ref="N107:N112"/>
    <mergeCell ref="O107:O112"/>
    <mergeCell ref="P107:P112"/>
    <mergeCell ref="A113:A120"/>
    <mergeCell ref="S123:S128"/>
    <mergeCell ref="T123:T128"/>
    <mergeCell ref="U123:U128"/>
    <mergeCell ref="V123:V128"/>
    <mergeCell ref="M123:M128"/>
    <mergeCell ref="N123:N128"/>
    <mergeCell ref="Q123:Q128"/>
    <mergeCell ref="R123:R128"/>
    <mergeCell ref="A207:A214"/>
    <mergeCell ref="B207:V207"/>
    <mergeCell ref="B209:I209"/>
    <mergeCell ref="B210:C210"/>
    <mergeCell ref="A215:A222"/>
    <mergeCell ref="B215:V215"/>
    <mergeCell ref="B217:I217"/>
    <mergeCell ref="B218:C218"/>
    <mergeCell ref="B219:C219"/>
    <mergeCell ref="B208:V208"/>
    <mergeCell ref="B230:V230"/>
    <mergeCell ref="B228:C228"/>
    <mergeCell ref="A223:A228"/>
    <mergeCell ref="B223:V223"/>
    <mergeCell ref="B224:C224"/>
    <mergeCell ref="B216:V216"/>
    <mergeCell ref="O217:O222"/>
    <mergeCell ref="P217:P222"/>
    <mergeCell ref="Q217:Q222"/>
    <mergeCell ref="R217:R222"/>
    <mergeCell ref="S217:S222"/>
    <mergeCell ref="J209:J214"/>
    <mergeCell ref="V217:V222"/>
    <mergeCell ref="K217:K222"/>
    <mergeCell ref="B225:C225"/>
    <mergeCell ref="B226:C226"/>
    <mergeCell ref="B227:C227"/>
    <mergeCell ref="A253:A259"/>
    <mergeCell ref="B253:V253"/>
    <mergeCell ref="B254:C254"/>
    <mergeCell ref="B255:C255"/>
    <mergeCell ref="K287:K292"/>
    <mergeCell ref="B425:C425"/>
    <mergeCell ref="N405:N410"/>
    <mergeCell ref="Q295:Q300"/>
    <mergeCell ref="R295:R300"/>
    <mergeCell ref="S295:S300"/>
    <mergeCell ref="T295:T300"/>
    <mergeCell ref="N303:N308"/>
    <mergeCell ref="B364:V364"/>
    <mergeCell ref="J365:J370"/>
    <mergeCell ref="B302:V302"/>
    <mergeCell ref="O327:O332"/>
    <mergeCell ref="S373:S378"/>
    <mergeCell ref="T373:T378"/>
    <mergeCell ref="U373:U378"/>
    <mergeCell ref="V327:V332"/>
    <mergeCell ref="B334:V334"/>
    <mergeCell ref="J335:J340"/>
    <mergeCell ref="K335:K340"/>
    <mergeCell ref="L335:L340"/>
    <mergeCell ref="M335:M340"/>
    <mergeCell ref="N335:N340"/>
    <mergeCell ref="O335:O340"/>
    <mergeCell ref="S335:S340"/>
    <mergeCell ref="T335:T340"/>
    <mergeCell ref="U335:U340"/>
    <mergeCell ref="V335:V340"/>
    <mergeCell ref="U343:U348"/>
    <mergeCell ref="B451:I451"/>
    <mergeCell ref="B452:C452"/>
    <mergeCell ref="B453:C453"/>
    <mergeCell ref="B454:C454"/>
    <mergeCell ref="B455:C455"/>
    <mergeCell ref="B456:C456"/>
    <mergeCell ref="S467:S472"/>
    <mergeCell ref="O443:O448"/>
    <mergeCell ref="P443:P448"/>
    <mergeCell ref="Q443:Q448"/>
    <mergeCell ref="R443:R448"/>
    <mergeCell ref="S443:S448"/>
    <mergeCell ref="T443:T448"/>
    <mergeCell ref="B442:V442"/>
    <mergeCell ref="J443:J448"/>
    <mergeCell ref="K443:K448"/>
    <mergeCell ref="L443:L448"/>
    <mergeCell ref="M443:M448"/>
    <mergeCell ref="N443:N448"/>
    <mergeCell ref="N483:N488"/>
    <mergeCell ref="O483:O488"/>
    <mergeCell ref="B474:V474"/>
    <mergeCell ref="J475:J480"/>
    <mergeCell ref="P483:P488"/>
    <mergeCell ref="Q483:Q488"/>
    <mergeCell ref="R483:R488"/>
    <mergeCell ref="A457:A464"/>
    <mergeCell ref="B457:V457"/>
    <mergeCell ref="B459:I459"/>
    <mergeCell ref="B460:C460"/>
    <mergeCell ref="Q451:Q456"/>
    <mergeCell ref="R451:R456"/>
    <mergeCell ref="S451:S456"/>
    <mergeCell ref="T451:T456"/>
    <mergeCell ref="U451:U456"/>
    <mergeCell ref="V451:V456"/>
    <mergeCell ref="K451:K456"/>
    <mergeCell ref="L451:L456"/>
    <mergeCell ref="M451:M456"/>
    <mergeCell ref="N451:N456"/>
    <mergeCell ref="O451:O456"/>
    <mergeCell ref="P451:P456"/>
    <mergeCell ref="P467:P472"/>
    <mergeCell ref="Q467:Q472"/>
    <mergeCell ref="R467:R472"/>
    <mergeCell ref="B461:C461"/>
    <mergeCell ref="B462:C462"/>
    <mergeCell ref="B463:C463"/>
    <mergeCell ref="J451:J456"/>
    <mergeCell ref="A449:A456"/>
    <mergeCell ref="B449:V449"/>
    <mergeCell ref="M491:M496"/>
    <mergeCell ref="N491:N496"/>
    <mergeCell ref="R499:R504"/>
    <mergeCell ref="S499:S504"/>
    <mergeCell ref="T499:T504"/>
    <mergeCell ref="U499:U504"/>
    <mergeCell ref="O499:O504"/>
    <mergeCell ref="A481:A488"/>
    <mergeCell ref="B481:V481"/>
    <mergeCell ref="B483:I483"/>
    <mergeCell ref="B484:C484"/>
    <mergeCell ref="B485:C485"/>
    <mergeCell ref="B486:C486"/>
    <mergeCell ref="B487:C487"/>
    <mergeCell ref="B488:C488"/>
    <mergeCell ref="U459:U464"/>
    <mergeCell ref="V459:V464"/>
    <mergeCell ref="B466:V466"/>
    <mergeCell ref="J467:J472"/>
    <mergeCell ref="K467:K472"/>
    <mergeCell ref="L467:L472"/>
    <mergeCell ref="O459:O464"/>
    <mergeCell ref="P459:P464"/>
    <mergeCell ref="Q459:Q464"/>
    <mergeCell ref="R459:R464"/>
    <mergeCell ref="S459:S464"/>
    <mergeCell ref="T459:T464"/>
    <mergeCell ref="B482:V482"/>
    <mergeCell ref="J483:J488"/>
    <mergeCell ref="K483:K488"/>
    <mergeCell ref="L483:L488"/>
    <mergeCell ref="M483:M488"/>
    <mergeCell ref="A545:A550"/>
    <mergeCell ref="B545:V545"/>
    <mergeCell ref="B546:C546"/>
    <mergeCell ref="B547:C547"/>
    <mergeCell ref="B548:C548"/>
    <mergeCell ref="B549:C549"/>
    <mergeCell ref="B550:C550"/>
    <mergeCell ref="A559:A566"/>
    <mergeCell ref="B559:V559"/>
    <mergeCell ref="B561:I561"/>
    <mergeCell ref="B562:C562"/>
    <mergeCell ref="B563:C563"/>
    <mergeCell ref="B564:C564"/>
    <mergeCell ref="B565:C565"/>
    <mergeCell ref="B566:C566"/>
    <mergeCell ref="L561:L566"/>
    <mergeCell ref="M561:M566"/>
    <mergeCell ref="N561:N566"/>
    <mergeCell ref="O561:O566"/>
    <mergeCell ref="P561:P566"/>
    <mergeCell ref="Q561:Q566"/>
    <mergeCell ref="R561:R566"/>
    <mergeCell ref="S561:S566"/>
    <mergeCell ref="T561:T566"/>
    <mergeCell ref="U561:U566"/>
    <mergeCell ref="V561:V566"/>
    <mergeCell ref="A551:A558"/>
    <mergeCell ref="B551:V551"/>
    <mergeCell ref="B553:I553"/>
    <mergeCell ref="B554:C554"/>
    <mergeCell ref="B555:C555"/>
    <mergeCell ref="B556:C556"/>
    <mergeCell ref="A599:A606"/>
    <mergeCell ref="B599:V599"/>
    <mergeCell ref="B601:I601"/>
    <mergeCell ref="B602:C602"/>
    <mergeCell ref="B603:C603"/>
    <mergeCell ref="B604:C604"/>
    <mergeCell ref="B605:C605"/>
    <mergeCell ref="B606:C606"/>
    <mergeCell ref="L553:L558"/>
    <mergeCell ref="M553:M558"/>
    <mergeCell ref="N553:N558"/>
    <mergeCell ref="O553:O558"/>
    <mergeCell ref="P553:P558"/>
    <mergeCell ref="Q553:Q558"/>
    <mergeCell ref="R553:R558"/>
    <mergeCell ref="S553:S558"/>
    <mergeCell ref="T553:T558"/>
    <mergeCell ref="U553:U558"/>
    <mergeCell ref="V553:V558"/>
    <mergeCell ref="K593:K598"/>
    <mergeCell ref="L593:L598"/>
    <mergeCell ref="M593:M598"/>
    <mergeCell ref="N593:N598"/>
    <mergeCell ref="O593:O598"/>
    <mergeCell ref="P593:P598"/>
    <mergeCell ref="Q593:Q598"/>
    <mergeCell ref="B569:I569"/>
    <mergeCell ref="B570:C570"/>
    <mergeCell ref="S577:S582"/>
    <mergeCell ref="T577:T582"/>
    <mergeCell ref="U577:U582"/>
    <mergeCell ref="T585:T590"/>
    <mergeCell ref="A615:A622"/>
    <mergeCell ref="S617:S622"/>
    <mergeCell ref="T617:T622"/>
    <mergeCell ref="U617:U622"/>
    <mergeCell ref="V617:V622"/>
    <mergeCell ref="K617:K622"/>
    <mergeCell ref="A655:A662"/>
    <mergeCell ref="Q617:Q622"/>
    <mergeCell ref="R617:R622"/>
    <mergeCell ref="B616:V616"/>
    <mergeCell ref="B615:V615"/>
    <mergeCell ref="B617:I617"/>
    <mergeCell ref="U601:U606"/>
    <mergeCell ref="V601:V606"/>
    <mergeCell ref="B608:V608"/>
    <mergeCell ref="J609:J614"/>
    <mergeCell ref="K609:K614"/>
    <mergeCell ref="L609:L614"/>
    <mergeCell ref="O601:O606"/>
    <mergeCell ref="P601:P606"/>
    <mergeCell ref="Q601:Q606"/>
    <mergeCell ref="R601:R606"/>
    <mergeCell ref="S601:S606"/>
    <mergeCell ref="T601:T606"/>
    <mergeCell ref="J601:J606"/>
    <mergeCell ref="K601:K606"/>
    <mergeCell ref="L601:L606"/>
    <mergeCell ref="M601:M606"/>
    <mergeCell ref="B611:C611"/>
    <mergeCell ref="B612:C612"/>
    <mergeCell ref="B613:C613"/>
    <mergeCell ref="B614:C614"/>
    <mergeCell ref="A639:A646"/>
    <mergeCell ref="B639:V639"/>
    <mergeCell ref="B641:I641"/>
    <mergeCell ref="B642:C642"/>
    <mergeCell ref="B643:C643"/>
    <mergeCell ref="B644:C644"/>
    <mergeCell ref="B645:C645"/>
    <mergeCell ref="B646:C646"/>
    <mergeCell ref="Q649:Q654"/>
    <mergeCell ref="R649:R654"/>
    <mergeCell ref="S657:S662"/>
    <mergeCell ref="T657:T662"/>
    <mergeCell ref="B655:V655"/>
    <mergeCell ref="B657:I657"/>
    <mergeCell ref="B658:C658"/>
    <mergeCell ref="B659:C659"/>
    <mergeCell ref="A647:A654"/>
    <mergeCell ref="B640:V640"/>
    <mergeCell ref="J641:J646"/>
    <mergeCell ref="K641:K646"/>
    <mergeCell ref="L641:L646"/>
    <mergeCell ref="M641:M646"/>
    <mergeCell ref="N641:N646"/>
    <mergeCell ref="S641:S646"/>
    <mergeCell ref="T641:T646"/>
    <mergeCell ref="M657:M662"/>
    <mergeCell ref="N657:N662"/>
    <mergeCell ref="L657:L662"/>
    <mergeCell ref="B662:C662"/>
    <mergeCell ref="L389:L394"/>
    <mergeCell ref="M389:M394"/>
    <mergeCell ref="N389:N394"/>
    <mergeCell ref="R397:R402"/>
    <mergeCell ref="S397:S402"/>
    <mergeCell ref="T397:T402"/>
    <mergeCell ref="B396:V396"/>
    <mergeCell ref="J397:J402"/>
    <mergeCell ref="M397:M402"/>
    <mergeCell ref="N397:N402"/>
    <mergeCell ref="B458:V458"/>
    <mergeCell ref="J459:J464"/>
    <mergeCell ref="K459:K464"/>
    <mergeCell ref="L459:L464"/>
    <mergeCell ref="M459:M464"/>
    <mergeCell ref="N459:N464"/>
    <mergeCell ref="M609:M614"/>
    <mergeCell ref="N609:N614"/>
    <mergeCell ref="O609:O614"/>
    <mergeCell ref="P609:P614"/>
    <mergeCell ref="Q609:Q614"/>
    <mergeCell ref="R609:R614"/>
    <mergeCell ref="S483:S488"/>
    <mergeCell ref="T483:T488"/>
    <mergeCell ref="U483:U488"/>
    <mergeCell ref="V483:V488"/>
    <mergeCell ref="P531:P536"/>
    <mergeCell ref="U491:U496"/>
    <mergeCell ref="V491:V496"/>
    <mergeCell ref="O491:O496"/>
    <mergeCell ref="P491:P496"/>
    <mergeCell ref="Q491:Q496"/>
    <mergeCell ref="B450:V450"/>
    <mergeCell ref="U413:U418"/>
    <mergeCell ref="S649:S654"/>
    <mergeCell ref="T649:T654"/>
    <mergeCell ref="U649:U654"/>
    <mergeCell ref="V649:V654"/>
    <mergeCell ref="M649:M654"/>
    <mergeCell ref="N649:N654"/>
    <mergeCell ref="O649:O654"/>
    <mergeCell ref="R405:R410"/>
    <mergeCell ref="S405:S410"/>
    <mergeCell ref="U405:U410"/>
    <mergeCell ref="V405:V410"/>
    <mergeCell ref="O405:O410"/>
    <mergeCell ref="P405:P410"/>
    <mergeCell ref="S531:S536"/>
    <mergeCell ref="B530:V530"/>
    <mergeCell ref="L633:L638"/>
    <mergeCell ref="P625:P630"/>
    <mergeCell ref="Q625:Q630"/>
    <mergeCell ref="R625:R630"/>
    <mergeCell ref="L617:L622"/>
    <mergeCell ref="M617:M622"/>
    <mergeCell ref="N617:N622"/>
    <mergeCell ref="O617:O622"/>
    <mergeCell ref="B618:C618"/>
    <mergeCell ref="B619:C619"/>
    <mergeCell ref="B620:C620"/>
    <mergeCell ref="J617:J622"/>
    <mergeCell ref="J531:J536"/>
    <mergeCell ref="B464:C464"/>
    <mergeCell ref="B621:C621"/>
    <mergeCell ref="B609:I609"/>
    <mergeCell ref="B610:C610"/>
    <mergeCell ref="J553:J558"/>
    <mergeCell ref="K553:K558"/>
    <mergeCell ref="S633:S638"/>
    <mergeCell ref="T633:T638"/>
    <mergeCell ref="U633:U638"/>
    <mergeCell ref="V633:V638"/>
    <mergeCell ref="M633:M638"/>
    <mergeCell ref="N633:N638"/>
    <mergeCell ref="P617:P622"/>
    <mergeCell ref="L625:L630"/>
    <mergeCell ref="U585:U590"/>
    <mergeCell ref="V585:V590"/>
    <mergeCell ref="B592:V592"/>
    <mergeCell ref="Q665:Q670"/>
    <mergeCell ref="T467:T472"/>
    <mergeCell ref="U467:U472"/>
    <mergeCell ref="V467:V472"/>
    <mergeCell ref="R491:R496"/>
    <mergeCell ref="S491:S496"/>
    <mergeCell ref="T491:T496"/>
    <mergeCell ref="B498:V498"/>
    <mergeCell ref="J499:J504"/>
    <mergeCell ref="K499:K504"/>
    <mergeCell ref="L499:L504"/>
    <mergeCell ref="M499:M504"/>
    <mergeCell ref="N499:N504"/>
    <mergeCell ref="B490:V490"/>
    <mergeCell ref="J491:J496"/>
    <mergeCell ref="K491:K496"/>
    <mergeCell ref="L491:L496"/>
    <mergeCell ref="S303:S308"/>
    <mergeCell ref="T303:T308"/>
    <mergeCell ref="U303:U308"/>
    <mergeCell ref="N365:N370"/>
    <mergeCell ref="O365:O370"/>
    <mergeCell ref="P365:P370"/>
    <mergeCell ref="V303:V308"/>
    <mergeCell ref="V397:V402"/>
    <mergeCell ref="O397:O402"/>
    <mergeCell ref="Q365:Q370"/>
    <mergeCell ref="R365:R370"/>
    <mergeCell ref="N381:N386"/>
    <mergeCell ref="O381:O386"/>
    <mergeCell ref="Q397:Q402"/>
    <mergeCell ref="O389:O394"/>
    <mergeCell ref="P389:P394"/>
    <mergeCell ref="U397:U402"/>
    <mergeCell ref="P319:P324"/>
    <mergeCell ref="Q319:Q324"/>
    <mergeCell ref="R319:R324"/>
    <mergeCell ref="S319:S324"/>
    <mergeCell ref="T319:T324"/>
    <mergeCell ref="U319:U324"/>
    <mergeCell ref="V319:V324"/>
    <mergeCell ref="P327:P332"/>
    <mergeCell ref="Q327:Q332"/>
    <mergeCell ref="R327:R332"/>
    <mergeCell ref="S327:S332"/>
    <mergeCell ref="T327:T332"/>
    <mergeCell ref="U327:U332"/>
    <mergeCell ref="P397:P402"/>
    <mergeCell ref="V343:V348"/>
    <mergeCell ref="P311:P316"/>
    <mergeCell ref="Q311:Q316"/>
    <mergeCell ref="R311:R316"/>
    <mergeCell ref="B318:V318"/>
    <mergeCell ref="S311:S316"/>
    <mergeCell ref="T311:T316"/>
    <mergeCell ref="U751:U756"/>
    <mergeCell ref="V681:V686"/>
    <mergeCell ref="L689:L694"/>
    <mergeCell ref="L719:L724"/>
    <mergeCell ref="M719:M724"/>
    <mergeCell ref="N719:N724"/>
    <mergeCell ref="B742:V742"/>
    <mergeCell ref="J743:J748"/>
    <mergeCell ref="S689:S694"/>
    <mergeCell ref="T689:T694"/>
    <mergeCell ref="U689:U694"/>
    <mergeCell ref="V689:V694"/>
    <mergeCell ref="M689:M694"/>
    <mergeCell ref="K689:K694"/>
    <mergeCell ref="B664:V664"/>
    <mergeCell ref="B680:V680"/>
    <mergeCell ref="B660:C660"/>
    <mergeCell ref="K681:K686"/>
    <mergeCell ref="U681:U686"/>
    <mergeCell ref="B361:C361"/>
    <mergeCell ref="B362:C362"/>
    <mergeCell ref="J319:J324"/>
    <mergeCell ref="U673:U678"/>
    <mergeCell ref="V673:V678"/>
    <mergeCell ref="B624:V624"/>
    <mergeCell ref="S625:S630"/>
    <mergeCell ref="P239:P244"/>
    <mergeCell ref="Q239:Q244"/>
    <mergeCell ref="R239:R244"/>
    <mergeCell ref="S239:S244"/>
    <mergeCell ref="T279:T284"/>
    <mergeCell ref="B261:V261"/>
    <mergeCell ref="J262:J268"/>
    <mergeCell ref="K262:K268"/>
    <mergeCell ref="L262:L268"/>
    <mergeCell ref="M262:M268"/>
    <mergeCell ref="P247:P252"/>
    <mergeCell ref="Q247:Q252"/>
    <mergeCell ref="R247:R252"/>
    <mergeCell ref="S247:S252"/>
    <mergeCell ref="T247:T252"/>
    <mergeCell ref="U247:U252"/>
    <mergeCell ref="V247:V252"/>
    <mergeCell ref="O279:O284"/>
    <mergeCell ref="P279:P284"/>
    <mergeCell ref="B246:V246"/>
    <mergeCell ref="J247:J252"/>
    <mergeCell ref="K247:K252"/>
    <mergeCell ref="L247:L252"/>
    <mergeCell ref="M247:M252"/>
    <mergeCell ref="V271:V276"/>
    <mergeCell ref="O239:O244"/>
    <mergeCell ref="L271:L276"/>
    <mergeCell ref="O262:O268"/>
    <mergeCell ref="B259:C259"/>
    <mergeCell ref="J311:J316"/>
    <mergeCell ref="K311:K316"/>
    <mergeCell ref="L311:L316"/>
    <mergeCell ref="M311:M316"/>
    <mergeCell ref="N311:N316"/>
    <mergeCell ref="Q271:Q276"/>
    <mergeCell ref="R271:R276"/>
    <mergeCell ref="N279:N284"/>
    <mergeCell ref="B257:C257"/>
    <mergeCell ref="T719:T724"/>
    <mergeCell ref="B718:V718"/>
    <mergeCell ref="J719:J724"/>
    <mergeCell ref="K719:K724"/>
    <mergeCell ref="Q743:Q748"/>
    <mergeCell ref="R743:R748"/>
    <mergeCell ref="S743:S748"/>
    <mergeCell ref="K735:K740"/>
    <mergeCell ref="L735:L740"/>
    <mergeCell ref="M735:M740"/>
    <mergeCell ref="N735:N740"/>
    <mergeCell ref="O735:O740"/>
    <mergeCell ref="P735:P740"/>
    <mergeCell ref="T262:T268"/>
    <mergeCell ref="L295:L300"/>
    <mergeCell ref="M295:M300"/>
    <mergeCell ref="O295:O300"/>
    <mergeCell ref="P295:P300"/>
    <mergeCell ref="J303:J308"/>
    <mergeCell ref="U311:U316"/>
    <mergeCell ref="R689:R694"/>
    <mergeCell ref="B661:C661"/>
    <mergeCell ref="O311:O316"/>
    <mergeCell ref="J689:J694"/>
    <mergeCell ref="T727:T732"/>
    <mergeCell ref="U727:U732"/>
    <mergeCell ref="B656:V656"/>
    <mergeCell ref="J657:J662"/>
    <mergeCell ref="K657:K662"/>
    <mergeCell ref="N743:N748"/>
    <mergeCell ref="B688:V688"/>
    <mergeCell ref="P743:P748"/>
    <mergeCell ref="T759:T764"/>
    <mergeCell ref="U759:U764"/>
    <mergeCell ref="V759:V764"/>
    <mergeCell ref="K759:K764"/>
    <mergeCell ref="L759:L764"/>
    <mergeCell ref="A711:A716"/>
    <mergeCell ref="B711:V711"/>
    <mergeCell ref="B712:C712"/>
    <mergeCell ref="B713:C713"/>
    <mergeCell ref="B714:C714"/>
    <mergeCell ref="B715:C715"/>
    <mergeCell ref="B716:C716"/>
    <mergeCell ref="J751:J756"/>
    <mergeCell ref="K751:K756"/>
    <mergeCell ref="L751:L756"/>
    <mergeCell ref="M751:M756"/>
    <mergeCell ref="N751:N756"/>
    <mergeCell ref="Q759:Q764"/>
    <mergeCell ref="R759:R764"/>
    <mergeCell ref="S759:S764"/>
    <mergeCell ref="M727:M732"/>
    <mergeCell ref="N727:N732"/>
    <mergeCell ref="O727:O732"/>
    <mergeCell ref="J727:J732"/>
    <mergeCell ref="K727:K732"/>
    <mergeCell ref="U1055:U1060"/>
    <mergeCell ref="V1055:V1060"/>
    <mergeCell ref="U719:U724"/>
    <mergeCell ref="J1041:J1046"/>
    <mergeCell ref="V719:V724"/>
    <mergeCell ref="O719:O724"/>
    <mergeCell ref="A1047:A1052"/>
    <mergeCell ref="B1047:V1047"/>
    <mergeCell ref="B1048:C1048"/>
    <mergeCell ref="B1049:C1049"/>
    <mergeCell ref="B1050:C1050"/>
    <mergeCell ref="B1051:C1051"/>
    <mergeCell ref="B1052:C1052"/>
    <mergeCell ref="S719:S724"/>
    <mergeCell ref="J775:J780"/>
    <mergeCell ref="K775:K780"/>
    <mergeCell ref="L775:L780"/>
    <mergeCell ref="O767:O772"/>
    <mergeCell ref="P767:P772"/>
    <mergeCell ref="Q767:Q772"/>
    <mergeCell ref="R767:R772"/>
    <mergeCell ref="S767:S772"/>
    <mergeCell ref="U1003:U1008"/>
    <mergeCell ref="V1003:V1008"/>
    <mergeCell ref="P965:P970"/>
    <mergeCell ref="Q965:Q970"/>
    <mergeCell ref="B980:V980"/>
    <mergeCell ref="J981:J986"/>
    <mergeCell ref="K981:K986"/>
    <mergeCell ref="L981:L986"/>
    <mergeCell ref="R727:R732"/>
    <mergeCell ref="S727:S732"/>
    <mergeCell ref="K743:K748"/>
    <mergeCell ref="L743:L748"/>
    <mergeCell ref="M743:M748"/>
    <mergeCell ref="S783:S788"/>
    <mergeCell ref="T783:T788"/>
    <mergeCell ref="N689:N694"/>
    <mergeCell ref="O689:O694"/>
    <mergeCell ref="K783:K788"/>
    <mergeCell ref="L783:L788"/>
    <mergeCell ref="M783:M788"/>
    <mergeCell ref="N783:N788"/>
    <mergeCell ref="O783:O788"/>
    <mergeCell ref="P783:P788"/>
    <mergeCell ref="B781:V781"/>
    <mergeCell ref="B783:I783"/>
    <mergeCell ref="B784:C784"/>
    <mergeCell ref="K767:K772"/>
    <mergeCell ref="L767:L772"/>
    <mergeCell ref="M767:M772"/>
    <mergeCell ref="N767:N772"/>
    <mergeCell ref="B734:V734"/>
    <mergeCell ref="J735:J740"/>
    <mergeCell ref="P727:P732"/>
    <mergeCell ref="Q727:Q732"/>
    <mergeCell ref="T743:T748"/>
    <mergeCell ref="U743:U748"/>
    <mergeCell ref="V743:V748"/>
    <mergeCell ref="V727:V732"/>
    <mergeCell ref="J759:J764"/>
    <mergeCell ref="U767:U772"/>
    <mergeCell ref="M759:M764"/>
    <mergeCell ref="N759:N764"/>
    <mergeCell ref="O759:O764"/>
    <mergeCell ref="P759:P764"/>
    <mergeCell ref="N1041:N1046"/>
    <mergeCell ref="O1041:O1046"/>
    <mergeCell ref="P1041:P1046"/>
    <mergeCell ref="Q1041:Q1046"/>
    <mergeCell ref="R1041:R1046"/>
    <mergeCell ref="S1041:S1046"/>
    <mergeCell ref="T1041:T1046"/>
    <mergeCell ref="U1041:U1046"/>
    <mergeCell ref="V1041:V1046"/>
    <mergeCell ref="B972:V972"/>
    <mergeCell ref="J973:J978"/>
    <mergeCell ref="K973:K978"/>
    <mergeCell ref="L973:L978"/>
    <mergeCell ref="M973:M978"/>
    <mergeCell ref="S815:S820"/>
    <mergeCell ref="T815:T820"/>
    <mergeCell ref="V767:V772"/>
    <mergeCell ref="B774:V774"/>
    <mergeCell ref="B838:V838"/>
    <mergeCell ref="J839:J844"/>
    <mergeCell ref="M815:M820"/>
    <mergeCell ref="N815:N820"/>
    <mergeCell ref="O815:O820"/>
    <mergeCell ref="P815:P820"/>
    <mergeCell ref="Q815:Q820"/>
    <mergeCell ref="R815:R820"/>
    <mergeCell ref="U807:U812"/>
    <mergeCell ref="J767:J772"/>
    <mergeCell ref="T767:T772"/>
    <mergeCell ref="N791:N796"/>
    <mergeCell ref="O791:O796"/>
    <mergeCell ref="P791:P796"/>
    <mergeCell ref="Q791:Q796"/>
    <mergeCell ref="R791:R796"/>
    <mergeCell ref="B790:V790"/>
    <mergeCell ref="J791:J796"/>
    <mergeCell ref="K791:K796"/>
    <mergeCell ref="L791:L796"/>
    <mergeCell ref="Q783:Q788"/>
    <mergeCell ref="R783:R788"/>
    <mergeCell ref="B827:C827"/>
    <mergeCell ref="B828:C828"/>
    <mergeCell ref="U783:U788"/>
    <mergeCell ref="V783:V788"/>
    <mergeCell ref="K1041:K1046"/>
    <mergeCell ref="B941:V941"/>
    <mergeCell ref="B942:V942"/>
    <mergeCell ref="B943:I943"/>
    <mergeCell ref="J943:J948"/>
    <mergeCell ref="K943:K948"/>
    <mergeCell ref="L943:L948"/>
    <mergeCell ref="M943:M948"/>
    <mergeCell ref="M981:M986"/>
    <mergeCell ref="N981:N986"/>
    <mergeCell ref="O981:O986"/>
    <mergeCell ref="B944:C944"/>
    <mergeCell ref="B945:C945"/>
    <mergeCell ref="B946:C946"/>
    <mergeCell ref="B947:C947"/>
    <mergeCell ref="B948:C948"/>
    <mergeCell ref="S847:S852"/>
    <mergeCell ref="T847:T852"/>
    <mergeCell ref="U847:U852"/>
    <mergeCell ref="V847:V852"/>
    <mergeCell ref="K847:K852"/>
    <mergeCell ref="L847:L852"/>
    <mergeCell ref="M847:M852"/>
    <mergeCell ref="N847:N852"/>
    <mergeCell ref="O847:O852"/>
    <mergeCell ref="P847:P852"/>
    <mergeCell ref="B785:C785"/>
    <mergeCell ref="B786:C786"/>
    <mergeCell ref="S775:S780"/>
    <mergeCell ref="T775:T780"/>
    <mergeCell ref="B846:V846"/>
    <mergeCell ref="J847:J852"/>
    <mergeCell ref="Q839:Q844"/>
    <mergeCell ref="R839:R844"/>
    <mergeCell ref="S839:S844"/>
    <mergeCell ref="T839:T844"/>
    <mergeCell ref="U839:U844"/>
    <mergeCell ref="V839:V844"/>
    <mergeCell ref="K839:K844"/>
    <mergeCell ref="L839:L844"/>
    <mergeCell ref="M839:M844"/>
    <mergeCell ref="N839:N844"/>
    <mergeCell ref="O839:O844"/>
    <mergeCell ref="P839:P844"/>
    <mergeCell ref="K807:K812"/>
    <mergeCell ref="B814:V814"/>
    <mergeCell ref="J815:J820"/>
    <mergeCell ref="K815:K820"/>
    <mergeCell ref="S863:S868"/>
    <mergeCell ref="T863:T868"/>
    <mergeCell ref="U863:U868"/>
    <mergeCell ref="V863:V868"/>
    <mergeCell ref="M863:M868"/>
    <mergeCell ref="N863:N868"/>
    <mergeCell ref="O863:O868"/>
    <mergeCell ref="P863:P868"/>
    <mergeCell ref="Q863:Q868"/>
    <mergeCell ref="R863:R868"/>
    <mergeCell ref="B862:V862"/>
    <mergeCell ref="J863:J868"/>
    <mergeCell ref="K863:K868"/>
    <mergeCell ref="L863:L868"/>
    <mergeCell ref="A861:A868"/>
    <mergeCell ref="B861:V861"/>
    <mergeCell ref="B863:I863"/>
    <mergeCell ref="B864:C864"/>
    <mergeCell ref="B865:C865"/>
    <mergeCell ref="B866:C866"/>
    <mergeCell ref="B867:C867"/>
    <mergeCell ref="B868:C868"/>
    <mergeCell ref="V895:V900"/>
    <mergeCell ref="L895:L900"/>
    <mergeCell ref="M895:M900"/>
    <mergeCell ref="M879:M884"/>
    <mergeCell ref="N879:N884"/>
    <mergeCell ref="O879:O884"/>
    <mergeCell ref="P879:P884"/>
    <mergeCell ref="N895:N900"/>
    <mergeCell ref="B886:V886"/>
    <mergeCell ref="J887:J892"/>
    <mergeCell ref="K887:K892"/>
    <mergeCell ref="L887:L892"/>
    <mergeCell ref="M887:M892"/>
    <mergeCell ref="N887:N892"/>
    <mergeCell ref="O887:O892"/>
    <mergeCell ref="P887:P892"/>
    <mergeCell ref="Q887:Q892"/>
    <mergeCell ref="R887:R892"/>
    <mergeCell ref="K895:K900"/>
    <mergeCell ref="Q879:Q884"/>
    <mergeCell ref="R879:R884"/>
    <mergeCell ref="S879:S884"/>
    <mergeCell ref="T879:T884"/>
    <mergeCell ref="U879:U884"/>
    <mergeCell ref="V879:V884"/>
    <mergeCell ref="K879:K884"/>
    <mergeCell ref="L879:L884"/>
    <mergeCell ref="J879:J884"/>
    <mergeCell ref="Q895:Q900"/>
    <mergeCell ref="R895:R900"/>
    <mergeCell ref="S895:S900"/>
    <mergeCell ref="T895:T900"/>
    <mergeCell ref="J965:J970"/>
    <mergeCell ref="K965:K970"/>
    <mergeCell ref="B962:C962"/>
    <mergeCell ref="A957:A962"/>
    <mergeCell ref="B957:V957"/>
    <mergeCell ref="B958:C958"/>
    <mergeCell ref="B959:C959"/>
    <mergeCell ref="B960:C960"/>
    <mergeCell ref="B961:C961"/>
    <mergeCell ref="R965:R970"/>
    <mergeCell ref="S965:S970"/>
    <mergeCell ref="T965:T970"/>
    <mergeCell ref="U965:U970"/>
    <mergeCell ref="N973:N978"/>
    <mergeCell ref="O973:O978"/>
    <mergeCell ref="P973:P978"/>
    <mergeCell ref="Q973:Q978"/>
    <mergeCell ref="R973:R978"/>
    <mergeCell ref="S973:S978"/>
    <mergeCell ref="T973:T978"/>
    <mergeCell ref="U973:U978"/>
    <mergeCell ref="V973:V978"/>
    <mergeCell ref="U895:U900"/>
    <mergeCell ref="A1023:A1030"/>
    <mergeCell ref="B1023:V1023"/>
    <mergeCell ref="B1025:I1025"/>
    <mergeCell ref="B1026:C1026"/>
    <mergeCell ref="B1027:C1027"/>
    <mergeCell ref="B1028:C1028"/>
    <mergeCell ref="B1029:C1029"/>
    <mergeCell ref="B1030:C1030"/>
    <mergeCell ref="A1031:A1038"/>
    <mergeCell ref="B1031:V1031"/>
    <mergeCell ref="B1033:I1033"/>
    <mergeCell ref="M1011:M1016"/>
    <mergeCell ref="N1011:N1016"/>
    <mergeCell ref="O1011:O1016"/>
    <mergeCell ref="A1039:A1046"/>
    <mergeCell ref="B1039:V1039"/>
    <mergeCell ref="B1041:I1041"/>
    <mergeCell ref="B1042:C1042"/>
    <mergeCell ref="B1043:C1043"/>
    <mergeCell ref="B1044:C1044"/>
    <mergeCell ref="B1045:C1045"/>
    <mergeCell ref="A1009:A1016"/>
    <mergeCell ref="B1009:V1009"/>
    <mergeCell ref="B1011:I1011"/>
    <mergeCell ref="B1012:C1012"/>
    <mergeCell ref="B1013:C1013"/>
    <mergeCell ref="B1014:C1014"/>
    <mergeCell ref="B1015:C1015"/>
    <mergeCell ref="V965:V970"/>
    <mergeCell ref="L965:L970"/>
    <mergeCell ref="M965:M970"/>
    <mergeCell ref="A995:A1000"/>
    <mergeCell ref="B995:V995"/>
    <mergeCell ref="B996:C996"/>
    <mergeCell ref="B997:C997"/>
    <mergeCell ref="B998:C998"/>
    <mergeCell ref="A1103:C1103"/>
    <mergeCell ref="A1097:V1097"/>
    <mergeCell ref="A1098:C1098"/>
    <mergeCell ref="A1099:C1099"/>
    <mergeCell ref="A1100:C1100"/>
    <mergeCell ref="A1101:C1101"/>
    <mergeCell ref="A1102:C1102"/>
    <mergeCell ref="U1025:U1030"/>
    <mergeCell ref="V1025:V1030"/>
    <mergeCell ref="O1025:O1030"/>
    <mergeCell ref="P1025:P1030"/>
    <mergeCell ref="Q1025:Q1030"/>
    <mergeCell ref="R1025:R1030"/>
    <mergeCell ref="S1025:S1030"/>
    <mergeCell ref="T1025:T1030"/>
    <mergeCell ref="Q1055:Q1060"/>
    <mergeCell ref="B999:C999"/>
    <mergeCell ref="B1000:C1000"/>
    <mergeCell ref="B1024:V1024"/>
    <mergeCell ref="J1025:J1030"/>
    <mergeCell ref="K1025:K1030"/>
    <mergeCell ref="L1025:L1030"/>
    <mergeCell ref="B1090:V1090"/>
    <mergeCell ref="K1011:K1016"/>
    <mergeCell ref="B1085:C1085"/>
    <mergeCell ref="B1086:C1086"/>
    <mergeCell ref="B1002:V1002"/>
    <mergeCell ref="B1088:C1088"/>
    <mergeCell ref="J807:J812"/>
    <mergeCell ref="Q799:Q804"/>
    <mergeCell ref="R799:R804"/>
    <mergeCell ref="S799:S804"/>
    <mergeCell ref="T799:T804"/>
    <mergeCell ref="U799:U804"/>
    <mergeCell ref="V799:V804"/>
    <mergeCell ref="K799:K804"/>
    <mergeCell ref="L799:L804"/>
    <mergeCell ref="M799:M804"/>
    <mergeCell ref="N799:N804"/>
    <mergeCell ref="L1033:L1038"/>
    <mergeCell ref="J1033:J1038"/>
    <mergeCell ref="P1011:P1016"/>
    <mergeCell ref="Q1011:Q1016"/>
    <mergeCell ref="R1011:R1016"/>
    <mergeCell ref="S1011:S1016"/>
    <mergeCell ref="V1011:V1016"/>
    <mergeCell ref="L815:L820"/>
    <mergeCell ref="Q807:Q812"/>
    <mergeCell ref="R807:R812"/>
    <mergeCell ref="S807:S812"/>
    <mergeCell ref="T807:T812"/>
    <mergeCell ref="M1033:M1038"/>
    <mergeCell ref="N1033:N1038"/>
    <mergeCell ref="O1033:O1038"/>
    <mergeCell ref="P1033:P1038"/>
    <mergeCell ref="Q1033:Q1038"/>
    <mergeCell ref="R1033:R1038"/>
    <mergeCell ref="S1033:S1038"/>
    <mergeCell ref="B1046:C1046"/>
    <mergeCell ref="L123:L128"/>
    <mergeCell ref="Q115:Q120"/>
    <mergeCell ref="R115:R120"/>
    <mergeCell ref="S115:S120"/>
    <mergeCell ref="T115:T120"/>
    <mergeCell ref="U115:U120"/>
    <mergeCell ref="V115:V120"/>
    <mergeCell ref="K115:K120"/>
    <mergeCell ref="M115:M120"/>
    <mergeCell ref="B115:I115"/>
    <mergeCell ref="B116:C116"/>
    <mergeCell ref="B117:C117"/>
    <mergeCell ref="B118:C118"/>
    <mergeCell ref="B119:C119"/>
    <mergeCell ref="O123:O128"/>
    <mergeCell ref="P123:P128"/>
    <mergeCell ref="R673:R678"/>
    <mergeCell ref="S673:S678"/>
    <mergeCell ref="T673:T678"/>
    <mergeCell ref="B672:V672"/>
    <mergeCell ref="N673:N678"/>
    <mergeCell ref="U657:U662"/>
    <mergeCell ref="V657:V662"/>
    <mergeCell ref="O657:O662"/>
    <mergeCell ref="P657:P662"/>
    <mergeCell ref="Q657:Q662"/>
    <mergeCell ref="R657:R662"/>
    <mergeCell ref="U641:U646"/>
    <mergeCell ref="V641:V646"/>
    <mergeCell ref="O641:O646"/>
    <mergeCell ref="P641:P646"/>
    <mergeCell ref="Q641:Q646"/>
    <mergeCell ref="B120:C120"/>
    <mergeCell ref="U131:U136"/>
    <mergeCell ref="N115:N120"/>
    <mergeCell ref="O115:O120"/>
    <mergeCell ref="P115:P120"/>
    <mergeCell ref="B130:V130"/>
    <mergeCell ref="V131:V136"/>
    <mergeCell ref="L911:L916"/>
    <mergeCell ref="M911:M916"/>
    <mergeCell ref="N911:N916"/>
    <mergeCell ref="O911:O916"/>
    <mergeCell ref="P911:P916"/>
    <mergeCell ref="Q911:Q916"/>
    <mergeCell ref="A169:A176"/>
    <mergeCell ref="B169:V169"/>
    <mergeCell ref="B171:I171"/>
    <mergeCell ref="B172:C172"/>
    <mergeCell ref="B173:C173"/>
    <mergeCell ref="B174:C174"/>
    <mergeCell ref="B175:C175"/>
    <mergeCell ref="B176:C176"/>
    <mergeCell ref="T405:T410"/>
    <mergeCell ref="B404:V404"/>
    <mergeCell ref="J405:J410"/>
    <mergeCell ref="K405:K410"/>
    <mergeCell ref="L405:L410"/>
    <mergeCell ref="Q405:Q410"/>
    <mergeCell ref="M405:M410"/>
    <mergeCell ref="V499:V504"/>
    <mergeCell ref="B122:V122"/>
    <mergeCell ref="J123:J128"/>
    <mergeCell ref="K123:K128"/>
    <mergeCell ref="B572:C572"/>
    <mergeCell ref="B573:C573"/>
    <mergeCell ref="B574:C574"/>
    <mergeCell ref="B600:V600"/>
    <mergeCell ref="N601:N606"/>
    <mergeCell ref="B622:C622"/>
    <mergeCell ref="T665:T670"/>
    <mergeCell ref="U665:U670"/>
    <mergeCell ref="V665:V670"/>
    <mergeCell ref="O633:O638"/>
    <mergeCell ref="P633:P638"/>
    <mergeCell ref="Q633:Q638"/>
    <mergeCell ref="K649:K654"/>
    <mergeCell ref="L649:L654"/>
    <mergeCell ref="R641:R646"/>
    <mergeCell ref="P131:P136"/>
    <mergeCell ref="Q131:Q136"/>
    <mergeCell ref="R131:R136"/>
    <mergeCell ref="B653:C653"/>
    <mergeCell ref="B654:C654"/>
    <mergeCell ref="B647:V647"/>
    <mergeCell ref="B649:I649"/>
    <mergeCell ref="B650:C650"/>
    <mergeCell ref="B651:C651"/>
    <mergeCell ref="B652:C652"/>
    <mergeCell ref="P649:P654"/>
    <mergeCell ref="B648:V648"/>
    <mergeCell ref="J649:J654"/>
    <mergeCell ref="S131:S136"/>
    <mergeCell ref="T131:T136"/>
    <mergeCell ref="O131:O136"/>
    <mergeCell ref="B310:V310"/>
    <mergeCell ref="N247:N252"/>
    <mergeCell ref="O247:O252"/>
    <mergeCell ref="L531:L536"/>
    <mergeCell ref="K531:K536"/>
    <mergeCell ref="B506:V506"/>
    <mergeCell ref="J507:J512"/>
    <mergeCell ref="K507:K512"/>
    <mergeCell ref="L507:L512"/>
    <mergeCell ref="M507:M512"/>
    <mergeCell ref="N507:N512"/>
    <mergeCell ref="O507:O512"/>
    <mergeCell ref="P507:P512"/>
    <mergeCell ref="Q279:Q284"/>
    <mergeCell ref="R279:R284"/>
    <mergeCell ref="S279:S284"/>
    <mergeCell ref="B902:V902"/>
    <mergeCell ref="T831:T836"/>
    <mergeCell ref="U831:U836"/>
    <mergeCell ref="V831:V836"/>
    <mergeCell ref="Q735:Q740"/>
    <mergeCell ref="R735:R740"/>
    <mergeCell ref="S735:S740"/>
    <mergeCell ref="T735:T740"/>
    <mergeCell ref="U735:U740"/>
    <mergeCell ref="V735:V740"/>
    <mergeCell ref="M531:M536"/>
    <mergeCell ref="N531:N536"/>
    <mergeCell ref="O531:O536"/>
    <mergeCell ref="S539:S544"/>
    <mergeCell ref="B607:V607"/>
    <mergeCell ref="B552:V552"/>
    <mergeCell ref="B571:C571"/>
    <mergeCell ref="L903:L908"/>
    <mergeCell ref="M903:M908"/>
    <mergeCell ref="N903:N908"/>
    <mergeCell ref="O903:O908"/>
    <mergeCell ref="P903:P908"/>
    <mergeCell ref="Q903:Q908"/>
    <mergeCell ref="R903:R908"/>
    <mergeCell ref="S903:S908"/>
    <mergeCell ref="T903:T908"/>
    <mergeCell ref="U903:U908"/>
    <mergeCell ref="V903:V908"/>
    <mergeCell ref="N539:N544"/>
    <mergeCell ref="O539:O544"/>
    <mergeCell ref="P539:P544"/>
    <mergeCell ref="Q539:Q544"/>
    <mergeCell ref="R539:R544"/>
    <mergeCell ref="T539:T544"/>
    <mergeCell ref="U539:U544"/>
    <mergeCell ref="V539:V544"/>
    <mergeCell ref="S831:S836"/>
    <mergeCell ref="V807:V812"/>
    <mergeCell ref="L807:L812"/>
    <mergeCell ref="M807:M812"/>
    <mergeCell ref="N807:N812"/>
    <mergeCell ref="O807:O812"/>
    <mergeCell ref="P807:P812"/>
    <mergeCell ref="B806:V806"/>
    <mergeCell ref="M665:M670"/>
    <mergeCell ref="L673:L678"/>
    <mergeCell ref="O673:O678"/>
    <mergeCell ref="J681:J686"/>
    <mergeCell ref="B726:V726"/>
    <mergeCell ref="J1091:J1096"/>
    <mergeCell ref="K1091:K1096"/>
    <mergeCell ref="A1061:A1066"/>
    <mergeCell ref="B1061:V1061"/>
    <mergeCell ref="B1062:C1062"/>
    <mergeCell ref="B1063:C1063"/>
    <mergeCell ref="B1064:C1064"/>
    <mergeCell ref="B1065:C1065"/>
    <mergeCell ref="B1066:C1066"/>
    <mergeCell ref="B1068:V1068"/>
    <mergeCell ref="J1069:J1074"/>
    <mergeCell ref="K1069:K1074"/>
    <mergeCell ref="L1069:L1074"/>
    <mergeCell ref="M1069:M1074"/>
    <mergeCell ref="N1069:N1074"/>
    <mergeCell ref="O1069:O1074"/>
    <mergeCell ref="P1069:P1074"/>
    <mergeCell ref="Q1069:Q1074"/>
    <mergeCell ref="R1069:R1074"/>
    <mergeCell ref="S1069:S1074"/>
    <mergeCell ref="T1069:T1074"/>
    <mergeCell ref="U1069:U1074"/>
    <mergeCell ref="V1069:V1074"/>
    <mergeCell ref="A1089:A1096"/>
    <mergeCell ref="B1089:V1089"/>
    <mergeCell ref="B1091:I1091"/>
    <mergeCell ref="B1092:C1092"/>
    <mergeCell ref="B1093:C1093"/>
    <mergeCell ref="B1094:C1094"/>
    <mergeCell ref="B1095:C1095"/>
    <mergeCell ref="B1096:C1096"/>
    <mergeCell ref="B1087:C1087"/>
    <mergeCell ref="A909:A916"/>
    <mergeCell ref="B909:V909"/>
    <mergeCell ref="B911:I911"/>
    <mergeCell ref="U911:U916"/>
    <mergeCell ref="L1091:L1096"/>
    <mergeCell ref="M1091:M1096"/>
    <mergeCell ref="N1091:N1096"/>
    <mergeCell ref="O1091:O1096"/>
    <mergeCell ref="P1091:P1096"/>
    <mergeCell ref="Q1091:Q1096"/>
    <mergeCell ref="R1091:R1096"/>
    <mergeCell ref="S1091:S1096"/>
    <mergeCell ref="T1091:T1096"/>
    <mergeCell ref="U1091:U1096"/>
    <mergeCell ref="V1091:V1096"/>
    <mergeCell ref="B1076:V1076"/>
    <mergeCell ref="J1077:J1082"/>
    <mergeCell ref="K1077:K1082"/>
    <mergeCell ref="L1077:L1082"/>
    <mergeCell ref="M1077:M1082"/>
    <mergeCell ref="N1077:N1082"/>
    <mergeCell ref="O1077:O1082"/>
    <mergeCell ref="P1077:P1082"/>
    <mergeCell ref="Q1077:Q1082"/>
    <mergeCell ref="R1077:R1082"/>
    <mergeCell ref="S1077:S1082"/>
    <mergeCell ref="T1077:T1082"/>
    <mergeCell ref="U1077:U1082"/>
    <mergeCell ref="V1077:V1082"/>
    <mergeCell ref="A1083:A1088"/>
    <mergeCell ref="B1083:V1083"/>
    <mergeCell ref="B1084:C1084"/>
    <mergeCell ref="V911:V916"/>
    <mergeCell ref="B912:C912"/>
    <mergeCell ref="B913:C913"/>
    <mergeCell ref="B914:C914"/>
    <mergeCell ref="B915:C915"/>
    <mergeCell ref="B916:C916"/>
    <mergeCell ref="L823:L828"/>
    <mergeCell ref="M823:M828"/>
    <mergeCell ref="N823:N828"/>
    <mergeCell ref="O823:O828"/>
    <mergeCell ref="P823:P828"/>
    <mergeCell ref="Q823:Q828"/>
    <mergeCell ref="R823:R828"/>
    <mergeCell ref="S823:S828"/>
    <mergeCell ref="T823:T828"/>
    <mergeCell ref="U823:U828"/>
    <mergeCell ref="V823:V828"/>
    <mergeCell ref="B830:V830"/>
    <mergeCell ref="J831:J836"/>
    <mergeCell ref="K831:K836"/>
    <mergeCell ref="L831:L836"/>
    <mergeCell ref="M831:M836"/>
    <mergeCell ref="N831:N836"/>
    <mergeCell ref="O831:O836"/>
    <mergeCell ref="P831:P836"/>
    <mergeCell ref="Q831:Q836"/>
    <mergeCell ref="R831:R836"/>
    <mergeCell ref="J903:J908"/>
    <mergeCell ref="K903:K908"/>
    <mergeCell ref="B910:V910"/>
    <mergeCell ref="J911:J916"/>
    <mergeCell ref="K911:K916"/>
    <mergeCell ref="K927:K932"/>
    <mergeCell ref="L927:L932"/>
    <mergeCell ref="M927:M932"/>
    <mergeCell ref="N927:N932"/>
    <mergeCell ref="O927:O932"/>
    <mergeCell ref="P927:P932"/>
    <mergeCell ref="Q927:Q932"/>
    <mergeCell ref="R927:R932"/>
    <mergeCell ref="S927:S932"/>
    <mergeCell ref="T927:T932"/>
    <mergeCell ref="U927:U932"/>
    <mergeCell ref="V927:V932"/>
    <mergeCell ref="B787:C787"/>
    <mergeCell ref="B788:C788"/>
    <mergeCell ref="B829:V829"/>
    <mergeCell ref="B831:I831"/>
    <mergeCell ref="B832:C832"/>
    <mergeCell ref="B802:C802"/>
    <mergeCell ref="B803:C803"/>
    <mergeCell ref="B804:C804"/>
    <mergeCell ref="O799:O804"/>
    <mergeCell ref="P799:P804"/>
    <mergeCell ref="S791:S796"/>
    <mergeCell ref="T791:T796"/>
    <mergeCell ref="U791:U796"/>
    <mergeCell ref="V791:V796"/>
    <mergeCell ref="B798:V798"/>
    <mergeCell ref="J799:J804"/>
    <mergeCell ref="M791:M796"/>
    <mergeCell ref="R911:R916"/>
    <mergeCell ref="S911:S916"/>
    <mergeCell ref="T911:T916"/>
    <mergeCell ref="B934:V934"/>
    <mergeCell ref="J935:J940"/>
    <mergeCell ref="K935:K940"/>
    <mergeCell ref="L935:L940"/>
    <mergeCell ref="M935:M940"/>
    <mergeCell ref="A260:A268"/>
    <mergeCell ref="A269:A276"/>
    <mergeCell ref="B269:V269"/>
    <mergeCell ref="B271:I271"/>
    <mergeCell ref="B272:C272"/>
    <mergeCell ref="B273:C273"/>
    <mergeCell ref="B274:C274"/>
    <mergeCell ref="B275:C275"/>
    <mergeCell ref="B276:C276"/>
    <mergeCell ref="A277:A284"/>
    <mergeCell ref="B277:V277"/>
    <mergeCell ref="B279:I279"/>
    <mergeCell ref="B280:C280"/>
    <mergeCell ref="B281:C281"/>
    <mergeCell ref="B282:C282"/>
    <mergeCell ref="B283:C283"/>
    <mergeCell ref="B284:C284"/>
    <mergeCell ref="B260:V260"/>
    <mergeCell ref="B262:I262"/>
    <mergeCell ref="B263:C263"/>
    <mergeCell ref="B264:C264"/>
    <mergeCell ref="B265:C265"/>
    <mergeCell ref="B266:C266"/>
    <mergeCell ref="B267:C267"/>
    <mergeCell ref="Q262:Q268"/>
    <mergeCell ref="R262:R268"/>
    <mergeCell ref="S262:S268"/>
    <mergeCell ref="A285:A292"/>
    <mergeCell ref="B285:V285"/>
    <mergeCell ref="B287:I287"/>
    <mergeCell ref="B288:C288"/>
    <mergeCell ref="B289:C289"/>
    <mergeCell ref="B290:C290"/>
    <mergeCell ref="B291:C291"/>
    <mergeCell ref="B292:C292"/>
    <mergeCell ref="A293:A300"/>
    <mergeCell ref="B293:V293"/>
    <mergeCell ref="B295:I295"/>
    <mergeCell ref="B296:C296"/>
    <mergeCell ref="B297:C297"/>
    <mergeCell ref="B298:C298"/>
    <mergeCell ref="B299:C299"/>
    <mergeCell ref="B300:C300"/>
    <mergeCell ref="V279:V284"/>
    <mergeCell ref="B286:V286"/>
    <mergeCell ref="J287:J292"/>
    <mergeCell ref="O287:O292"/>
    <mergeCell ref="P287:P292"/>
    <mergeCell ref="Q287:Q292"/>
    <mergeCell ref="M287:M292"/>
    <mergeCell ref="B294:V294"/>
    <mergeCell ref="J295:J300"/>
    <mergeCell ref="K295:K300"/>
    <mergeCell ref="S287:S292"/>
    <mergeCell ref="T287:T292"/>
    <mergeCell ref="U287:U292"/>
    <mergeCell ref="V287:V292"/>
    <mergeCell ref="L287:L292"/>
    <mergeCell ref="A301:A308"/>
    <mergeCell ref="B301:V301"/>
    <mergeCell ref="B303:I303"/>
    <mergeCell ref="B304:C304"/>
    <mergeCell ref="B305:C305"/>
    <mergeCell ref="B306:C306"/>
    <mergeCell ref="B307:C307"/>
    <mergeCell ref="B308:C308"/>
    <mergeCell ref="N295:N300"/>
    <mergeCell ref="O303:O308"/>
    <mergeCell ref="P303:P308"/>
    <mergeCell ref="Q303:Q308"/>
    <mergeCell ref="R303:R308"/>
    <mergeCell ref="N287:N292"/>
    <mergeCell ref="U295:U300"/>
    <mergeCell ref="V295:V300"/>
    <mergeCell ref="A349:A356"/>
    <mergeCell ref="B349:V349"/>
    <mergeCell ref="B351:I351"/>
    <mergeCell ref="B352:C352"/>
    <mergeCell ref="B353:C353"/>
    <mergeCell ref="B354:C354"/>
    <mergeCell ref="B355:C355"/>
    <mergeCell ref="B356:C356"/>
    <mergeCell ref="A309:A316"/>
    <mergeCell ref="B309:V309"/>
    <mergeCell ref="B311:I311"/>
    <mergeCell ref="B312:C312"/>
    <mergeCell ref="B313:C313"/>
    <mergeCell ref="B314:C314"/>
    <mergeCell ref="B315:C315"/>
    <mergeCell ref="B316:C316"/>
    <mergeCell ref="A317:A324"/>
    <mergeCell ref="B317:V317"/>
    <mergeCell ref="B319:I319"/>
    <mergeCell ref="B320:C320"/>
    <mergeCell ref="B321:C321"/>
    <mergeCell ref="B322:C322"/>
    <mergeCell ref="B323:C323"/>
    <mergeCell ref="B324:C324"/>
    <mergeCell ref="A325:A332"/>
    <mergeCell ref="B325:V325"/>
    <mergeCell ref="B327:I327"/>
    <mergeCell ref="B328:C328"/>
    <mergeCell ref="B329:C329"/>
    <mergeCell ref="B330:C330"/>
    <mergeCell ref="B331:C331"/>
    <mergeCell ref="B332:C332"/>
    <mergeCell ref="A363:A370"/>
    <mergeCell ref="B363:V363"/>
    <mergeCell ref="B365:I365"/>
    <mergeCell ref="B366:C366"/>
    <mergeCell ref="B367:C367"/>
    <mergeCell ref="B368:C368"/>
    <mergeCell ref="B369:C369"/>
    <mergeCell ref="B370:C370"/>
    <mergeCell ref="L365:L370"/>
    <mergeCell ref="K319:K324"/>
    <mergeCell ref="L319:L324"/>
    <mergeCell ref="M319:M324"/>
    <mergeCell ref="N319:N324"/>
    <mergeCell ref="O319:O324"/>
    <mergeCell ref="M327:M332"/>
    <mergeCell ref="N327:N332"/>
    <mergeCell ref="A371:A378"/>
    <mergeCell ref="B371:V371"/>
    <mergeCell ref="B373:I373"/>
    <mergeCell ref="B374:C374"/>
    <mergeCell ref="B375:C375"/>
    <mergeCell ref="B376:C376"/>
    <mergeCell ref="B377:C377"/>
    <mergeCell ref="B378:C378"/>
    <mergeCell ref="A333:A340"/>
    <mergeCell ref="B333:V333"/>
    <mergeCell ref="B335:I335"/>
    <mergeCell ref="B336:C336"/>
    <mergeCell ref="B337:C337"/>
    <mergeCell ref="B338:C338"/>
    <mergeCell ref="B339:C339"/>
    <mergeCell ref="B340:C340"/>
    <mergeCell ref="A341:A348"/>
    <mergeCell ref="B341:V341"/>
    <mergeCell ref="B343:I343"/>
    <mergeCell ref="B344:C344"/>
    <mergeCell ref="B345:C345"/>
    <mergeCell ref="B346:C346"/>
    <mergeCell ref="B347:C347"/>
    <mergeCell ref="B348:C348"/>
    <mergeCell ref="K373:K378"/>
    <mergeCell ref="L373:L378"/>
    <mergeCell ref="M373:M378"/>
    <mergeCell ref="N373:N378"/>
    <mergeCell ref="O373:O378"/>
    <mergeCell ref="P373:P378"/>
    <mergeCell ref="Q373:Q378"/>
    <mergeCell ref="R373:R378"/>
    <mergeCell ref="A379:A386"/>
    <mergeCell ref="B379:V379"/>
    <mergeCell ref="B381:I381"/>
    <mergeCell ref="B382:C382"/>
    <mergeCell ref="B383:C383"/>
    <mergeCell ref="B384:C384"/>
    <mergeCell ref="B385:C385"/>
    <mergeCell ref="B386:C386"/>
    <mergeCell ref="A387:A394"/>
    <mergeCell ref="B387:V387"/>
    <mergeCell ref="B389:I389"/>
    <mergeCell ref="B390:C390"/>
    <mergeCell ref="B391:C391"/>
    <mergeCell ref="B392:C392"/>
    <mergeCell ref="B393:C393"/>
    <mergeCell ref="B394:C394"/>
    <mergeCell ref="A395:A402"/>
    <mergeCell ref="B395:V395"/>
    <mergeCell ref="T381:T386"/>
    <mergeCell ref="U381:U386"/>
    <mergeCell ref="V381:V386"/>
    <mergeCell ref="B388:V388"/>
    <mergeCell ref="J389:J394"/>
    <mergeCell ref="M381:M386"/>
    <mergeCell ref="B397:I397"/>
    <mergeCell ref="B398:C398"/>
    <mergeCell ref="B399:C399"/>
    <mergeCell ref="B400:C400"/>
    <mergeCell ref="B401:C401"/>
    <mergeCell ref="B402:C402"/>
    <mergeCell ref="K397:K402"/>
    <mergeCell ref="L397:L402"/>
    <mergeCell ref="A433:A440"/>
    <mergeCell ref="B433:V433"/>
    <mergeCell ref="B435:I435"/>
    <mergeCell ref="B436:C436"/>
    <mergeCell ref="B437:C437"/>
    <mergeCell ref="B438:C438"/>
    <mergeCell ref="B439:C439"/>
    <mergeCell ref="B440:C440"/>
    <mergeCell ref="A441:A448"/>
    <mergeCell ref="B441:V441"/>
    <mergeCell ref="B443:I443"/>
    <mergeCell ref="B444:C444"/>
    <mergeCell ref="B445:C445"/>
    <mergeCell ref="B446:C446"/>
    <mergeCell ref="B447:C447"/>
    <mergeCell ref="B448:C448"/>
    <mergeCell ref="A403:A410"/>
    <mergeCell ref="B403:V403"/>
    <mergeCell ref="B405:I405"/>
    <mergeCell ref="B406:C406"/>
    <mergeCell ref="B407:C407"/>
    <mergeCell ref="B408:C408"/>
    <mergeCell ref="B409:C409"/>
    <mergeCell ref="B410:C410"/>
    <mergeCell ref="A411:A418"/>
    <mergeCell ref="B411:V411"/>
    <mergeCell ref="B413:I413"/>
    <mergeCell ref="B414:C414"/>
    <mergeCell ref="B415:C415"/>
    <mergeCell ref="B416:C416"/>
    <mergeCell ref="B417:C417"/>
    <mergeCell ref="B418:C418"/>
    <mergeCell ref="A465:A472"/>
    <mergeCell ref="B465:V465"/>
    <mergeCell ref="B467:I467"/>
    <mergeCell ref="B468:C468"/>
    <mergeCell ref="B469:C469"/>
    <mergeCell ref="B470:C470"/>
    <mergeCell ref="B471:C471"/>
    <mergeCell ref="B472:C472"/>
    <mergeCell ref="A473:A480"/>
    <mergeCell ref="B473:V473"/>
    <mergeCell ref="B475:I475"/>
    <mergeCell ref="B476:C476"/>
    <mergeCell ref="B477:C477"/>
    <mergeCell ref="B478:C478"/>
    <mergeCell ref="B479:C479"/>
    <mergeCell ref="B480:C480"/>
    <mergeCell ref="Q475:Q480"/>
    <mergeCell ref="R475:R480"/>
    <mergeCell ref="S475:S480"/>
    <mergeCell ref="T475:T480"/>
    <mergeCell ref="U475:U480"/>
    <mergeCell ref="V475:V480"/>
    <mergeCell ref="K475:K480"/>
    <mergeCell ref="L475:L480"/>
    <mergeCell ref="M475:M480"/>
    <mergeCell ref="N475:N480"/>
    <mergeCell ref="O475:O480"/>
    <mergeCell ref="P475:P480"/>
    <mergeCell ref="M467:M472"/>
    <mergeCell ref="N467:N472"/>
    <mergeCell ref="O467:O472"/>
    <mergeCell ref="A489:A496"/>
    <mergeCell ref="B489:V489"/>
    <mergeCell ref="B491:I491"/>
    <mergeCell ref="B492:C492"/>
    <mergeCell ref="B493:C493"/>
    <mergeCell ref="B494:C494"/>
    <mergeCell ref="B495:C495"/>
    <mergeCell ref="B496:C496"/>
    <mergeCell ref="A497:A504"/>
    <mergeCell ref="B497:V497"/>
    <mergeCell ref="B499:I499"/>
    <mergeCell ref="B500:C500"/>
    <mergeCell ref="B501:C501"/>
    <mergeCell ref="B502:C502"/>
    <mergeCell ref="B503:C503"/>
    <mergeCell ref="B504:C504"/>
    <mergeCell ref="A505:A512"/>
    <mergeCell ref="B505:V505"/>
    <mergeCell ref="B507:I507"/>
    <mergeCell ref="B508:C508"/>
    <mergeCell ref="B509:C509"/>
    <mergeCell ref="B510:C510"/>
    <mergeCell ref="B511:C511"/>
    <mergeCell ref="B512:C512"/>
    <mergeCell ref="Q507:Q512"/>
    <mergeCell ref="R507:R512"/>
    <mergeCell ref="S507:S512"/>
    <mergeCell ref="T507:T512"/>
    <mergeCell ref="U507:U512"/>
    <mergeCell ref="V507:V512"/>
    <mergeCell ref="P499:P504"/>
    <mergeCell ref="Q499:Q504"/>
    <mergeCell ref="A521:A528"/>
    <mergeCell ref="B521:V521"/>
    <mergeCell ref="B523:I523"/>
    <mergeCell ref="B524:C524"/>
    <mergeCell ref="B525:C525"/>
    <mergeCell ref="B526:C526"/>
    <mergeCell ref="B527:C527"/>
    <mergeCell ref="B528:C528"/>
    <mergeCell ref="A529:A536"/>
    <mergeCell ref="B529:V529"/>
    <mergeCell ref="B531:I531"/>
    <mergeCell ref="B532:C532"/>
    <mergeCell ref="B533:C533"/>
    <mergeCell ref="B534:C534"/>
    <mergeCell ref="B535:C535"/>
    <mergeCell ref="B536:C536"/>
    <mergeCell ref="A537:A544"/>
    <mergeCell ref="B537:V537"/>
    <mergeCell ref="B539:I539"/>
    <mergeCell ref="B540:C540"/>
    <mergeCell ref="B541:C541"/>
    <mergeCell ref="B542:C542"/>
    <mergeCell ref="B543:C543"/>
    <mergeCell ref="B544:C544"/>
    <mergeCell ref="T531:T536"/>
    <mergeCell ref="U531:U536"/>
    <mergeCell ref="V531:V536"/>
    <mergeCell ref="B538:V538"/>
    <mergeCell ref="J539:J544"/>
    <mergeCell ref="K539:K544"/>
    <mergeCell ref="L539:L544"/>
    <mergeCell ref="M539:M544"/>
    <mergeCell ref="A575:A582"/>
    <mergeCell ref="B575:V575"/>
    <mergeCell ref="B577:I577"/>
    <mergeCell ref="B578:C578"/>
    <mergeCell ref="B579:C579"/>
    <mergeCell ref="B580:C580"/>
    <mergeCell ref="B581:C581"/>
    <mergeCell ref="B582:C582"/>
    <mergeCell ref="T569:T574"/>
    <mergeCell ref="U569:U574"/>
    <mergeCell ref="V569:V574"/>
    <mergeCell ref="B576:V576"/>
    <mergeCell ref="J577:J582"/>
    <mergeCell ref="K577:K582"/>
    <mergeCell ref="L577:L582"/>
    <mergeCell ref="M577:M582"/>
    <mergeCell ref="J569:J574"/>
    <mergeCell ref="K569:K574"/>
    <mergeCell ref="L569:L574"/>
    <mergeCell ref="N577:N582"/>
    <mergeCell ref="O577:O582"/>
    <mergeCell ref="P577:P582"/>
    <mergeCell ref="Q577:Q582"/>
    <mergeCell ref="R577:R582"/>
    <mergeCell ref="O569:O574"/>
    <mergeCell ref="P569:P574"/>
    <mergeCell ref="Q569:Q574"/>
    <mergeCell ref="R569:R574"/>
    <mergeCell ref="M569:M574"/>
    <mergeCell ref="N569:N574"/>
    <mergeCell ref="A567:A574"/>
    <mergeCell ref="B567:V567"/>
    <mergeCell ref="A583:A590"/>
    <mergeCell ref="B583:V583"/>
    <mergeCell ref="B585:I585"/>
    <mergeCell ref="B586:C586"/>
    <mergeCell ref="B587:C587"/>
    <mergeCell ref="B588:C588"/>
    <mergeCell ref="B589:C589"/>
    <mergeCell ref="B590:C590"/>
    <mergeCell ref="A591:A598"/>
    <mergeCell ref="B591:V591"/>
    <mergeCell ref="B593:I593"/>
    <mergeCell ref="B594:C594"/>
    <mergeCell ref="B595:C595"/>
    <mergeCell ref="B596:C596"/>
    <mergeCell ref="B597:C597"/>
    <mergeCell ref="B598:C598"/>
    <mergeCell ref="M585:M590"/>
    <mergeCell ref="N585:N590"/>
    <mergeCell ref="O585:O590"/>
    <mergeCell ref="P585:P590"/>
    <mergeCell ref="Q585:Q590"/>
    <mergeCell ref="R585:R590"/>
    <mergeCell ref="S585:S590"/>
    <mergeCell ref="V593:V598"/>
    <mergeCell ref="U593:U598"/>
    <mergeCell ref="B584:V584"/>
    <mergeCell ref="J593:J598"/>
    <mergeCell ref="J585:J590"/>
    <mergeCell ref="A623:A630"/>
    <mergeCell ref="B623:V623"/>
    <mergeCell ref="B625:I625"/>
    <mergeCell ref="B626:C626"/>
    <mergeCell ref="B627:C627"/>
    <mergeCell ref="B628:C628"/>
    <mergeCell ref="B629:C629"/>
    <mergeCell ref="B630:C630"/>
    <mergeCell ref="A631:A638"/>
    <mergeCell ref="B631:V631"/>
    <mergeCell ref="B633:I633"/>
    <mergeCell ref="B634:C634"/>
    <mergeCell ref="B635:C635"/>
    <mergeCell ref="B636:C636"/>
    <mergeCell ref="B637:C637"/>
    <mergeCell ref="B638:C638"/>
    <mergeCell ref="B632:V632"/>
    <mergeCell ref="V625:V630"/>
    <mergeCell ref="M625:M630"/>
    <mergeCell ref="N625:N630"/>
    <mergeCell ref="O625:O630"/>
    <mergeCell ref="J625:J630"/>
    <mergeCell ref="K625:K630"/>
    <mergeCell ref="T625:T630"/>
    <mergeCell ref="U625:U630"/>
    <mergeCell ref="A607:A614"/>
    <mergeCell ref="R633:R638"/>
    <mergeCell ref="J633:J638"/>
    <mergeCell ref="K633:K638"/>
    <mergeCell ref="S609:S614"/>
    <mergeCell ref="T609:T614"/>
    <mergeCell ref="U609:U614"/>
    <mergeCell ref="V609:V614"/>
    <mergeCell ref="A663:A670"/>
    <mergeCell ref="B663:V663"/>
    <mergeCell ref="B665:I665"/>
    <mergeCell ref="B666:C666"/>
    <mergeCell ref="B667:C667"/>
    <mergeCell ref="B668:C668"/>
    <mergeCell ref="B669:C669"/>
    <mergeCell ref="B670:C670"/>
    <mergeCell ref="A671:A678"/>
    <mergeCell ref="B671:V671"/>
    <mergeCell ref="B673:I673"/>
    <mergeCell ref="B674:C674"/>
    <mergeCell ref="B675:C675"/>
    <mergeCell ref="B676:C676"/>
    <mergeCell ref="B677:C677"/>
    <mergeCell ref="B678:C678"/>
    <mergeCell ref="N665:N670"/>
    <mergeCell ref="O665:O670"/>
    <mergeCell ref="P665:P670"/>
    <mergeCell ref="J673:J678"/>
    <mergeCell ref="M673:M678"/>
    <mergeCell ref="J665:J670"/>
    <mergeCell ref="R665:R670"/>
    <mergeCell ref="S665:S670"/>
    <mergeCell ref="A679:A686"/>
    <mergeCell ref="B679:V679"/>
    <mergeCell ref="B681:I681"/>
    <mergeCell ref="B682:C682"/>
    <mergeCell ref="B683:C683"/>
    <mergeCell ref="B684:C684"/>
    <mergeCell ref="B685:C685"/>
    <mergeCell ref="B686:C686"/>
    <mergeCell ref="A687:A694"/>
    <mergeCell ref="B687:V687"/>
    <mergeCell ref="B689:I689"/>
    <mergeCell ref="B690:C690"/>
    <mergeCell ref="B691:C691"/>
    <mergeCell ref="B692:C692"/>
    <mergeCell ref="B693:C693"/>
    <mergeCell ref="B694:C694"/>
    <mergeCell ref="K665:K670"/>
    <mergeCell ref="L665:L670"/>
    <mergeCell ref="P689:P694"/>
    <mergeCell ref="Q689:Q694"/>
    <mergeCell ref="R681:R686"/>
    <mergeCell ref="S681:S686"/>
    <mergeCell ref="T681:T686"/>
    <mergeCell ref="L681:L686"/>
    <mergeCell ref="M681:M686"/>
    <mergeCell ref="N681:N686"/>
    <mergeCell ref="O681:O686"/>
    <mergeCell ref="P681:P686"/>
    <mergeCell ref="Q681:Q686"/>
    <mergeCell ref="P673:P678"/>
    <mergeCell ref="Q673:Q678"/>
    <mergeCell ref="K673:K678"/>
    <mergeCell ref="A695:A702"/>
    <mergeCell ref="B695:V695"/>
    <mergeCell ref="B697:I697"/>
    <mergeCell ref="B698:C698"/>
    <mergeCell ref="B699:C699"/>
    <mergeCell ref="B700:C700"/>
    <mergeCell ref="B701:C701"/>
    <mergeCell ref="B702:C702"/>
    <mergeCell ref="B696:V696"/>
    <mergeCell ref="J697:J702"/>
    <mergeCell ref="K697:K702"/>
    <mergeCell ref="L697:L702"/>
    <mergeCell ref="M697:M702"/>
    <mergeCell ref="N697:N702"/>
    <mergeCell ref="O697:O702"/>
    <mergeCell ref="P697:P702"/>
    <mergeCell ref="A703:A710"/>
    <mergeCell ref="B703:V703"/>
    <mergeCell ref="B705:I705"/>
    <mergeCell ref="B706:C706"/>
    <mergeCell ref="B707:C707"/>
    <mergeCell ref="B708:C708"/>
    <mergeCell ref="B709:C709"/>
    <mergeCell ref="B710:C710"/>
    <mergeCell ref="Q697:Q702"/>
    <mergeCell ref="R697:R702"/>
    <mergeCell ref="S697:S702"/>
    <mergeCell ref="T697:T702"/>
    <mergeCell ref="U697:U702"/>
    <mergeCell ref="V697:V702"/>
    <mergeCell ref="B704:V704"/>
    <mergeCell ref="J705:J710"/>
    <mergeCell ref="A717:A724"/>
    <mergeCell ref="B717:V717"/>
    <mergeCell ref="B719:I719"/>
    <mergeCell ref="B720:C720"/>
    <mergeCell ref="B721:C721"/>
    <mergeCell ref="B722:C722"/>
    <mergeCell ref="B723:C723"/>
    <mergeCell ref="B724:C724"/>
    <mergeCell ref="A725:A732"/>
    <mergeCell ref="B725:V725"/>
    <mergeCell ref="B727:I727"/>
    <mergeCell ref="B728:C728"/>
    <mergeCell ref="B729:C729"/>
    <mergeCell ref="B730:C730"/>
    <mergeCell ref="B731:C731"/>
    <mergeCell ref="B732:C732"/>
    <mergeCell ref="R705:R710"/>
    <mergeCell ref="S705:S710"/>
    <mergeCell ref="T705:T710"/>
    <mergeCell ref="U705:U710"/>
    <mergeCell ref="V705:V710"/>
    <mergeCell ref="P719:P724"/>
    <mergeCell ref="Q719:Q724"/>
    <mergeCell ref="R719:R724"/>
    <mergeCell ref="L727:L732"/>
    <mergeCell ref="K705:K710"/>
    <mergeCell ref="L705:L710"/>
    <mergeCell ref="M705:M710"/>
    <mergeCell ref="N705:N710"/>
    <mergeCell ref="O705:O710"/>
    <mergeCell ref="P705:P710"/>
    <mergeCell ref="Q705:Q710"/>
    <mergeCell ref="A733:A740"/>
    <mergeCell ref="B733:V733"/>
    <mergeCell ref="B735:I735"/>
    <mergeCell ref="B736:C736"/>
    <mergeCell ref="B737:C737"/>
    <mergeCell ref="B738:C738"/>
    <mergeCell ref="B739:C739"/>
    <mergeCell ref="B740:C740"/>
    <mergeCell ref="A741:A748"/>
    <mergeCell ref="B741:V741"/>
    <mergeCell ref="B743:I743"/>
    <mergeCell ref="B744:C744"/>
    <mergeCell ref="B745:C745"/>
    <mergeCell ref="B746:C746"/>
    <mergeCell ref="B747:C747"/>
    <mergeCell ref="B748:C748"/>
    <mergeCell ref="A749:A756"/>
    <mergeCell ref="B749:V749"/>
    <mergeCell ref="B751:I751"/>
    <mergeCell ref="B752:C752"/>
    <mergeCell ref="B753:C753"/>
    <mergeCell ref="B754:C754"/>
    <mergeCell ref="B755:C755"/>
    <mergeCell ref="B756:C756"/>
    <mergeCell ref="V751:V756"/>
    <mergeCell ref="O751:O756"/>
    <mergeCell ref="P751:P756"/>
    <mergeCell ref="Q751:Q756"/>
    <mergeCell ref="R751:R756"/>
    <mergeCell ref="S751:S756"/>
    <mergeCell ref="T751:T756"/>
    <mergeCell ref="B750:V750"/>
    <mergeCell ref="A757:A764"/>
    <mergeCell ref="B757:V757"/>
    <mergeCell ref="B759:I759"/>
    <mergeCell ref="B760:C760"/>
    <mergeCell ref="B761:C761"/>
    <mergeCell ref="B762:C762"/>
    <mergeCell ref="B763:C763"/>
    <mergeCell ref="B764:C764"/>
    <mergeCell ref="A765:A772"/>
    <mergeCell ref="B765:V765"/>
    <mergeCell ref="B767:I767"/>
    <mergeCell ref="B768:C768"/>
    <mergeCell ref="B769:C769"/>
    <mergeCell ref="B770:C770"/>
    <mergeCell ref="B771:C771"/>
    <mergeCell ref="B772:C772"/>
    <mergeCell ref="A773:A780"/>
    <mergeCell ref="B773:V773"/>
    <mergeCell ref="B775:I775"/>
    <mergeCell ref="B776:C776"/>
    <mergeCell ref="B777:C777"/>
    <mergeCell ref="B778:C778"/>
    <mergeCell ref="B779:C779"/>
    <mergeCell ref="B780:C780"/>
    <mergeCell ref="U775:U780"/>
    <mergeCell ref="V775:V780"/>
    <mergeCell ref="M775:M780"/>
    <mergeCell ref="N775:N780"/>
    <mergeCell ref="O775:O780"/>
    <mergeCell ref="P775:P780"/>
    <mergeCell ref="Q775:Q780"/>
    <mergeCell ref="R775:R780"/>
    <mergeCell ref="A781:A788"/>
    <mergeCell ref="B782:V782"/>
    <mergeCell ref="J783:J788"/>
    <mergeCell ref="A805:A812"/>
    <mergeCell ref="B805:V805"/>
    <mergeCell ref="B807:I807"/>
    <mergeCell ref="B808:C808"/>
    <mergeCell ref="B809:C809"/>
    <mergeCell ref="B810:C810"/>
    <mergeCell ref="B811:C811"/>
    <mergeCell ref="B812:C812"/>
    <mergeCell ref="A813:A820"/>
    <mergeCell ref="B813:V813"/>
    <mergeCell ref="B815:I815"/>
    <mergeCell ref="B816:C816"/>
    <mergeCell ref="B817:C817"/>
    <mergeCell ref="B818:C818"/>
    <mergeCell ref="B819:C819"/>
    <mergeCell ref="B820:C820"/>
    <mergeCell ref="A789:A796"/>
    <mergeCell ref="B789:V789"/>
    <mergeCell ref="B791:I791"/>
    <mergeCell ref="B792:C792"/>
    <mergeCell ref="B793:C793"/>
    <mergeCell ref="B794:C794"/>
    <mergeCell ref="B795:C795"/>
    <mergeCell ref="B796:C796"/>
    <mergeCell ref="A797:A804"/>
    <mergeCell ref="B797:V797"/>
    <mergeCell ref="B799:I799"/>
    <mergeCell ref="B800:C800"/>
    <mergeCell ref="B801:C801"/>
    <mergeCell ref="A837:A844"/>
    <mergeCell ref="B837:V837"/>
    <mergeCell ref="B839:I839"/>
    <mergeCell ref="B840:C840"/>
    <mergeCell ref="B841:C841"/>
    <mergeCell ref="B842:C842"/>
    <mergeCell ref="B843:C843"/>
    <mergeCell ref="B844:C844"/>
    <mergeCell ref="A829:A836"/>
    <mergeCell ref="B833:C833"/>
    <mergeCell ref="B834:C834"/>
    <mergeCell ref="B835:C835"/>
    <mergeCell ref="B836:C836"/>
    <mergeCell ref="B822:V822"/>
    <mergeCell ref="J823:J828"/>
    <mergeCell ref="K823:K828"/>
    <mergeCell ref="U815:U820"/>
    <mergeCell ref="V815:V820"/>
    <mergeCell ref="A821:A828"/>
    <mergeCell ref="B821:V821"/>
    <mergeCell ref="B823:I823"/>
    <mergeCell ref="B824:C824"/>
    <mergeCell ref="B825:C825"/>
    <mergeCell ref="B826:C826"/>
    <mergeCell ref="A845:A852"/>
    <mergeCell ref="B845:V845"/>
    <mergeCell ref="B847:I847"/>
    <mergeCell ref="B848:C848"/>
    <mergeCell ref="B849:C849"/>
    <mergeCell ref="B850:C850"/>
    <mergeCell ref="B851:C851"/>
    <mergeCell ref="B852:C852"/>
    <mergeCell ref="A853:A860"/>
    <mergeCell ref="B853:V853"/>
    <mergeCell ref="B855:I855"/>
    <mergeCell ref="B856:C856"/>
    <mergeCell ref="B857:C857"/>
    <mergeCell ref="B858:C858"/>
    <mergeCell ref="B859:C859"/>
    <mergeCell ref="B860:C860"/>
    <mergeCell ref="S855:S860"/>
    <mergeCell ref="T855:T860"/>
    <mergeCell ref="U855:U860"/>
    <mergeCell ref="V855:V860"/>
    <mergeCell ref="M855:M860"/>
    <mergeCell ref="N855:N860"/>
    <mergeCell ref="O855:O860"/>
    <mergeCell ref="P855:P860"/>
    <mergeCell ref="Q855:Q860"/>
    <mergeCell ref="R855:R860"/>
    <mergeCell ref="B854:V854"/>
    <mergeCell ref="J855:J860"/>
    <mergeCell ref="K855:K860"/>
    <mergeCell ref="L855:L860"/>
    <mergeCell ref="Q847:Q852"/>
    <mergeCell ref="R847:R852"/>
    <mergeCell ref="A869:A876"/>
    <mergeCell ref="B869:V869"/>
    <mergeCell ref="B871:I871"/>
    <mergeCell ref="B872:C872"/>
    <mergeCell ref="B873:C873"/>
    <mergeCell ref="B874:C874"/>
    <mergeCell ref="B875:C875"/>
    <mergeCell ref="B876:C876"/>
    <mergeCell ref="A877:A884"/>
    <mergeCell ref="B877:V877"/>
    <mergeCell ref="B879:I879"/>
    <mergeCell ref="B880:C880"/>
    <mergeCell ref="B881:C881"/>
    <mergeCell ref="B882:C882"/>
    <mergeCell ref="B883:C883"/>
    <mergeCell ref="B884:C884"/>
    <mergeCell ref="B870:V870"/>
    <mergeCell ref="J871:J876"/>
    <mergeCell ref="K871:K876"/>
    <mergeCell ref="L871:L876"/>
    <mergeCell ref="M871:M876"/>
    <mergeCell ref="N871:N876"/>
    <mergeCell ref="B878:V878"/>
    <mergeCell ref="U871:U876"/>
    <mergeCell ref="V871:V876"/>
    <mergeCell ref="O871:O876"/>
    <mergeCell ref="P871:P876"/>
    <mergeCell ref="Q871:Q876"/>
    <mergeCell ref="R871:R876"/>
    <mergeCell ref="S871:S876"/>
    <mergeCell ref="T871:T876"/>
    <mergeCell ref="A885:A892"/>
    <mergeCell ref="B885:V885"/>
    <mergeCell ref="B887:I887"/>
    <mergeCell ref="B888:C888"/>
    <mergeCell ref="B889:C889"/>
    <mergeCell ref="B890:C890"/>
    <mergeCell ref="B891:C891"/>
    <mergeCell ref="B892:C892"/>
    <mergeCell ref="A893:A900"/>
    <mergeCell ref="B893:V893"/>
    <mergeCell ref="B895:I895"/>
    <mergeCell ref="B896:C896"/>
    <mergeCell ref="B897:C897"/>
    <mergeCell ref="B898:C898"/>
    <mergeCell ref="B899:C899"/>
    <mergeCell ref="B900:C900"/>
    <mergeCell ref="A901:A908"/>
    <mergeCell ref="B901:V901"/>
    <mergeCell ref="B903:I903"/>
    <mergeCell ref="B904:C904"/>
    <mergeCell ref="B905:C905"/>
    <mergeCell ref="B906:C906"/>
    <mergeCell ref="B907:C907"/>
    <mergeCell ref="B908:C908"/>
    <mergeCell ref="O895:O900"/>
    <mergeCell ref="P895:P900"/>
    <mergeCell ref="S887:S892"/>
    <mergeCell ref="T887:T892"/>
    <mergeCell ref="U887:U892"/>
    <mergeCell ref="V887:V892"/>
    <mergeCell ref="B894:V894"/>
    <mergeCell ref="J895:J900"/>
    <mergeCell ref="A917:A924"/>
    <mergeCell ref="B917:V917"/>
    <mergeCell ref="B919:I919"/>
    <mergeCell ref="B920:C920"/>
    <mergeCell ref="B921:C921"/>
    <mergeCell ref="B922:C922"/>
    <mergeCell ref="B923:C923"/>
    <mergeCell ref="B924:C924"/>
    <mergeCell ref="A925:A932"/>
    <mergeCell ref="B925:V925"/>
    <mergeCell ref="B927:I927"/>
    <mergeCell ref="B928:C928"/>
    <mergeCell ref="B929:C929"/>
    <mergeCell ref="B930:C930"/>
    <mergeCell ref="B931:C931"/>
    <mergeCell ref="B932:C932"/>
    <mergeCell ref="B918:V918"/>
    <mergeCell ref="J919:J924"/>
    <mergeCell ref="K919:K924"/>
    <mergeCell ref="L919:L924"/>
    <mergeCell ref="M919:M924"/>
    <mergeCell ref="N919:N924"/>
    <mergeCell ref="O919:O924"/>
    <mergeCell ref="P919:P924"/>
    <mergeCell ref="Q919:Q924"/>
    <mergeCell ref="R919:R924"/>
    <mergeCell ref="S919:S924"/>
    <mergeCell ref="T919:T924"/>
    <mergeCell ref="U919:U924"/>
    <mergeCell ref="V919:V924"/>
    <mergeCell ref="B926:V926"/>
    <mergeCell ref="J927:J932"/>
    <mergeCell ref="A933:A940"/>
    <mergeCell ref="B933:V933"/>
    <mergeCell ref="B935:I935"/>
    <mergeCell ref="B936:C936"/>
    <mergeCell ref="B937:C937"/>
    <mergeCell ref="B938:C938"/>
    <mergeCell ref="B939:C939"/>
    <mergeCell ref="B940:C940"/>
    <mergeCell ref="A963:A970"/>
    <mergeCell ref="B963:V963"/>
    <mergeCell ref="B965:I965"/>
    <mergeCell ref="B966:C966"/>
    <mergeCell ref="B967:C967"/>
    <mergeCell ref="B968:C968"/>
    <mergeCell ref="B969:C969"/>
    <mergeCell ref="B970:C970"/>
    <mergeCell ref="A971:A978"/>
    <mergeCell ref="N935:N940"/>
    <mergeCell ref="B971:V971"/>
    <mergeCell ref="B973:I973"/>
    <mergeCell ref="B974:C974"/>
    <mergeCell ref="B975:C975"/>
    <mergeCell ref="B976:C976"/>
    <mergeCell ref="B977:C977"/>
    <mergeCell ref="B978:C978"/>
    <mergeCell ref="A941:A948"/>
    <mergeCell ref="Q943:Q948"/>
    <mergeCell ref="R943:R948"/>
    <mergeCell ref="S943:S948"/>
    <mergeCell ref="T943:T948"/>
    <mergeCell ref="U943:U948"/>
    <mergeCell ref="V943:V948"/>
    <mergeCell ref="B986:C986"/>
    <mergeCell ref="B988:V988"/>
    <mergeCell ref="J989:J994"/>
    <mergeCell ref="K989:K994"/>
    <mergeCell ref="L989:L994"/>
    <mergeCell ref="M989:M994"/>
    <mergeCell ref="N989:N994"/>
    <mergeCell ref="O989:O994"/>
    <mergeCell ref="P989:P994"/>
    <mergeCell ref="Q989:Q994"/>
    <mergeCell ref="R989:R994"/>
    <mergeCell ref="S989:S994"/>
    <mergeCell ref="T989:T994"/>
    <mergeCell ref="U989:U994"/>
    <mergeCell ref="V989:V994"/>
    <mergeCell ref="A987:A994"/>
    <mergeCell ref="B987:V987"/>
    <mergeCell ref="B989:I989"/>
    <mergeCell ref="B990:C990"/>
    <mergeCell ref="B991:C991"/>
    <mergeCell ref="B992:C992"/>
    <mergeCell ref="B993:C993"/>
    <mergeCell ref="B994:C994"/>
    <mergeCell ref="P981:P986"/>
    <mergeCell ref="Q981:Q986"/>
    <mergeCell ref="A979:A986"/>
    <mergeCell ref="B979:V979"/>
    <mergeCell ref="B981:I981"/>
    <mergeCell ref="B982:C982"/>
    <mergeCell ref="B983:C983"/>
    <mergeCell ref="B984:C984"/>
    <mergeCell ref="B985:C985"/>
    <mergeCell ref="A1017:A1022"/>
    <mergeCell ref="B1017:V1017"/>
    <mergeCell ref="B1018:C1018"/>
    <mergeCell ref="B1019:C1019"/>
    <mergeCell ref="B1020:C1020"/>
    <mergeCell ref="B1021:C1021"/>
    <mergeCell ref="B1022:C1022"/>
    <mergeCell ref="O1003:O1008"/>
    <mergeCell ref="P1003:P1008"/>
    <mergeCell ref="Q1003:Q1008"/>
    <mergeCell ref="A1001:A1008"/>
    <mergeCell ref="B1001:V1001"/>
    <mergeCell ref="B1003:I1003"/>
    <mergeCell ref="R1003:R1008"/>
    <mergeCell ref="S1003:S1008"/>
    <mergeCell ref="T1003:T1008"/>
    <mergeCell ref="K1003:K1008"/>
    <mergeCell ref="L1003:L1008"/>
    <mergeCell ref="B1010:V1010"/>
    <mergeCell ref="J1011:J1016"/>
    <mergeCell ref="M1003:M1008"/>
    <mergeCell ref="N1003:N1008"/>
    <mergeCell ref="J1003:J1008"/>
    <mergeCell ref="T1011:T1016"/>
    <mergeCell ref="U1011:U1016"/>
    <mergeCell ref="B1035:C1035"/>
    <mergeCell ref="B1036:C1036"/>
    <mergeCell ref="B1037:C1037"/>
    <mergeCell ref="B1038:C1038"/>
    <mergeCell ref="B1054:V1054"/>
    <mergeCell ref="J1055:J1060"/>
    <mergeCell ref="K1055:K1060"/>
    <mergeCell ref="L1055:L1060"/>
    <mergeCell ref="O1055:O1060"/>
    <mergeCell ref="P1055:P1060"/>
    <mergeCell ref="M1055:M1060"/>
    <mergeCell ref="N1055:N1060"/>
    <mergeCell ref="B1040:V1040"/>
    <mergeCell ref="B1004:C1004"/>
    <mergeCell ref="B1005:C1005"/>
    <mergeCell ref="B1006:C1006"/>
    <mergeCell ref="B1007:C1007"/>
    <mergeCell ref="B1008:C1008"/>
    <mergeCell ref="R1055:R1060"/>
    <mergeCell ref="M1025:M1030"/>
    <mergeCell ref="N1025:N1030"/>
    <mergeCell ref="B1016:C1016"/>
    <mergeCell ref="L1011:L1016"/>
    <mergeCell ref="B1032:V1032"/>
    <mergeCell ref="L1041:L1046"/>
    <mergeCell ref="M1041:M1046"/>
    <mergeCell ref="K1033:K1038"/>
    <mergeCell ref="T1033:T1038"/>
    <mergeCell ref="U1033:U1038"/>
    <mergeCell ref="V1033:V1038"/>
    <mergeCell ref="S1055:S1060"/>
    <mergeCell ref="T1055:T1060"/>
    <mergeCell ref="O1:V1"/>
    <mergeCell ref="O5:V5"/>
    <mergeCell ref="O6:V6"/>
    <mergeCell ref="O7:V7"/>
    <mergeCell ref="O2:V2"/>
    <mergeCell ref="O3:V3"/>
    <mergeCell ref="B11:C11"/>
    <mergeCell ref="A1075:A1082"/>
    <mergeCell ref="B1075:V1075"/>
    <mergeCell ref="B1077:I1077"/>
    <mergeCell ref="B1078:C1078"/>
    <mergeCell ref="B1079:C1079"/>
    <mergeCell ref="B1080:C1080"/>
    <mergeCell ref="B1081:C1081"/>
    <mergeCell ref="B1082:C1082"/>
    <mergeCell ref="A1067:A1074"/>
    <mergeCell ref="B1067:V1067"/>
    <mergeCell ref="B1069:I1069"/>
    <mergeCell ref="B1070:C1070"/>
    <mergeCell ref="B1071:C1071"/>
    <mergeCell ref="B1072:C1072"/>
    <mergeCell ref="B1073:C1073"/>
    <mergeCell ref="B1074:C1074"/>
    <mergeCell ref="A1053:A1060"/>
    <mergeCell ref="B1053:V1053"/>
    <mergeCell ref="B1055:I1055"/>
    <mergeCell ref="B1056:C1056"/>
    <mergeCell ref="B1057:C1057"/>
    <mergeCell ref="B1058:C1058"/>
    <mergeCell ref="B1059:C1059"/>
    <mergeCell ref="B1060:C1060"/>
    <mergeCell ref="B1034:C1034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98" fitToHeight="61" orientation="landscape" r:id="rId1"/>
  <rowBreaks count="52" manualBreakCount="52">
    <brk id="18" max="21" man="1"/>
    <brk id="34" max="21" man="1"/>
    <brk id="80" max="21" man="1"/>
    <brk id="96" max="21" man="1"/>
    <brk id="112" max="21" man="1"/>
    <brk id="128" max="21" man="1"/>
    <brk id="144" max="21" man="1"/>
    <brk id="160" max="21" man="1"/>
    <brk id="176" max="21" man="1"/>
    <brk id="198" max="21" man="1"/>
    <brk id="214" max="21" man="1"/>
    <brk id="236" max="21" man="1"/>
    <brk id="259" max="21" man="1"/>
    <brk id="268" max="21" man="1"/>
    <brk id="292" max="21" man="1"/>
    <brk id="316" max="21" man="1"/>
    <brk id="340" max="21" man="1"/>
    <brk id="362" max="21" man="1"/>
    <brk id="378" max="21" man="1"/>
    <brk id="394" max="21" man="1"/>
    <brk id="410" max="21" man="1"/>
    <brk id="432" max="21" man="1"/>
    <brk id="472" max="21" man="1"/>
    <brk id="488" max="21" man="1"/>
    <brk id="504" max="21" man="1"/>
    <brk id="520" max="21" man="1"/>
    <brk id="536" max="21" man="1"/>
    <brk id="558" max="21" man="1"/>
    <brk id="574" max="21" man="1"/>
    <brk id="590" max="21" man="1"/>
    <brk id="686" max="21" man="1"/>
    <brk id="710" max="21" man="1"/>
    <brk id="732" max="21" man="1"/>
    <brk id="748" max="21" man="1"/>
    <brk id="764" max="21" man="1"/>
    <brk id="780" max="21" man="1"/>
    <brk id="796" max="21" man="1"/>
    <brk id="812" max="21" man="1"/>
    <brk id="828" max="21" man="1"/>
    <brk id="844" max="21" man="1"/>
    <brk id="860" max="21" man="1"/>
    <brk id="876" max="21" man="1"/>
    <brk id="892" max="21" man="1"/>
    <brk id="908" max="21" man="1"/>
    <brk id="924" max="21" man="1"/>
    <brk id="940" max="21" man="1"/>
    <brk id="962" max="21" man="1"/>
    <brk id="1008" max="21" man="1"/>
    <brk id="1030" max="21" man="1"/>
    <brk id="1052" max="21" man="1"/>
    <brk id="1074" max="21" man="1"/>
    <brk id="1096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Проект</vt:lpstr>
      <vt:lpstr>Проект!Заголовки_для_печати</vt:lpstr>
      <vt:lpstr>Проект!Область_печати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ChernyshVP</dc:creator>
  <cp:lastModifiedBy>Адуллин Андрей Зильфатович</cp:lastModifiedBy>
  <cp:lastPrinted>2018-12-17T04:09:24Z</cp:lastPrinted>
  <dcterms:created xsi:type="dcterms:W3CDTF">2013-06-03T21:57:32Z</dcterms:created>
  <dcterms:modified xsi:type="dcterms:W3CDTF">2019-01-08T22:58:02Z</dcterms:modified>
</cp:coreProperties>
</file>