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25" yWindow="-15" windowWidth="25440" windowHeight="11685" tabRatio="794"/>
  </bookViews>
  <sheets>
    <sheet name="Приложение" sheetId="62" r:id="rId1"/>
  </sheets>
  <definedNames>
    <definedName name="_xlnm.Print_Area" localSheetId="0">Приложение!$A$1:$V$1174</definedName>
  </definedNames>
  <calcPr calcId="145621"/>
</workbook>
</file>

<file path=xl/calcChain.xml><?xml version="1.0" encoding="utf-8"?>
<calcChain xmlns="http://schemas.openxmlformats.org/spreadsheetml/2006/main">
  <c r="F675" i="62" l="1"/>
  <c r="G675" i="62"/>
  <c r="H675" i="62"/>
  <c r="I675" i="62"/>
  <c r="I676" i="62"/>
  <c r="F677" i="62"/>
  <c r="G677" i="62"/>
  <c r="H677" i="62"/>
  <c r="I677" i="62"/>
  <c r="F678" i="62"/>
  <c r="G678" i="62"/>
  <c r="H678" i="62"/>
  <c r="I678" i="62"/>
  <c r="E677" i="62"/>
  <c r="E678" i="62"/>
  <c r="H333" i="62"/>
  <c r="I333" i="62"/>
  <c r="F334" i="62"/>
  <c r="G334" i="62"/>
  <c r="H334" i="62"/>
  <c r="I334" i="62"/>
  <c r="F335" i="62"/>
  <c r="G335" i="62"/>
  <c r="H335" i="62"/>
  <c r="I335" i="62"/>
  <c r="F336" i="62"/>
  <c r="G336" i="62"/>
  <c r="H336" i="62"/>
  <c r="I336" i="62"/>
  <c r="E335" i="62"/>
  <c r="E336" i="62"/>
  <c r="E333" i="62"/>
  <c r="H279" i="62"/>
  <c r="I279" i="62"/>
  <c r="G280" i="62"/>
  <c r="H280" i="62"/>
  <c r="I280" i="62"/>
  <c r="F281" i="62"/>
  <c r="G281" i="62"/>
  <c r="H281" i="62"/>
  <c r="I281" i="62"/>
  <c r="F282" i="62"/>
  <c r="G282" i="62"/>
  <c r="H282" i="62"/>
  <c r="I282" i="62"/>
  <c r="E281" i="62"/>
  <c r="E282" i="62"/>
  <c r="E518" i="62" l="1"/>
  <c r="E516" i="62" s="1"/>
  <c r="F395" i="62"/>
  <c r="G395" i="62"/>
  <c r="H395" i="62"/>
  <c r="I395" i="62"/>
  <c r="H396" i="62"/>
  <c r="I396" i="62"/>
  <c r="F397" i="62"/>
  <c r="G397" i="62"/>
  <c r="H397" i="62"/>
  <c r="I397" i="62"/>
  <c r="F398" i="62"/>
  <c r="G398" i="62"/>
  <c r="H398" i="62"/>
  <c r="I398" i="62"/>
  <c r="F399" i="62"/>
  <c r="G399" i="62"/>
  <c r="H399" i="62"/>
  <c r="I399" i="62"/>
  <c r="E398" i="62"/>
  <c r="E397" i="62"/>
  <c r="D519" i="62"/>
  <c r="D520" i="62"/>
  <c r="D517" i="62"/>
  <c r="F516" i="62"/>
  <c r="G516" i="62"/>
  <c r="E469" i="62"/>
  <c r="E421" i="62"/>
  <c r="D518" i="62" l="1"/>
  <c r="D516" i="62" s="1"/>
  <c r="F267" i="62" l="1"/>
  <c r="F1172" i="62" s="1"/>
  <c r="G267" i="62"/>
  <c r="G1172" i="62" s="1"/>
  <c r="H267" i="62"/>
  <c r="H1172" i="62" s="1"/>
  <c r="I267" i="62"/>
  <c r="I1172" i="62" s="1"/>
  <c r="E267" i="62"/>
  <c r="E1172" i="62" s="1"/>
  <c r="D276" i="62"/>
  <c r="F429" i="62"/>
  <c r="F328" i="62"/>
  <c r="F280" i="62" s="1"/>
  <c r="E328" i="62"/>
  <c r="E326" i="62" s="1"/>
  <c r="D328" i="62"/>
  <c r="D329" i="62"/>
  <c r="D330" i="62"/>
  <c r="D327" i="62"/>
  <c r="F326" i="62"/>
  <c r="E312" i="62"/>
  <c r="D1172" i="62" l="1"/>
  <c r="D267" i="62"/>
  <c r="D326" i="62"/>
  <c r="E512" i="62" l="1"/>
  <c r="E399" i="62" s="1"/>
  <c r="E671" i="62" l="1"/>
  <c r="E366" i="62" l="1"/>
  <c r="E358" i="62"/>
  <c r="E350" i="62"/>
  <c r="G828" i="62" l="1"/>
  <c r="G820" i="62" l="1"/>
  <c r="G812" i="62"/>
  <c r="E868" i="62"/>
  <c r="G772" i="62" l="1"/>
  <c r="G764" i="62"/>
  <c r="F764" i="62"/>
  <c r="F756" i="62"/>
  <c r="H732" i="62"/>
  <c r="G732" i="62"/>
  <c r="F732" i="62"/>
  <c r="E732" i="62"/>
  <c r="H684" i="62"/>
  <c r="G684" i="62"/>
  <c r="F684" i="62"/>
  <c r="E684" i="62"/>
  <c r="H523" i="62" l="1"/>
  <c r="I523" i="62"/>
  <c r="H524" i="62"/>
  <c r="I524" i="62"/>
  <c r="G526" i="62"/>
  <c r="H526" i="62"/>
  <c r="I526" i="62"/>
  <c r="F527" i="62"/>
  <c r="G527" i="62"/>
  <c r="H527" i="62"/>
  <c r="I527" i="62"/>
  <c r="E527" i="62"/>
  <c r="F660" i="62"/>
  <c r="G660" i="62"/>
  <c r="D661" i="62"/>
  <c r="E662" i="62"/>
  <c r="D662" i="62" s="1"/>
  <c r="D663" i="62"/>
  <c r="D664" i="62"/>
  <c r="D670" i="62"/>
  <c r="D671" i="62"/>
  <c r="D672" i="62"/>
  <c r="D669" i="62"/>
  <c r="E668" i="62"/>
  <c r="F668" i="62"/>
  <c r="G668" i="62"/>
  <c r="E541" i="62"/>
  <c r="E654" i="62"/>
  <c r="D654" i="62" s="1"/>
  <c r="D655" i="62"/>
  <c r="D656" i="62"/>
  <c r="D653" i="62"/>
  <c r="F652" i="62"/>
  <c r="G652" i="62"/>
  <c r="E652" i="62" l="1"/>
  <c r="E660" i="62"/>
  <c r="D652" i="62"/>
  <c r="D660" i="62"/>
  <c r="D668" i="62"/>
  <c r="E573" i="62"/>
  <c r="E646" i="62" l="1"/>
  <c r="E644" i="62" s="1"/>
  <c r="D647" i="62"/>
  <c r="D648" i="62"/>
  <c r="D645" i="62"/>
  <c r="F644" i="62"/>
  <c r="G644" i="62"/>
  <c r="E638" i="62"/>
  <c r="D638" i="62" s="1"/>
  <c r="D639" i="62"/>
  <c r="D640" i="62"/>
  <c r="D637" i="62"/>
  <c r="F636" i="62"/>
  <c r="G636" i="62"/>
  <c r="E630" i="62"/>
  <c r="D630" i="62" s="1"/>
  <c r="D631" i="62"/>
  <c r="D632" i="62"/>
  <c r="D629" i="62"/>
  <c r="F628" i="62"/>
  <c r="G628" i="62"/>
  <c r="F620" i="62"/>
  <c r="G620" i="62"/>
  <c r="D621" i="62"/>
  <c r="E622" i="62"/>
  <c r="E620" i="62" s="1"/>
  <c r="D623" i="62"/>
  <c r="D624" i="62"/>
  <c r="D622" i="62" l="1"/>
  <c r="D646" i="62"/>
  <c r="D644" i="62" s="1"/>
  <c r="D620" i="62"/>
  <c r="E636" i="62"/>
  <c r="D636" i="62"/>
  <c r="D628" i="62"/>
  <c r="E628" i="62"/>
  <c r="E614" i="62" l="1"/>
  <c r="G485" i="62" l="1"/>
  <c r="G396" i="62" s="1"/>
  <c r="F485" i="62"/>
  <c r="E485" i="62"/>
  <c r="E413" i="62"/>
  <c r="E304" i="62"/>
  <c r="E228" i="62"/>
  <c r="H76" i="62" l="1"/>
  <c r="I76" i="62"/>
  <c r="F77" i="62"/>
  <c r="G77" i="62"/>
  <c r="H77" i="62"/>
  <c r="I77" i="62"/>
  <c r="H73" i="62"/>
  <c r="I73" i="62"/>
  <c r="H74" i="62"/>
  <c r="I74" i="62"/>
  <c r="E77" i="62"/>
  <c r="D228" i="62"/>
  <c r="D229" i="62"/>
  <c r="D230" i="62"/>
  <c r="D227" i="62"/>
  <c r="E226" i="62"/>
  <c r="E123" i="62"/>
  <c r="E171" i="62"/>
  <c r="D226" i="62" l="1"/>
  <c r="E99" i="62"/>
  <c r="E273" i="62"/>
  <c r="E264" i="62" l="1"/>
  <c r="E271" i="62"/>
  <c r="E163" i="62"/>
  <c r="E320" i="62" l="1"/>
  <c r="D320" i="62" s="1"/>
  <c r="D321" i="62"/>
  <c r="D322" i="62"/>
  <c r="D319" i="62"/>
  <c r="E318" i="62" l="1"/>
  <c r="D318" i="62"/>
  <c r="G163" i="62"/>
  <c r="G115" i="62"/>
  <c r="F1173" i="62"/>
  <c r="G1173" i="62"/>
  <c r="H1173" i="62"/>
  <c r="I1173" i="62"/>
  <c r="D399" i="62" l="1"/>
  <c r="E1173" i="62"/>
  <c r="D1173" i="62" s="1"/>
  <c r="E1008" i="62"/>
  <c r="E1000" i="62"/>
  <c r="E437" i="62" l="1"/>
  <c r="E884" i="62" l="1"/>
  <c r="E708" i="62" l="1"/>
  <c r="E700" i="62"/>
  <c r="E1046" i="62" l="1"/>
  <c r="E1030" i="62"/>
  <c r="E342" i="62" l="1"/>
  <c r="E390" i="62"/>
  <c r="D368" i="62"/>
  <c r="D367" i="62"/>
  <c r="D366" i="62"/>
  <c r="D365" i="62"/>
  <c r="E364" i="62"/>
  <c r="D360" i="62"/>
  <c r="D359" i="62"/>
  <c r="D358" i="62"/>
  <c r="D357" i="62"/>
  <c r="E356" i="62"/>
  <c r="E348" i="62"/>
  <c r="D349" i="62"/>
  <c r="D350" i="62"/>
  <c r="D351" i="62"/>
  <c r="D352" i="62"/>
  <c r="D356" i="62" l="1"/>
  <c r="D364" i="62"/>
  <c r="D348" i="62"/>
  <c r="E1162" i="62" l="1"/>
  <c r="E1154" i="62" l="1"/>
  <c r="F1152" i="62"/>
  <c r="E1155" i="62"/>
  <c r="E1156" i="62"/>
  <c r="E1153" i="62"/>
  <c r="E1160" i="62"/>
  <c r="E1152" i="62" l="1"/>
  <c r="D1164" i="62"/>
  <c r="D1163" i="62"/>
  <c r="D1162" i="62"/>
  <c r="D1161" i="62"/>
  <c r="I1152" i="62"/>
  <c r="H1152" i="62"/>
  <c r="G1152" i="62"/>
  <c r="D1160" i="62" l="1"/>
  <c r="E956" i="62"/>
  <c r="E724" i="62"/>
  <c r="E723" i="62"/>
  <c r="E716" i="62"/>
  <c r="E715" i="62"/>
  <c r="E675" i="62" s="1"/>
  <c r="E1090" i="62" l="1"/>
  <c r="E1087" i="62"/>
  <c r="E525" i="62"/>
  <c r="F75" i="62"/>
  <c r="G75" i="62"/>
  <c r="H75" i="62"/>
  <c r="I75" i="62"/>
  <c r="E75" i="62"/>
  <c r="E1140" i="62"/>
  <c r="D1140" i="62" s="1"/>
  <c r="E1141" i="62"/>
  <c r="D1141" i="62" s="1"/>
  <c r="E1142" i="62"/>
  <c r="D1142" i="62" s="1"/>
  <c r="E1139" i="62"/>
  <c r="D1139" i="62" s="1"/>
  <c r="E1146" i="62"/>
  <c r="D1150" i="62"/>
  <c r="D1149" i="62"/>
  <c r="D1148" i="62"/>
  <c r="D1147" i="62"/>
  <c r="F1138" i="62"/>
  <c r="G1138" i="62"/>
  <c r="H1138" i="62"/>
  <c r="I1138" i="62"/>
  <c r="E1064" i="62"/>
  <c r="G394" i="62" l="1"/>
  <c r="H394" i="62"/>
  <c r="I394" i="62"/>
  <c r="D398" i="62"/>
  <c r="D1146" i="62"/>
  <c r="E1138" i="62"/>
  <c r="D1138" i="62"/>
  <c r="H956" i="62" l="1"/>
  <c r="H954" i="62" s="1"/>
  <c r="I954" i="62"/>
  <c r="H804" i="62"/>
  <c r="H802" i="62" s="1"/>
  <c r="I802" i="62"/>
  <c r="H796" i="62"/>
  <c r="H794" i="62" s="1"/>
  <c r="H788" i="62"/>
  <c r="H786" i="62" s="1"/>
  <c r="I794" i="62"/>
  <c r="I786" i="62"/>
  <c r="I778" i="62"/>
  <c r="H780" i="62"/>
  <c r="H778" i="62" l="1"/>
  <c r="H676" i="62"/>
  <c r="G203" i="62"/>
  <c r="E220" i="62"/>
  <c r="D221" i="62"/>
  <c r="D222" i="62"/>
  <c r="D219" i="62"/>
  <c r="F566" i="62"/>
  <c r="F526" i="62" s="1"/>
  <c r="E566" i="62"/>
  <c r="E526" i="62" s="1"/>
  <c r="E218" i="62" l="1"/>
  <c r="D220" i="62"/>
  <c r="D218" i="62" s="1"/>
  <c r="E509" i="62"/>
  <c r="E507" i="62" s="1"/>
  <c r="F507" i="62"/>
  <c r="G507" i="62"/>
  <c r="D510" i="62"/>
  <c r="D512" i="62"/>
  <c r="D508" i="62"/>
  <c r="D500" i="62"/>
  <c r="E420" i="62" l="1"/>
  <c r="G204" i="62" l="1"/>
  <c r="G76" i="62" s="1"/>
  <c r="F204" i="62"/>
  <c r="E203" i="62"/>
  <c r="F196" i="62"/>
  <c r="E196" i="62"/>
  <c r="E195" i="62"/>
  <c r="F188" i="62"/>
  <c r="F187" i="62"/>
  <c r="F186" i="62"/>
  <c r="E188" i="62"/>
  <c r="E187" i="62"/>
  <c r="E186" i="62"/>
  <c r="F180" i="62"/>
  <c r="E180" i="62"/>
  <c r="E179" i="62"/>
  <c r="F171" i="62"/>
  <c r="F170" i="62"/>
  <c r="F169" i="62" s="1"/>
  <c r="E170" i="62"/>
  <c r="G162" i="62"/>
  <c r="F163" i="62"/>
  <c r="F162" i="62"/>
  <c r="E162" i="62"/>
  <c r="E76" i="62" l="1"/>
  <c r="F76" i="62"/>
  <c r="D76" i="62" s="1"/>
  <c r="G161" i="62"/>
  <c r="E242" i="62"/>
  <c r="E107" i="62"/>
  <c r="E477" i="62"/>
  <c r="E501" i="62"/>
  <c r="E499" i="62" s="1"/>
  <c r="E493" i="62"/>
  <c r="D503" i="62" l="1"/>
  <c r="D502" i="62"/>
  <c r="D501" i="62"/>
  <c r="D495" i="62"/>
  <c r="D494" i="62"/>
  <c r="D493" i="62"/>
  <c r="D492" i="62"/>
  <c r="E491" i="62"/>
  <c r="D499" i="62" l="1"/>
  <c r="D491" i="62"/>
  <c r="E155" i="62" l="1"/>
  <c r="E147" i="62"/>
  <c r="E74" i="62" s="1"/>
  <c r="E611" i="62" l="1"/>
  <c r="G10" i="62" l="1"/>
  <c r="H10" i="62"/>
  <c r="I10" i="62"/>
  <c r="F12" i="62"/>
  <c r="G12" i="62"/>
  <c r="H12" i="62"/>
  <c r="I12" i="62"/>
  <c r="E13" i="62"/>
  <c r="F13" i="62"/>
  <c r="G13" i="62"/>
  <c r="H13" i="62"/>
  <c r="I13" i="62"/>
  <c r="E14" i="62"/>
  <c r="F14" i="62"/>
  <c r="G14" i="62"/>
  <c r="H14" i="62"/>
  <c r="I14" i="62"/>
  <c r="I11" i="62"/>
  <c r="F11" i="62"/>
  <c r="G11" i="62"/>
  <c r="H11" i="62"/>
  <c r="E11" i="62"/>
  <c r="E60" i="62"/>
  <c r="E12" i="62" s="1"/>
  <c r="D70" i="62"/>
  <c r="D69" i="62"/>
  <c r="D68" i="62"/>
  <c r="D67" i="62"/>
  <c r="E66" i="62"/>
  <c r="D66" i="62" l="1"/>
  <c r="E972" i="62"/>
  <c r="E382" i="62" l="1"/>
  <c r="E334" i="62" s="1"/>
  <c r="G202" i="62"/>
  <c r="G73" i="62" s="1"/>
  <c r="E178" i="62"/>
  <c r="F525" i="62"/>
  <c r="G525" i="62"/>
  <c r="H525" i="62"/>
  <c r="I525" i="62"/>
  <c r="D614" i="62"/>
  <c r="D616" i="62"/>
  <c r="D615" i="62"/>
  <c r="D613" i="62"/>
  <c r="D612" i="62"/>
  <c r="G611" i="62"/>
  <c r="F611" i="62"/>
  <c r="D611" i="62" l="1"/>
  <c r="G201" i="62"/>
  <c r="D525" i="62"/>
  <c r="E991" i="62"/>
  <c r="G565" i="62" l="1"/>
  <c r="G123" i="62"/>
  <c r="G121" i="62" s="1"/>
  <c r="G99" i="62"/>
  <c r="E1133" i="62"/>
  <c r="G74" i="62" l="1"/>
  <c r="E460" i="62"/>
  <c r="E452" i="62"/>
  <c r="E412" i="62"/>
  <c r="E404" i="62"/>
  <c r="E395" i="62" s="1"/>
  <c r="D395" i="62" l="1"/>
  <c r="D214" i="62"/>
  <c r="D213" i="62"/>
  <c r="D212" i="62"/>
  <c r="D211" i="62"/>
  <c r="D210" i="62"/>
  <c r="E209" i="62"/>
  <c r="D209" i="62" l="1"/>
  <c r="E1038" i="62"/>
  <c r="G956" i="62"/>
  <c r="G954" i="62" s="1"/>
  <c r="F956" i="62"/>
  <c r="F954" i="62" s="1"/>
  <c r="D974" i="62"/>
  <c r="D973" i="62"/>
  <c r="E970" i="62"/>
  <c r="D972" i="62"/>
  <c r="D971" i="62"/>
  <c r="E964" i="62"/>
  <c r="E962" i="62" s="1"/>
  <c r="D966" i="62"/>
  <c r="D965" i="62"/>
  <c r="D963" i="62"/>
  <c r="E954" i="62"/>
  <c r="D958" i="62"/>
  <c r="D957" i="62"/>
  <c r="D955" i="62"/>
  <c r="E948" i="62"/>
  <c r="E946" i="62" s="1"/>
  <c r="D950" i="62"/>
  <c r="D949" i="62"/>
  <c r="D947" i="62"/>
  <c r="E940" i="62"/>
  <c r="E938" i="62" s="1"/>
  <c r="D942" i="62"/>
  <c r="D941" i="62"/>
  <c r="D939" i="62"/>
  <c r="E932" i="62"/>
  <c r="E930" i="62" s="1"/>
  <c r="D934" i="62"/>
  <c r="D933" i="62"/>
  <c r="D931" i="62"/>
  <c r="E924" i="62"/>
  <c r="E922" i="62" s="1"/>
  <c r="E900" i="62"/>
  <c r="E898" i="62" s="1"/>
  <c r="G804" i="62"/>
  <c r="F804" i="62"/>
  <c r="E804" i="62"/>
  <c r="E796" i="62"/>
  <c r="G796" i="62"/>
  <c r="F796" i="62"/>
  <c r="G788" i="62"/>
  <c r="F788" i="62"/>
  <c r="E788" i="62"/>
  <c r="E780" i="62"/>
  <c r="G780" i="62"/>
  <c r="G676" i="62" s="1"/>
  <c r="F780" i="62"/>
  <c r="E692" i="62"/>
  <c r="E605" i="62"/>
  <c r="G605" i="62"/>
  <c r="F605" i="62"/>
  <c r="G604" i="62"/>
  <c r="G523" i="62" s="1"/>
  <c r="F604" i="62"/>
  <c r="F523" i="62" s="1"/>
  <c r="E604" i="62"/>
  <c r="E523" i="62" s="1"/>
  <c r="D607" i="62"/>
  <c r="D606" i="62"/>
  <c r="D487" i="62"/>
  <c r="D486" i="62"/>
  <c r="D485" i="62"/>
  <c r="D484" i="62"/>
  <c r="E483" i="62"/>
  <c r="E475" i="62"/>
  <c r="D479" i="62"/>
  <c r="D478" i="62"/>
  <c r="D476" i="62"/>
  <c r="G581" i="62"/>
  <c r="F581" i="62"/>
  <c r="E581" i="62"/>
  <c r="E676" i="62" l="1"/>
  <c r="E674" i="62" s="1"/>
  <c r="F676" i="62"/>
  <c r="D932" i="62"/>
  <c r="D930" i="62" s="1"/>
  <c r="D604" i="62"/>
  <c r="F603" i="62"/>
  <c r="D940" i="62"/>
  <c r="D938" i="62" s="1"/>
  <c r="D483" i="62"/>
  <c r="D964" i="62"/>
  <c r="D962" i="62" s="1"/>
  <c r="G603" i="62"/>
  <c r="D477" i="62"/>
  <c r="D475" i="62" s="1"/>
  <c r="D605" i="62"/>
  <c r="D970" i="62"/>
  <c r="D956" i="62"/>
  <c r="D954" i="62" s="1"/>
  <c r="D948" i="62"/>
  <c r="D946" i="62" s="1"/>
  <c r="E603" i="62"/>
  <c r="D603" i="62" l="1"/>
  <c r="G597" i="62"/>
  <c r="G524" i="62" s="1"/>
  <c r="F597" i="62"/>
  <c r="E597" i="62"/>
  <c r="E524" i="62" s="1"/>
  <c r="E522" i="62" s="1"/>
  <c r="F565" i="62"/>
  <c r="F524" i="62" s="1"/>
  <c r="D469" i="62"/>
  <c r="D471" i="62"/>
  <c r="D470" i="62"/>
  <c r="D468" i="62"/>
  <c r="E461" i="62"/>
  <c r="F461" i="62"/>
  <c r="E453" i="62"/>
  <c r="E396" i="62" s="1"/>
  <c r="D392" i="62"/>
  <c r="D391" i="62"/>
  <c r="D390" i="62"/>
  <c r="D389" i="62"/>
  <c r="E388" i="62"/>
  <c r="F396" i="62" l="1"/>
  <c r="F394" i="62" s="1"/>
  <c r="E394" i="62"/>
  <c r="F459" i="62"/>
  <c r="D388" i="62"/>
  <c r="D467" i="62"/>
  <c r="E467" i="62"/>
  <c r="D384" i="62"/>
  <c r="D383" i="62"/>
  <c r="D382" i="62"/>
  <c r="D381" i="62"/>
  <c r="E380" i="62"/>
  <c r="G373" i="62"/>
  <c r="G333" i="62" s="1"/>
  <c r="F373" i="62"/>
  <c r="F333" i="62" s="1"/>
  <c r="D314" i="62"/>
  <c r="D313" i="62"/>
  <c r="D311" i="62"/>
  <c r="G303" i="62"/>
  <c r="G279" i="62" s="1"/>
  <c r="F303" i="62"/>
  <c r="F279" i="62" s="1"/>
  <c r="E296" i="62"/>
  <c r="E280" i="62" s="1"/>
  <c r="D280" i="62" s="1"/>
  <c r="E303" i="62"/>
  <c r="E279" i="62" s="1"/>
  <c r="D205" i="62"/>
  <c r="D204" i="62"/>
  <c r="D203" i="62"/>
  <c r="D202" i="62"/>
  <c r="F201" i="62"/>
  <c r="E194" i="62"/>
  <c r="E73" i="62" s="1"/>
  <c r="D197" i="62"/>
  <c r="D196" i="62"/>
  <c r="D195" i="62"/>
  <c r="F193" i="62"/>
  <c r="D189" i="62"/>
  <c r="D188" i="62"/>
  <c r="D187" i="62"/>
  <c r="F185" i="62"/>
  <c r="E185" i="62"/>
  <c r="F179" i="62"/>
  <c r="F74" i="62" s="1"/>
  <c r="F178" i="62"/>
  <c r="F73" i="62" s="1"/>
  <c r="E169" i="62"/>
  <c r="D181" i="62"/>
  <c r="D180" i="62"/>
  <c r="D173" i="62"/>
  <c r="D172" i="62"/>
  <c r="D170" i="62"/>
  <c r="D165" i="62"/>
  <c r="D164" i="62"/>
  <c r="D73" i="62" l="1"/>
  <c r="E310" i="62"/>
  <c r="D312" i="62"/>
  <c r="D310" i="62" s="1"/>
  <c r="E72" i="62"/>
  <c r="E193" i="62"/>
  <c r="D194" i="62"/>
  <c r="D193" i="62" s="1"/>
  <c r="D178" i="62"/>
  <c r="D171" i="62"/>
  <c r="D169" i="62" s="1"/>
  <c r="G372" i="62"/>
  <c r="D179" i="62"/>
  <c r="E161" i="62"/>
  <c r="F161" i="62"/>
  <c r="F177" i="62"/>
  <c r="D162" i="62"/>
  <c r="D163" i="62"/>
  <c r="E177" i="62"/>
  <c r="D380" i="62"/>
  <c r="D201" i="62"/>
  <c r="D186" i="62"/>
  <c r="D185" i="62" s="1"/>
  <c r="D177" i="62" l="1"/>
  <c r="D161" i="62"/>
  <c r="D75" i="62" l="1"/>
  <c r="F72" i="62" l="1"/>
  <c r="E278" i="62"/>
  <c r="D304" i="62"/>
  <c r="E302" i="62"/>
  <c r="F1087" i="62"/>
  <c r="G1087" i="62"/>
  <c r="H1087" i="62"/>
  <c r="I1087" i="62"/>
  <c r="F1088" i="62"/>
  <c r="G1088" i="62"/>
  <c r="H1088" i="62"/>
  <c r="I1088" i="62"/>
  <c r="F1089" i="62"/>
  <c r="F1169" i="62" s="1"/>
  <c r="G1089" i="62"/>
  <c r="G1169" i="62" s="1"/>
  <c r="H1089" i="62"/>
  <c r="H1169" i="62" s="1"/>
  <c r="I1089" i="62"/>
  <c r="I1169" i="62" s="1"/>
  <c r="F1090" i="62"/>
  <c r="G1090" i="62"/>
  <c r="H1090" i="62"/>
  <c r="I1090" i="62"/>
  <c r="F1091" i="62"/>
  <c r="G1091" i="62"/>
  <c r="H1091" i="62"/>
  <c r="I1091" i="62"/>
  <c r="E1088" i="62"/>
  <c r="E1091" i="62"/>
  <c r="D1133" i="62"/>
  <c r="D1134" i="62"/>
  <c r="D1135" i="62"/>
  <c r="D1136" i="62"/>
  <c r="D1132" i="62"/>
  <c r="E1131" i="62"/>
  <c r="E1122" i="62"/>
  <c r="D1087" i="62" l="1"/>
  <c r="D1131" i="62"/>
  <c r="G563" i="62" l="1"/>
  <c r="D99" i="62" l="1"/>
  <c r="G97" i="62"/>
  <c r="D463" i="62"/>
  <c r="D461" i="62"/>
  <c r="D462" i="62"/>
  <c r="D460" i="62"/>
  <c r="D452" i="62"/>
  <c r="E459" i="62"/>
  <c r="E451" i="62"/>
  <c r="D459" i="62" l="1"/>
  <c r="E1022" i="62"/>
  <c r="F1086" i="62" l="1"/>
  <c r="G1086" i="62"/>
  <c r="H1086" i="62"/>
  <c r="I1086" i="62"/>
  <c r="D1124" i="62"/>
  <c r="D1125" i="62"/>
  <c r="D1126" i="62"/>
  <c r="D1115" i="62"/>
  <c r="E1116" i="62"/>
  <c r="D1116" i="62" s="1"/>
  <c r="D1106" i="62"/>
  <c r="E1107" i="62"/>
  <c r="D1107" i="62" s="1"/>
  <c r="E1098" i="62"/>
  <c r="D1127" i="62"/>
  <c r="D1123" i="62"/>
  <c r="D1118" i="62"/>
  <c r="D1117" i="62"/>
  <c r="D1114" i="62"/>
  <c r="D1109" i="62"/>
  <c r="D1108" i="62"/>
  <c r="D1105" i="62"/>
  <c r="D1100" i="62"/>
  <c r="D1099" i="62"/>
  <c r="D1096" i="62"/>
  <c r="E1089" i="62" l="1"/>
  <c r="E1169" i="62" s="1"/>
  <c r="D1169" i="62" s="1"/>
  <c r="D1154" i="62"/>
  <c r="E1104" i="62"/>
  <c r="D1098" i="62"/>
  <c r="D1122" i="62"/>
  <c r="E1095" i="62"/>
  <c r="D1104" i="62"/>
  <c r="E1113" i="62"/>
  <c r="D1113" i="62"/>
  <c r="D1088" i="62"/>
  <c r="D1097" i="62"/>
  <c r="D1090" i="62"/>
  <c r="D1091" i="62"/>
  <c r="D1089" i="62" l="1"/>
  <c r="D1086" i="62" s="1"/>
  <c r="D1095" i="62"/>
  <c r="E1086" i="62"/>
  <c r="D157" i="62" l="1"/>
  <c r="D156" i="62"/>
  <c r="D155" i="62"/>
  <c r="D154" i="62"/>
  <c r="E153" i="62"/>
  <c r="D149" i="62"/>
  <c r="D148" i="62"/>
  <c r="D147" i="62"/>
  <c r="E145" i="62"/>
  <c r="D146" i="62"/>
  <c r="D153" i="62" l="1"/>
  <c r="D145" i="62"/>
  <c r="G332" i="62" l="1"/>
  <c r="H332" i="62"/>
  <c r="I332" i="62"/>
  <c r="D62" i="62" l="1"/>
  <c r="D61" i="62"/>
  <c r="D60" i="62"/>
  <c r="D59" i="62"/>
  <c r="E58" i="62"/>
  <c r="F595" i="62"/>
  <c r="G595" i="62"/>
  <c r="G451" i="62"/>
  <c r="F411" i="62"/>
  <c r="F403" i="62"/>
  <c r="D599" i="62"/>
  <c r="D598" i="62"/>
  <c r="D597" i="62"/>
  <c r="D596" i="62"/>
  <c r="E595" i="62"/>
  <c r="D595" i="62" l="1"/>
  <c r="D58" i="62"/>
  <c r="D455" i="62" l="1"/>
  <c r="D454" i="62"/>
  <c r="D453" i="62"/>
  <c r="F451" i="62"/>
  <c r="D451" i="62" l="1"/>
  <c r="F302" i="62" l="1"/>
  <c r="G302" i="62"/>
  <c r="D306" i="62"/>
  <c r="D305" i="62"/>
  <c r="D303" i="62"/>
  <c r="D302" i="62" l="1"/>
  <c r="D1084" i="62"/>
  <c r="D1083" i="62"/>
  <c r="D1082" i="62"/>
  <c r="D1081" i="62"/>
  <c r="D1076" i="62"/>
  <c r="D1075" i="62"/>
  <c r="D1074" i="62"/>
  <c r="D1073" i="62"/>
  <c r="D1062" i="62"/>
  <c r="D1061" i="62"/>
  <c r="D1060" i="62"/>
  <c r="D1059" i="62"/>
  <c r="D1048" i="62"/>
  <c r="D1047" i="62"/>
  <c r="D1046" i="62"/>
  <c r="D1045" i="62"/>
  <c r="D1040" i="62"/>
  <c r="D1039" i="62"/>
  <c r="D1038" i="62"/>
  <c r="D1037" i="62"/>
  <c r="D1032" i="62"/>
  <c r="D1031" i="62"/>
  <c r="D1030" i="62"/>
  <c r="D1029" i="62"/>
  <c r="D1018" i="62"/>
  <c r="D1017" i="62"/>
  <c r="D1016" i="62"/>
  <c r="D1015" i="62"/>
  <c r="D1010" i="62"/>
  <c r="D1009" i="62"/>
  <c r="D1008" i="62"/>
  <c r="D1007" i="62"/>
  <c r="D1002" i="62"/>
  <c r="D1001" i="62"/>
  <c r="D1000" i="62"/>
  <c r="D999" i="62"/>
  <c r="D988" i="62"/>
  <c r="D987" i="62"/>
  <c r="D986" i="62"/>
  <c r="D985" i="62"/>
  <c r="D926" i="62"/>
  <c r="D925" i="62"/>
  <c r="D924" i="62"/>
  <c r="D923" i="62"/>
  <c r="D918" i="62"/>
  <c r="D917" i="62"/>
  <c r="D916" i="62"/>
  <c r="D915" i="62"/>
  <c r="D910" i="62"/>
  <c r="D909" i="62"/>
  <c r="D908" i="62"/>
  <c r="D907" i="62"/>
  <c r="D902" i="62"/>
  <c r="D901" i="62"/>
  <c r="D900" i="62"/>
  <c r="D899" i="62"/>
  <c r="D894" i="62"/>
  <c r="D893" i="62"/>
  <c r="D892" i="62"/>
  <c r="D891" i="62"/>
  <c r="D886" i="62"/>
  <c r="D885" i="62"/>
  <c r="D884" i="62"/>
  <c r="D883" i="62"/>
  <c r="D878" i="62"/>
  <c r="D877" i="62"/>
  <c r="D876" i="62"/>
  <c r="D875" i="62"/>
  <c r="D870" i="62"/>
  <c r="D869" i="62"/>
  <c r="D868" i="62"/>
  <c r="D867" i="62"/>
  <c r="D862" i="62"/>
  <c r="D861" i="62"/>
  <c r="D860" i="62"/>
  <c r="D859" i="62"/>
  <c r="D854" i="62"/>
  <c r="D853" i="62"/>
  <c r="D852" i="62"/>
  <c r="D851" i="62"/>
  <c r="D846" i="62"/>
  <c r="D845" i="62"/>
  <c r="D844" i="62"/>
  <c r="D843" i="62"/>
  <c r="D838" i="62"/>
  <c r="D837" i="62"/>
  <c r="D836" i="62"/>
  <c r="D835" i="62"/>
  <c r="D830" i="62"/>
  <c r="D829" i="62"/>
  <c r="D828" i="62"/>
  <c r="D827" i="62"/>
  <c r="D822" i="62"/>
  <c r="D821" i="62"/>
  <c r="D820" i="62"/>
  <c r="D819" i="62"/>
  <c r="D814" i="62"/>
  <c r="D813" i="62"/>
  <c r="D812" i="62"/>
  <c r="D811" i="62"/>
  <c r="D806" i="62"/>
  <c r="D805" i="62"/>
  <c r="D804" i="62"/>
  <c r="D803" i="62"/>
  <c r="D798" i="62"/>
  <c r="D797" i="62"/>
  <c r="D796" i="62"/>
  <c r="D795" i="62"/>
  <c r="D790" i="62"/>
  <c r="D789" i="62"/>
  <c r="D788" i="62"/>
  <c r="D787" i="62"/>
  <c r="D782" i="62"/>
  <c r="D781" i="62"/>
  <c r="D780" i="62"/>
  <c r="D779" i="62"/>
  <c r="D774" i="62"/>
  <c r="D773" i="62"/>
  <c r="D772" i="62"/>
  <c r="D771" i="62"/>
  <c r="D766" i="62"/>
  <c r="D765" i="62"/>
  <c r="D764" i="62"/>
  <c r="D763" i="62"/>
  <c r="D758" i="62"/>
  <c r="D757" i="62"/>
  <c r="D756" i="62"/>
  <c r="D755" i="62"/>
  <c r="D750" i="62"/>
  <c r="D749" i="62"/>
  <c r="D748" i="62"/>
  <c r="D747" i="62"/>
  <c r="D742" i="62"/>
  <c r="D741" i="62"/>
  <c r="D740" i="62"/>
  <c r="D739" i="62"/>
  <c r="D734" i="62"/>
  <c r="D733" i="62"/>
  <c r="D732" i="62"/>
  <c r="D731" i="62"/>
  <c r="D726" i="62"/>
  <c r="D725" i="62"/>
  <c r="D724" i="62"/>
  <c r="D723" i="62"/>
  <c r="D718" i="62"/>
  <c r="D717" i="62"/>
  <c r="D716" i="62"/>
  <c r="D715" i="62"/>
  <c r="D710" i="62"/>
  <c r="D709" i="62"/>
  <c r="D708" i="62"/>
  <c r="D707" i="62"/>
  <c r="D702" i="62"/>
  <c r="D701" i="62"/>
  <c r="D700" i="62"/>
  <c r="D699" i="62"/>
  <c r="D694" i="62"/>
  <c r="D693" i="62"/>
  <c r="D692" i="62"/>
  <c r="D691" i="62"/>
  <c r="D686" i="62"/>
  <c r="D685" i="62"/>
  <c r="D684" i="62"/>
  <c r="D683" i="62"/>
  <c r="D591" i="62"/>
  <c r="D590" i="62"/>
  <c r="D589" i="62"/>
  <c r="D588" i="62"/>
  <c r="D583" i="62"/>
  <c r="D582" i="62"/>
  <c r="D581" i="62"/>
  <c r="D580" i="62"/>
  <c r="D575" i="62"/>
  <c r="D574" i="62"/>
  <c r="D573" i="62"/>
  <c r="D572" i="62"/>
  <c r="D567" i="62"/>
  <c r="D566" i="62"/>
  <c r="D565" i="62"/>
  <c r="D564" i="62"/>
  <c r="D559" i="62"/>
  <c r="D558" i="62"/>
  <c r="D557" i="62"/>
  <c r="D556" i="62"/>
  <c r="D551" i="62"/>
  <c r="D550" i="62"/>
  <c r="D549" i="62"/>
  <c r="D548" i="62"/>
  <c r="D543" i="62"/>
  <c r="D542" i="62"/>
  <c r="D541" i="62"/>
  <c r="D540" i="62"/>
  <c r="D535" i="62"/>
  <c r="D534" i="62"/>
  <c r="D533" i="62"/>
  <c r="D532" i="62"/>
  <c r="D447" i="62"/>
  <c r="D446" i="62"/>
  <c r="D445" i="62"/>
  <c r="D444" i="62"/>
  <c r="D439" i="62"/>
  <c r="D438" i="62"/>
  <c r="D437" i="62"/>
  <c r="D436" i="62"/>
  <c r="D431" i="62"/>
  <c r="D430" i="62"/>
  <c r="D429" i="62"/>
  <c r="D428" i="62"/>
  <c r="D423" i="62"/>
  <c r="D422" i="62"/>
  <c r="D421" i="62"/>
  <c r="D420" i="62"/>
  <c r="D415" i="62"/>
  <c r="D414" i="62"/>
  <c r="D413" i="62"/>
  <c r="D412" i="62"/>
  <c r="D407" i="62"/>
  <c r="D406" i="62"/>
  <c r="D405" i="62"/>
  <c r="D404" i="62"/>
  <c r="D376" i="62"/>
  <c r="D375" i="62"/>
  <c r="D374" i="62"/>
  <c r="D344" i="62"/>
  <c r="D343" i="62"/>
  <c r="D342" i="62"/>
  <c r="D341" i="62"/>
  <c r="D298" i="62"/>
  <c r="D297" i="62"/>
  <c r="D296" i="62"/>
  <c r="D295" i="62"/>
  <c r="D290" i="62"/>
  <c r="D289" i="62"/>
  <c r="D288" i="62"/>
  <c r="D287" i="62"/>
  <c r="D275" i="62"/>
  <c r="D274" i="62"/>
  <c r="D273" i="62"/>
  <c r="D272" i="62"/>
  <c r="D260" i="62"/>
  <c r="D259" i="62"/>
  <c r="D258" i="62"/>
  <c r="D257" i="62"/>
  <c r="D252" i="62"/>
  <c r="D251" i="62"/>
  <c r="D250" i="62"/>
  <c r="D249" i="62"/>
  <c r="D244" i="62"/>
  <c r="D243" i="62"/>
  <c r="D242" i="62"/>
  <c r="D241" i="62"/>
  <c r="D141" i="62"/>
  <c r="D140" i="62"/>
  <c r="D139" i="62"/>
  <c r="D138" i="62"/>
  <c r="D133" i="62"/>
  <c r="D132" i="62"/>
  <c r="D131" i="62"/>
  <c r="D130" i="62"/>
  <c r="D125" i="62"/>
  <c r="D124" i="62"/>
  <c r="D123" i="62"/>
  <c r="D122" i="62"/>
  <c r="D117" i="62"/>
  <c r="D116" i="62"/>
  <c r="D115" i="62"/>
  <c r="D114" i="62"/>
  <c r="D109" i="62"/>
  <c r="D108" i="62"/>
  <c r="D107" i="62"/>
  <c r="D106" i="62"/>
  <c r="D101" i="62"/>
  <c r="D100" i="62"/>
  <c r="D98" i="62"/>
  <c r="D93" i="62"/>
  <c r="D92" i="62"/>
  <c r="D91" i="62"/>
  <c r="D90" i="62"/>
  <c r="D85" i="62"/>
  <c r="D84" i="62"/>
  <c r="D83" i="62"/>
  <c r="D82" i="62"/>
  <c r="D54" i="62"/>
  <c r="D53" i="62"/>
  <c r="D52" i="62"/>
  <c r="D51" i="62"/>
  <c r="D46" i="62"/>
  <c r="D45" i="62"/>
  <c r="D44" i="62"/>
  <c r="D43" i="62"/>
  <c r="D38" i="62"/>
  <c r="D37" i="62"/>
  <c r="D36" i="62"/>
  <c r="D35" i="62"/>
  <c r="D30" i="62"/>
  <c r="D29" i="62"/>
  <c r="D28" i="62"/>
  <c r="D27" i="62"/>
  <c r="D271" i="62" l="1"/>
  <c r="D1006" i="62"/>
  <c r="D714" i="62"/>
  <c r="D914" i="62"/>
  <c r="D922" i="62"/>
  <c r="D998" i="62"/>
  <c r="D770" i="62"/>
  <c r="D722" i="62"/>
  <c r="D34" i="62"/>
  <c r="D240" i="62"/>
  <c r="D286" i="62"/>
  <c r="D531" i="62"/>
  <c r="D50" i="62"/>
  <c r="D89" i="62"/>
  <c r="D248" i="62"/>
  <c r="D256" i="62"/>
  <c r="D294" i="62"/>
  <c r="D340" i="62"/>
  <c r="D730" i="62"/>
  <c r="D754" i="62"/>
  <c r="D762" i="62"/>
  <c r="D906" i="62"/>
  <c r="D411" i="62"/>
  <c r="D587" i="62"/>
  <c r="D826" i="62"/>
  <c r="D1044" i="62"/>
  <c r="D97" i="62"/>
  <c r="D435" i="62"/>
  <c r="D443" i="62"/>
  <c r="D682" i="62"/>
  <c r="D690" i="62"/>
  <c r="D706" i="62"/>
  <c r="D794" i="62"/>
  <c r="D802" i="62"/>
  <c r="D810" i="62"/>
  <c r="D81" i="62"/>
  <c r="D113" i="62"/>
  <c r="D129" i="62"/>
  <c r="D403" i="62"/>
  <c r="D539" i="62"/>
  <c r="D555" i="62"/>
  <c r="D571" i="62"/>
  <c r="D786" i="62"/>
  <c r="D1028" i="62"/>
  <c r="D1036" i="62"/>
  <c r="D42" i="62"/>
  <c r="D419" i="62"/>
  <c r="D427" i="62"/>
  <c r="D698" i="62"/>
  <c r="D738" i="62"/>
  <c r="D818" i="62"/>
  <c r="D882" i="62"/>
  <c r="D984" i="62"/>
  <c r="D1058" i="62"/>
  <c r="D1072" i="62"/>
  <c r="D1080" i="62"/>
  <c r="D121" i="62"/>
  <c r="D547" i="62"/>
  <c r="D563" i="62"/>
  <c r="D579" i="62"/>
  <c r="D746" i="62"/>
  <c r="D858" i="62"/>
  <c r="D898" i="62"/>
  <c r="D26" i="62"/>
  <c r="D105" i="62"/>
  <c r="D137" i="62"/>
  <c r="D778" i="62"/>
  <c r="D834" i="62"/>
  <c r="D842" i="62"/>
  <c r="D850" i="62"/>
  <c r="D866" i="62"/>
  <c r="D874" i="62"/>
  <c r="D890" i="62"/>
  <c r="D1014" i="62"/>
  <c r="E682" i="62"/>
  <c r="F922" i="62"/>
  <c r="F914" i="62"/>
  <c r="F898" i="62"/>
  <c r="F730" i="62"/>
  <c r="E866" i="62" l="1"/>
  <c r="E882" i="62"/>
  <c r="E730" i="62"/>
  <c r="D677" i="62" l="1"/>
  <c r="D675" i="62"/>
  <c r="D676" i="62"/>
  <c r="D678" i="62"/>
  <c r="I674" i="62"/>
  <c r="G674" i="62"/>
  <c r="H674" i="62"/>
  <c r="F674" i="62"/>
  <c r="D674" i="62" l="1"/>
  <c r="I266" i="62"/>
  <c r="H266" i="62"/>
  <c r="G266" i="62"/>
  <c r="F266" i="62"/>
  <c r="F262" i="62" s="1"/>
  <c r="E266" i="62"/>
  <c r="I265" i="62"/>
  <c r="H265" i="62"/>
  <c r="G265" i="62"/>
  <c r="F265" i="62"/>
  <c r="E265" i="62"/>
  <c r="I264" i="62"/>
  <c r="H264" i="62"/>
  <c r="G264" i="62"/>
  <c r="F264" i="62"/>
  <c r="I263" i="62"/>
  <c r="H263" i="62"/>
  <c r="G263" i="62"/>
  <c r="F263" i="62"/>
  <c r="E263" i="62"/>
  <c r="I236" i="62"/>
  <c r="H236" i="62"/>
  <c r="G236" i="62"/>
  <c r="F236" i="62"/>
  <c r="E236" i="62"/>
  <c r="I235" i="62"/>
  <c r="H235" i="62"/>
  <c r="G235" i="62"/>
  <c r="F235" i="62"/>
  <c r="E235" i="62"/>
  <c r="I234" i="62"/>
  <c r="H234" i="62"/>
  <c r="G234" i="62"/>
  <c r="F234" i="62"/>
  <c r="E234" i="62"/>
  <c r="I233" i="62"/>
  <c r="H233" i="62"/>
  <c r="G233" i="62"/>
  <c r="F233" i="62"/>
  <c r="E233" i="62"/>
  <c r="D22" i="62"/>
  <c r="D21" i="62"/>
  <c r="D20" i="62"/>
  <c r="D19" i="62"/>
  <c r="E262" i="62" l="1"/>
  <c r="G262" i="62"/>
  <c r="H262" i="62"/>
  <c r="I262" i="62"/>
  <c r="D77" i="62"/>
  <c r="D236" i="62"/>
  <c r="D266" i="62"/>
  <c r="D282" i="62"/>
  <c r="D527" i="62"/>
  <c r="D74" i="62"/>
  <c r="D234" i="62"/>
  <c r="D264" i="62"/>
  <c r="D396" i="62"/>
  <c r="D524" i="62"/>
  <c r="D235" i="62"/>
  <c r="D265" i="62"/>
  <c r="D281" i="62"/>
  <c r="D397" i="62"/>
  <c r="D526" i="62"/>
  <c r="D233" i="62"/>
  <c r="D263" i="62"/>
  <c r="D279" i="62"/>
  <c r="D523" i="62"/>
  <c r="F232" i="62"/>
  <c r="I232" i="62"/>
  <c r="H232" i="62"/>
  <c r="G232" i="62"/>
  <c r="G522" i="62"/>
  <c r="H522" i="62"/>
  <c r="F522" i="62"/>
  <c r="I522" i="62"/>
  <c r="I278" i="62"/>
  <c r="G278" i="62"/>
  <c r="F278" i="62"/>
  <c r="H278" i="62"/>
  <c r="E232" i="62"/>
  <c r="D11" i="62"/>
  <c r="D14" i="62"/>
  <c r="D12" i="62"/>
  <c r="D13" i="62"/>
  <c r="D18" i="62"/>
  <c r="D262" i="62" l="1"/>
  <c r="D72" i="62"/>
  <c r="D522" i="62"/>
  <c r="D232" i="62"/>
  <c r="D278" i="62"/>
  <c r="D394" i="62"/>
  <c r="D10" i="62"/>
  <c r="E714" i="62" l="1"/>
  <c r="I1068" i="62"/>
  <c r="H1068" i="62"/>
  <c r="G1068" i="62"/>
  <c r="I1067" i="62"/>
  <c r="H1067" i="62"/>
  <c r="G1067" i="62"/>
  <c r="I1066" i="62"/>
  <c r="H1066" i="62"/>
  <c r="G1066" i="62"/>
  <c r="I1065" i="62"/>
  <c r="H1065" i="62"/>
  <c r="G1065" i="62"/>
  <c r="I1064" i="62"/>
  <c r="H1064" i="62"/>
  <c r="I1054" i="62"/>
  <c r="H1054" i="62"/>
  <c r="G1054" i="62"/>
  <c r="I1053" i="62"/>
  <c r="H1053" i="62"/>
  <c r="G1053" i="62"/>
  <c r="I1052" i="62"/>
  <c r="H1052" i="62"/>
  <c r="G1052" i="62"/>
  <c r="I1051" i="62"/>
  <c r="H1051" i="62"/>
  <c r="G1051" i="62"/>
  <c r="I1050" i="62"/>
  <c r="H1050" i="62"/>
  <c r="G1050" i="62"/>
  <c r="I1024" i="62"/>
  <c r="H1024" i="62"/>
  <c r="G1024" i="62"/>
  <c r="I1023" i="62"/>
  <c r="H1023" i="62"/>
  <c r="G1023" i="62"/>
  <c r="I1022" i="62"/>
  <c r="H1022" i="62"/>
  <c r="G1022" i="62"/>
  <c r="I1021" i="62"/>
  <c r="H1021" i="62"/>
  <c r="G1021" i="62"/>
  <c r="I1020" i="62"/>
  <c r="H1020" i="62"/>
  <c r="G1020" i="62"/>
  <c r="I994" i="62"/>
  <c r="H994" i="62"/>
  <c r="G994" i="62"/>
  <c r="I993" i="62"/>
  <c r="H993" i="62"/>
  <c r="G993" i="62"/>
  <c r="I992" i="62"/>
  <c r="H992" i="62"/>
  <c r="G992" i="62"/>
  <c r="I991" i="62"/>
  <c r="H991" i="62"/>
  <c r="G991" i="62"/>
  <c r="I980" i="62"/>
  <c r="H980" i="62"/>
  <c r="H1171" i="62" s="1"/>
  <c r="G980" i="62"/>
  <c r="I979" i="62"/>
  <c r="H979" i="62"/>
  <c r="G979" i="62"/>
  <c r="I978" i="62"/>
  <c r="H978" i="62"/>
  <c r="G978" i="62"/>
  <c r="I977" i="62"/>
  <c r="H977" i="62"/>
  <c r="G977" i="62"/>
  <c r="I443" i="62"/>
  <c r="G113" i="62"/>
  <c r="G129" i="62"/>
  <c r="G137" i="62"/>
  <c r="G443" i="62"/>
  <c r="G579" i="62"/>
  <c r="G587" i="62"/>
  <c r="G682" i="62"/>
  <c r="G762" i="62"/>
  <c r="G770" i="62"/>
  <c r="G778" i="62"/>
  <c r="G786" i="62"/>
  <c r="G794" i="62"/>
  <c r="G802" i="62"/>
  <c r="G810" i="62"/>
  <c r="G818" i="62"/>
  <c r="G826" i="62"/>
  <c r="G984" i="62"/>
  <c r="G1072" i="62"/>
  <c r="G1080" i="62"/>
  <c r="I1171" i="62" l="1"/>
  <c r="I1168" i="62"/>
  <c r="G1171" i="62"/>
  <c r="G1168" i="62"/>
  <c r="H1168" i="62"/>
  <c r="G1167" i="62"/>
  <c r="G1170" i="62"/>
  <c r="H1167" i="62"/>
  <c r="H1170" i="62"/>
  <c r="I1167" i="62"/>
  <c r="I1170" i="62"/>
  <c r="H976" i="62"/>
  <c r="H990" i="62"/>
  <c r="I976" i="62"/>
  <c r="I990" i="62"/>
  <c r="G976" i="62"/>
  <c r="G990" i="62"/>
  <c r="G1064" i="62"/>
  <c r="G72" i="62"/>
  <c r="H72" i="62"/>
  <c r="I72" i="62"/>
  <c r="H1166" i="62" l="1"/>
  <c r="I1166" i="62"/>
  <c r="G1166" i="62"/>
  <c r="F427" i="62"/>
  <c r="F256" i="62"/>
  <c r="F89" i="62"/>
  <c r="F984" i="62"/>
  <c r="F579" i="62"/>
  <c r="F555" i="62"/>
  <c r="F547" i="62"/>
  <c r="F531" i="62"/>
  <c r="F121" i="62"/>
  <c r="F97" i="62"/>
  <c r="F1065" i="62"/>
  <c r="E1065" i="62"/>
  <c r="F1068" i="62"/>
  <c r="E1068" i="62"/>
  <c r="F1067" i="62"/>
  <c r="E1067" i="62"/>
  <c r="F1066" i="62"/>
  <c r="E1066" i="62"/>
  <c r="F1080" i="62"/>
  <c r="F1072" i="62"/>
  <c r="D1068" i="62" l="1"/>
  <c r="D1066" i="62"/>
  <c r="D1065" i="62"/>
  <c r="D1067" i="62"/>
  <c r="F1064" i="62"/>
  <c r="D1064" i="62" l="1"/>
  <c r="F1054" i="62"/>
  <c r="E1054" i="62"/>
  <c r="F1053" i="62"/>
  <c r="E1053" i="62"/>
  <c r="F1052" i="62"/>
  <c r="E1052" i="62"/>
  <c r="F1051" i="62"/>
  <c r="E1051" i="62"/>
  <c r="F1050" i="62"/>
  <c r="E1058" i="62"/>
  <c r="E1050" i="62" s="1"/>
  <c r="F1024" i="62"/>
  <c r="E1024" i="62"/>
  <c r="F1023" i="62"/>
  <c r="E1023" i="62"/>
  <c r="F1022" i="62"/>
  <c r="F1021" i="62"/>
  <c r="E1021" i="62"/>
  <c r="F1020" i="62"/>
  <c r="E1044" i="62"/>
  <c r="E1036" i="62"/>
  <c r="E1028" i="62"/>
  <c r="F994" i="62"/>
  <c r="E994" i="62"/>
  <c r="F993" i="62"/>
  <c r="E993" i="62"/>
  <c r="F992" i="62"/>
  <c r="E992" i="62"/>
  <c r="F991" i="62"/>
  <c r="E1014" i="62"/>
  <c r="E1006" i="62"/>
  <c r="E998" i="62"/>
  <c r="F980" i="62"/>
  <c r="E980" i="62"/>
  <c r="F979" i="62"/>
  <c r="F1170" i="62" s="1"/>
  <c r="E979" i="62"/>
  <c r="F978" i="62"/>
  <c r="E978" i="62"/>
  <c r="F977" i="62"/>
  <c r="E977" i="62"/>
  <c r="E984" i="62"/>
  <c r="E914" i="62"/>
  <c r="E906" i="62"/>
  <c r="E890" i="62"/>
  <c r="F802" i="62"/>
  <c r="E802" i="62"/>
  <c r="E794" i="62"/>
  <c r="E786" i="62"/>
  <c r="E778" i="62"/>
  <c r="F794" i="62"/>
  <c r="F786" i="62"/>
  <c r="F762" i="62"/>
  <c r="F778" i="62"/>
  <c r="F754" i="62"/>
  <c r="E754" i="62"/>
  <c r="E722" i="62"/>
  <c r="E706" i="62"/>
  <c r="E698" i="62"/>
  <c r="E690" i="62"/>
  <c r="F682" i="62"/>
  <c r="E587" i="62"/>
  <c r="F563" i="62"/>
  <c r="E1170" i="62" l="1"/>
  <c r="D1170" i="62" s="1"/>
  <c r="E1171" i="62"/>
  <c r="E1168" i="62"/>
  <c r="E1167" i="62"/>
  <c r="F1167" i="62"/>
  <c r="F1171" i="62"/>
  <c r="F1168" i="62"/>
  <c r="D1155" i="62"/>
  <c r="D1156" i="62"/>
  <c r="D977" i="62"/>
  <c r="D979" i="62"/>
  <c r="D992" i="62"/>
  <c r="D994" i="62"/>
  <c r="D1022" i="62"/>
  <c r="D1024" i="62"/>
  <c r="D1051" i="62"/>
  <c r="D1053" i="62"/>
  <c r="D991" i="62"/>
  <c r="D993" i="62"/>
  <c r="D1021" i="62"/>
  <c r="D1023" i="62"/>
  <c r="D1052" i="62"/>
  <c r="D1054" i="62"/>
  <c r="D978" i="62"/>
  <c r="D980" i="62"/>
  <c r="F976" i="62"/>
  <c r="E976" i="62"/>
  <c r="F990" i="62"/>
  <c r="E990" i="62"/>
  <c r="E1020" i="62"/>
  <c r="E579" i="62"/>
  <c r="E571" i="62"/>
  <c r="E563" i="62"/>
  <c r="E555" i="62"/>
  <c r="E547" i="62"/>
  <c r="E539" i="62"/>
  <c r="E531" i="62"/>
  <c r="D1167" i="62" l="1"/>
  <c r="E1166" i="62"/>
  <c r="D1168" i="62"/>
  <c r="D1171" i="62"/>
  <c r="F1166" i="62"/>
  <c r="D976" i="62"/>
  <c r="D1020" i="62"/>
  <c r="D1050" i="62"/>
  <c r="D990" i="62"/>
  <c r="E443" i="62"/>
  <c r="E435" i="62"/>
  <c r="E427" i="62"/>
  <c r="E419" i="62"/>
  <c r="E411" i="62"/>
  <c r="E403" i="62"/>
  <c r="F372" i="62"/>
  <c r="F332" i="62" s="1"/>
  <c r="E340" i="62"/>
  <c r="D1153" i="62" l="1"/>
  <c r="D1152" i="62" s="1"/>
  <c r="D335" i="62"/>
  <c r="D334" i="62"/>
  <c r="D336" i="62"/>
  <c r="D373" i="62"/>
  <c r="D372" i="62" s="1"/>
  <c r="E372" i="62"/>
  <c r="E332" i="62" s="1"/>
  <c r="E294" i="62"/>
  <c r="F286" i="62"/>
  <c r="E286" i="62"/>
  <c r="D333" i="62" l="1"/>
  <c r="D332" i="62" s="1"/>
  <c r="E256" i="62"/>
  <c r="E248" i="62"/>
  <c r="E240" i="62"/>
  <c r="E121" i="62"/>
  <c r="E105" i="62"/>
  <c r="E97" i="62"/>
  <c r="E89" i="62"/>
  <c r="E81" i="62"/>
  <c r="F34" i="62"/>
  <c r="F10" i="62" s="1"/>
  <c r="E50" i="62"/>
  <c r="E42" i="62"/>
  <c r="E34" i="62"/>
  <c r="E26" i="62"/>
  <c r="E18" i="62"/>
  <c r="E10" i="62" l="1"/>
  <c r="H443" i="62" l="1"/>
  <c r="D1166" i="62" l="1"/>
  <c r="H874" i="62" l="1"/>
  <c r="H882" i="62"/>
  <c r="I882" i="62"/>
  <c r="I738" i="62"/>
  <c r="H738" i="62"/>
  <c r="H682" i="62"/>
  <c r="I682" i="62"/>
  <c r="I746" i="62"/>
  <c r="H746" i="62"/>
  <c r="H858" i="62"/>
  <c r="H850" i="62"/>
  <c r="I826" i="62"/>
  <c r="H826" i="62"/>
  <c r="I818" i="62"/>
  <c r="H818" i="62"/>
  <c r="I810" i="62"/>
  <c r="H810" i="62"/>
  <c r="H842" i="62" l="1"/>
  <c r="H834" i="62"/>
  <c r="H770" i="62"/>
  <c r="I770" i="62"/>
  <c r="H762" i="62"/>
  <c r="H587" i="62" l="1"/>
  <c r="H579" i="62" l="1"/>
  <c r="I579" i="62"/>
  <c r="D509" i="62" l="1"/>
  <c r="D507" i="62" s="1"/>
</calcChain>
</file>

<file path=xl/sharedStrings.xml><?xml version="1.0" encoding="utf-8"?>
<sst xmlns="http://schemas.openxmlformats.org/spreadsheetml/2006/main" count="3486" uniqueCount="734">
  <si>
    <t>федеральный бюджет</t>
  </si>
  <si>
    <t>краевой бюджет</t>
  </si>
  <si>
    <t>местные бюджеты</t>
  </si>
  <si>
    <t>внебюджетные источники</t>
  </si>
  <si>
    <t xml:space="preserve">мощность </t>
  </si>
  <si>
    <t>Итого</t>
  </si>
  <si>
    <t>наличие ПД</t>
  </si>
  <si>
    <t>переходящий</t>
  </si>
  <si>
    <t>соглашение</t>
  </si>
  <si>
    <t>муниципальная</t>
  </si>
  <si>
    <t>Петропавловск-Камчатский городской округ</t>
  </si>
  <si>
    <t>региональная</t>
  </si>
  <si>
    <t>Елизовский муниципальный район</t>
  </si>
  <si>
    <t>Мильковский муниципальный район</t>
  </si>
  <si>
    <t>Усть-Камчатский муниципальный район</t>
  </si>
  <si>
    <t>Быстринский муниципальный район</t>
  </si>
  <si>
    <t>Министерство строительства Камчатского края</t>
  </si>
  <si>
    <t>вновь начинаемый</t>
  </si>
  <si>
    <t>Министерство транспорта и дорожного строительства Камчатского края</t>
  </si>
  <si>
    <t>КГКУ "Управление автомобильных дорог Камчатского края"</t>
  </si>
  <si>
    <t>Министерство ЖКХ и энергетики Камчатского края</t>
  </si>
  <si>
    <t>Агентство по ветеринарии Камчатского края</t>
  </si>
  <si>
    <t>Министерство здравоохранения Камчатского края</t>
  </si>
  <si>
    <t>Предельные объемы денежных средств, направляемых на реализацию объекта Инвестиционной программы, в разрезе источников финансирования на очередной финансовый год, плановый и прогнозный периоды</t>
  </si>
  <si>
    <t>Приобретение жилых помещений в собственность Камчатского края для обеспечения служебными жилыми помещениями медицинских работников здравоохранения Камчатского края</t>
  </si>
  <si>
    <t>Министерство социального развития и труда Камчатского края</t>
  </si>
  <si>
    <t>1.</t>
  </si>
  <si>
    <t>1.1.</t>
  </si>
  <si>
    <t>1.2.</t>
  </si>
  <si>
    <t>1.3.</t>
  </si>
  <si>
    <t>1.4.</t>
  </si>
  <si>
    <t>1.6.</t>
  </si>
  <si>
    <t>2.</t>
  </si>
  <si>
    <t>3.</t>
  </si>
  <si>
    <t>2.1.</t>
  </si>
  <si>
    <t>2.2.</t>
  </si>
  <si>
    <t>2.3.</t>
  </si>
  <si>
    <t>2.4.</t>
  </si>
  <si>
    <t>3.1.</t>
  </si>
  <si>
    <t>4.</t>
  </si>
  <si>
    <t>4.1.</t>
  </si>
  <si>
    <t>5.</t>
  </si>
  <si>
    <t>5.1.</t>
  </si>
  <si>
    <t>5.2.</t>
  </si>
  <si>
    <t>8.</t>
  </si>
  <si>
    <t>8.1.</t>
  </si>
  <si>
    <t>8.2.</t>
  </si>
  <si>
    <t>9.</t>
  </si>
  <si>
    <t>9.1.</t>
  </si>
  <si>
    <t>10.</t>
  </si>
  <si>
    <t>13.</t>
  </si>
  <si>
    <t>13.1.</t>
  </si>
  <si>
    <t>6.</t>
  </si>
  <si>
    <t>6.1.</t>
  </si>
  <si>
    <t>7.</t>
  </si>
  <si>
    <t>7.1.</t>
  </si>
  <si>
    <t>12.</t>
  </si>
  <si>
    <t>12.1.</t>
  </si>
  <si>
    <t>муниципальные образования в Камчатском крае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</si>
  <si>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</si>
  <si>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государственной (муниципальной) собственности</t>
  </si>
  <si>
    <t>субсидии на софинансирование  капитальных вложений в объекты государственной (муниципальной) собственности</t>
  </si>
  <si>
    <t>субсидии на софинансирование капитальных вложений в объекты государственной (муниципальной) собственности</t>
  </si>
  <si>
    <t>Министерство имущественных и земельных отношений Камчатского края</t>
  </si>
  <si>
    <t>администрации муниципальных образований в Камчатском крае</t>
  </si>
  <si>
    <t>получатель средств краевого бюджета</t>
  </si>
  <si>
    <t>2019 год</t>
  </si>
  <si>
    <t>250 мест 4208,3 м2</t>
  </si>
  <si>
    <t>Министерство культуры Камчатского края</t>
  </si>
  <si>
    <t>государственный (муниципальный) заказчик Камчатского  края</t>
  </si>
  <si>
    <t>11.</t>
  </si>
  <si>
    <t>способ финансового обеспечения осуществления капитальных вложений</t>
  </si>
  <si>
    <t>срок ввода в эксплуатацию и/или нормативный срок реализации объекта Инвестиционной программы</t>
  </si>
  <si>
    <t>застройщик (в отношении объектов Инвестиционной программы государственной собственности Камчатского края, собственности муниципальных образований)</t>
  </si>
  <si>
    <t>форма собственности</t>
  </si>
  <si>
    <t>наименование муниципального образования (муниципальных образований), на территории (ях) которого (ых) расположен (ы) объект (ы) Инвестиционной программы</t>
  </si>
  <si>
    <t>Эссовское сельское поселение</t>
  </si>
  <si>
    <t>Камчатский театр кукол г. Петропавловск-Камчатский</t>
  </si>
  <si>
    <t>Реконструкция автомобильной дороги Петропавловск-Камчатский - Мильково на участке км 208 - км 219</t>
  </si>
  <si>
    <t>Реконструкция автомобильной дороги Петропавловск-Камчатский - Мильково на участке км 220 - км 230</t>
  </si>
  <si>
    <t>Строительство автозимника продленного действия  Анавгай - Палана на участке км 0 - км 16</t>
  </si>
  <si>
    <t>приобретение</t>
  </si>
  <si>
    <t>КГКУ "Служба заказчика Министерства строительства Камчатского края"</t>
  </si>
  <si>
    <t>Министерство специальных программ и по делам казачества Камчатского края</t>
  </si>
  <si>
    <t xml:space="preserve">11,995 км </t>
  </si>
  <si>
    <t>сметная стоимость в ценах соответствующих лет или предполагаемая (предельная) стоимость, либо стоимость приобретения</t>
  </si>
  <si>
    <t>Государственная программа Камчатского края "Развитие здравоохранения Камчатского края"</t>
  </si>
  <si>
    <t>2021 год</t>
  </si>
  <si>
    <t>Соболевский муниципальный район в Камчатском крае</t>
  </si>
  <si>
    <t>Государственная программа Камчатского края  "Развитие образования в Камчатском крае"</t>
  </si>
  <si>
    <t>Государственная программа Камчатского края "Социальная поддержка граждан в Камчатском крае"</t>
  </si>
  <si>
    <t>Государственная программа Камчатского края "Обеспечение доступным и комфортным жильем жителей Камчатского края"</t>
  </si>
  <si>
    <t>Государственная программа Камчатского края "Развитие культуры в Камчатском крае"</t>
  </si>
  <si>
    <t>Государственная программа Камчатского края "Физическая культура, спорт, молодежная политика, отдых и оздоровление детей в Камчатском крае"</t>
  </si>
  <si>
    <t>Государственная программа Камчатского края "Развитие транспортной системы в Камчатском крае"</t>
  </si>
  <si>
    <t>Государственная программа Камчатского края "Развитие транспортной системы в Камчатском крае". Подпрограмма "Развитие пассажирского автомобильного транспорта"</t>
  </si>
  <si>
    <t>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края"</t>
  </si>
  <si>
    <t>Государственная программа Камчатского края "Социальное и экономическое развитие территории с особым статусом "Корякский округ"". Подпрограмма "Обеспечение доступным и комфортным жильем и коммунальными услугами населения Корякского округа".</t>
  </si>
  <si>
    <t>Государственная программа Камчатского края "Социальное и экономическое развитие территории с особым статусом "Корякский округ""</t>
  </si>
  <si>
    <t>Государственная программа Камчатского края "Безопасная Камчатка"</t>
  </si>
  <si>
    <t>Государственная программа Камчатского края "Безопасная Камчатка". Подпрограмма "Защита населения и территорий Камчатского края от чрезвычайных ситуаций, обеспечение пожарной безопасности и развитие гражданской обороны в Камчатском крае"</t>
  </si>
  <si>
    <t xml:space="preserve">Елизовский муниципальный район  </t>
  </si>
  <si>
    <t>9.2.</t>
  </si>
  <si>
    <t>2.5.</t>
  </si>
  <si>
    <t>Агентство по обращению с отходами Камчатского края</t>
  </si>
  <si>
    <t>3.2.</t>
  </si>
  <si>
    <t>450 коек/150 посещений в смену</t>
  </si>
  <si>
    <t>894 260,95 тыс. рублей</t>
  </si>
  <si>
    <t>9.4.</t>
  </si>
  <si>
    <t>9.7.</t>
  </si>
  <si>
    <t>Усть-Большерецкий муниципальный район</t>
  </si>
  <si>
    <t>9.11.</t>
  </si>
  <si>
    <t>Тигильский муниципальный район</t>
  </si>
  <si>
    <t>150 мест</t>
  </si>
  <si>
    <t>Карагинский муниципальный район</t>
  </si>
  <si>
    <t>Соболевский муниципальный район</t>
  </si>
  <si>
    <t>Здание МАУК "Городской дом культуры СРВ". Реконструкция.</t>
  </si>
  <si>
    <t>2020 год</t>
  </si>
  <si>
    <t xml:space="preserve">3,07 км </t>
  </si>
  <si>
    <t xml:space="preserve">Строительство мостового перехода через р. Тигиль на 224 км автомобильной дороги Анавгай - Палана </t>
  </si>
  <si>
    <t>Администрация Петропавловск-Камчатского городского округа</t>
  </si>
  <si>
    <t>3,927 км</t>
  </si>
  <si>
    <t>Автомобильная дорога по ул. Ларина с устройством транспортной развязки и водопропускными сооружениями (от остановки "Кольцо по улице Ларина" до пересечения с магистральной улицей в районе перспективной застройки) в городе Петропавловске-Камчатском</t>
  </si>
  <si>
    <t>1,096 км</t>
  </si>
  <si>
    <t>Администрация Елизовского муниципального района</t>
  </si>
  <si>
    <t xml:space="preserve">Детский сад на 150 мест в с. Соболево Соболевского района </t>
  </si>
  <si>
    <t>сельское поселение "село Вывенка"</t>
  </si>
  <si>
    <t>Вилючинский городской округ</t>
  </si>
  <si>
    <t xml:space="preserve">Городской округ "поселок Палана" </t>
  </si>
  <si>
    <t xml:space="preserve">Администрация городского округа "поселок Палана" </t>
  </si>
  <si>
    <t xml:space="preserve">300 м. куб в сутки </t>
  </si>
  <si>
    <t xml:space="preserve">250 м. куб в сутки </t>
  </si>
  <si>
    <t xml:space="preserve">332,90 куб. м /  сутки </t>
  </si>
  <si>
    <t>Министерство спорта Камчатского края</t>
  </si>
  <si>
    <t>КГБУ "Елизовская рай СББЖ"</t>
  </si>
  <si>
    <t>КГБУ "Быстринская рай СББЖ"</t>
  </si>
  <si>
    <t>2025 год</t>
  </si>
  <si>
    <t>11 994 770,0 тыс. рублей</t>
  </si>
  <si>
    <t xml:space="preserve"> 2022 год</t>
  </si>
  <si>
    <t>Государственная программа Камчатского края "Обращение с отходами производства и потребления в Камчатском крае"</t>
  </si>
  <si>
    <t>90 000,0 тыс. рублей</t>
  </si>
  <si>
    <t>Министерство образования и молодежной политики Камчатского края</t>
  </si>
  <si>
    <t>2022 год</t>
  </si>
  <si>
    <t>2023 год</t>
  </si>
  <si>
    <t>Государственная программа Камчатского края "Развитие здравоохранения Камчатского края". Подпрограмма "Инвестиционные мероприятия в здравоохранении Камчатского края"</t>
  </si>
  <si>
    <t>Государственная программа Камчатского края  "Развитие образования в Камчатском крае". Подпрограмма "Развитие дошкольного, общего образования и дополнительного образования детей в Камчатском крае"</t>
  </si>
  <si>
    <t>Средняя общеобразовательная школа в г. Елизово по ул. Сопочная</t>
  </si>
  <si>
    <t>990 мест</t>
  </si>
  <si>
    <t>Детский сад на 150 мест в п. Оссора Карагинского района</t>
  </si>
  <si>
    <t>2.6.</t>
  </si>
  <si>
    <t>307 108,63                  тыс. рублей</t>
  </si>
  <si>
    <t>2.7.</t>
  </si>
  <si>
    <t>Детский сад в с. Тиличики Олюторского района</t>
  </si>
  <si>
    <t>570 000,00 тыс. рублей</t>
  </si>
  <si>
    <t>Олюторский муниципальный район</t>
  </si>
  <si>
    <t>Строительство детского сада на 30 мест в с. Ковран Тигильского района</t>
  </si>
  <si>
    <t>30 мест</t>
  </si>
  <si>
    <t>257 880,56                     тыс. рублей</t>
  </si>
  <si>
    <t>300 мест</t>
  </si>
  <si>
    <t>Здание. Общеобразовательная школа по проспекту Рыбаков в г. Петропавловск-Камчатский</t>
  </si>
  <si>
    <t>650 мест</t>
  </si>
  <si>
    <t>851 511,62  тыс.рублей</t>
  </si>
  <si>
    <t>Начальная школа по адресу Космический проезд в г.Петропавловске-Камчатском</t>
  </si>
  <si>
    <t>500 мест</t>
  </si>
  <si>
    <t>738 340,61  тыс.рублей</t>
  </si>
  <si>
    <t>Государственная программа Камчатского края "Развитие культуры в Камчатском крае". Подпрограмма "Развитие инфраструктуры в сфере культуры"</t>
  </si>
  <si>
    <t>2022 год, 7 лет</t>
  </si>
  <si>
    <t xml:space="preserve">Администрация Петропавловск-Камчатского городского округа </t>
  </si>
  <si>
    <t>Реконструкция здания КГБУ ДО "Корякская школа искусств им. Д.Б. Кабалевского"</t>
  </si>
  <si>
    <t>Городской округ «посёлок Палана»</t>
  </si>
  <si>
    <t>Государственная программа Камчатского края "Социальная поддержка граждан в Камчатском крае". Подпрограмма "Развитие системы социального обслуживания населения в Камчатском крае"</t>
  </si>
  <si>
    <t>разработка проектной документации</t>
  </si>
  <si>
    <t>Строительство нового корпуса КГАСУ СО "Паратунский дом-интернат для престарелых и инвалидов"</t>
  </si>
  <si>
    <t>100  койко/мест</t>
  </si>
  <si>
    <t>Государственная программа Камчатского края "Физическая культура, спорт, молодежная политика, отдых и оздоровление детей в Камчатском крае". Подпрограмма "Развитие инфраструктуры для занятий физической культурой и спортом"</t>
  </si>
  <si>
    <t>Стадион "Спартак" в г. Петропавловск-Камчатский</t>
  </si>
  <si>
    <t>2020 год, 3 года</t>
  </si>
  <si>
    <t>530 012,31 тыс. рублей</t>
  </si>
  <si>
    <t>7.6.</t>
  </si>
  <si>
    <t>Государственная программа Камчатского края "Обеспечение доступным и комфортным жильем жителей Камчатского края". Подпрограмма "Повышение устойчивости жилых домов, основных объектов и систем жизнеобеспечения"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</si>
  <si>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Федерации". Государственная программа Камчатского края "Обеспечение доступным и комфортным жильем жителей Камчатского края". Подпрограмма "Повышение устойчивости жилых домов, основных объектов и систем жизнеобеспечения"</t>
  </si>
  <si>
    <t>Строительство 2-х многоквартирных 9-этажных жилых домов в районе ул.Карбышева в г. Петропавловске-Камчатском. Жилой дом № 1 (блок-секции № 1,2,3)</t>
  </si>
  <si>
    <t xml:space="preserve">2020 год
                                     </t>
  </si>
  <si>
    <t>7 717,3 м2</t>
  </si>
  <si>
    <t>749 172,46 тыс. рублей</t>
  </si>
  <si>
    <t>Строительство 2-х многоквартирных 9-этажных жилых домов в районе ул.Карбышева в г. Петропавловске-Камчатском. Жилой дом № 2 (блок-секции № 4,5,6)</t>
  </si>
  <si>
    <t>746 135,24 тыс. рублей</t>
  </si>
  <si>
    <t>Многоквартирный жилой дом поз. 15 в микрорайоне "Северо-Западный" в г. Елизово</t>
  </si>
  <si>
    <t xml:space="preserve">2019 год
                                   </t>
  </si>
  <si>
    <t>7 616,11
м2</t>
  </si>
  <si>
    <t>402 748,93 тыс. рублей</t>
  </si>
  <si>
    <t>Государственная программа Камчатского края "Обеспечение доступным и комфортным жильем жителей Камчатского края". Подпрограмма "Обеспечение жилыми помещениями отдельных категорий граждан"</t>
  </si>
  <si>
    <t>Обеспечение  жильем эконом-класса специалистов социальной сферы, а также граждан стоящих в очереди на улучшение жилищных условий</t>
  </si>
  <si>
    <t>Формирование инженерной инфраструктуры в  целях жилищного строительства на территории Корякского округа</t>
  </si>
  <si>
    <t>Администрация сельского поселения "село Тигиль"</t>
  </si>
  <si>
    <t>Сельское поселение "село Тигиль"</t>
  </si>
  <si>
    <t>Государственная программа Камчатского края "Развитие здравоохранения Камчатского края". Подпрограмма "Кадровое обеспечение системы здравоохранения"</t>
  </si>
  <si>
    <t>Строительство офиса врача общей практики в п. Крутогоровский Соболевского района Камчатского края (проектные работы)</t>
  </si>
  <si>
    <r>
      <t>Строительство вертолетных площадок при медицинских организациях</t>
    </r>
    <r>
      <rPr>
        <b/>
        <i/>
        <sz val="36"/>
        <color rgb="FFFF0000"/>
        <rFont val="Times New Roman"/>
        <family val="1"/>
        <charset val="204"/>
      </rPr>
      <t/>
    </r>
  </si>
  <si>
    <t>3.3.</t>
  </si>
  <si>
    <t>Ледовый каток "Вулкан" в г. Петропавловске-Камчатском (в том числе проектные работы)</t>
  </si>
  <si>
    <t>КГБУ "Спортивная школа по хоккею"</t>
  </si>
  <si>
    <t>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края". Подпрограмма "Обеспечение эпизоотического и ветеринарно-санитарного благополучия"</t>
  </si>
  <si>
    <t>субсидии на осуществление капитальных вложений в объекты государственной (муниципальной) собственности бюджетных учреждений</t>
  </si>
  <si>
    <t>6.2.</t>
  </si>
  <si>
    <t>6.3.</t>
  </si>
  <si>
    <t>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края". Подпрограмма "Устойчивое развитие сельских территорий"</t>
  </si>
  <si>
    <t>Строительство, реконструкция, проектирование автомобильных дорог, расположенных в сельской местности</t>
  </si>
  <si>
    <t>7.2.</t>
  </si>
  <si>
    <t>7.3.</t>
  </si>
  <si>
    <t>7.4.</t>
  </si>
  <si>
    <t>7.5.</t>
  </si>
  <si>
    <t>Сейсмоусиление здания ГБУЗ "Петропавловск-Камчатская городская детская поликлиника № 1"</t>
  </si>
  <si>
    <t>Приобретение (строительство) жилых помещений в целях обеспечения жилыми помещениями по договорам социального найма отдельных категорий граждан в соответствии с Законом Камчатского края от 31.03.2009 N 253 «О порядке предоставления жилых помещений жилищного фонда Камчатского края по договорам социального найма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</si>
  <si>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</si>
  <si>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"Энергосбережение и повышение энергетической эффективности в Камчатском крае"</t>
  </si>
  <si>
    <t>8.3.</t>
  </si>
  <si>
    <t>8.4.</t>
  </si>
  <si>
    <t>8.5.</t>
  </si>
  <si>
    <t>8.7.</t>
  </si>
  <si>
    <t>8.8.</t>
  </si>
  <si>
    <t>0,38 кВ</t>
  </si>
  <si>
    <t>Городской округ "поселок Палана"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</si>
  <si>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"Чистая Вода в Камчатском крае"</t>
  </si>
  <si>
    <t>Строительство системы хозяйственно-питьевого водоснабжения с. Лесная Тигильского района (в том числе разработка проектной документации)</t>
  </si>
  <si>
    <t>100 м. куб/сутки</t>
  </si>
  <si>
    <t>сельское поселение  "село Лесная"</t>
  </si>
  <si>
    <t>администрация сельского поселения  "село Лесная"</t>
  </si>
  <si>
    <t>Обустройство водозаборных сооружений с бурением дополнительной скважины и строительством централизованной системы водоснабжения в с. Ивашка, Карагинского района ( в том числе разработка проектной документации)</t>
  </si>
  <si>
    <t>Сельское поселение "село Ивашка"</t>
  </si>
  <si>
    <t>Администрация сельского поселения "село Ивашка"</t>
  </si>
  <si>
    <t>160 510,20 тыс. рублей</t>
  </si>
  <si>
    <t>Обустройство водозаборных сооружений с бурением дополнительной скважины и строительством централизованной системы водоснабжения в с. Апука Олюторского района ( в том числе разработка проектной документации)</t>
  </si>
  <si>
    <t>Сельское поселение "село Апука"</t>
  </si>
  <si>
    <t>Администрация сельского поселения "село Апука"</t>
  </si>
  <si>
    <t>110 408,16 тыс. рублей</t>
  </si>
  <si>
    <t>Строительство водозаборных сооружений и системы водоснабжения села Вывенка Олюторского муниципального района (в том числе разработка проектной документации)</t>
  </si>
  <si>
    <t>Сельское поселение "село Вывенка"</t>
  </si>
  <si>
    <t>Администрация сельского поселения "село Вывенка"</t>
  </si>
  <si>
    <t>Государственная программа Российской Федерации "Обеспечение доступным и комфортным жильём и коммунальными услугами граждан Российской Федерации". 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"Чистая вода в Камчатском крае"</t>
  </si>
  <si>
    <t>Трубопровод водоснабжения протяженностью 12 км в городе Вилючинске Камчатского края</t>
  </si>
  <si>
    <t>12,0 км</t>
  </si>
  <si>
    <t>829 344,00 тыс. руб. 
в ценах 2 кв. 2016 г.</t>
  </si>
  <si>
    <t>Реконструкция внутрипоселковых сетей водопровода пгт. Палана Тигильского района Камчатского края</t>
  </si>
  <si>
    <t>7340,0 п. м.</t>
  </si>
  <si>
    <t>58 736,38 тыс. рублей</t>
  </si>
  <si>
    <t>Подключение (присоединение) к сетям инженерно-технического обеспечения. Реконструкция сетей централизованного теплоснабжения и холодного водоснабжения  улиц Березовая, Зеленая, Южная, Кедровая, пер. Медвежий угол, ул. им. Девяткина, ул. Линейная с. Эссо Быстринского района Камчатского края ( том числе проектные работы)</t>
  </si>
  <si>
    <t>Администрация Эссовского сельского поселения</t>
  </si>
  <si>
    <t>239 696,08 тыс. рублей</t>
  </si>
  <si>
    <t>Государственная программа Камчатского края "Развитие транспортной системы в Камчатском крае". Подпрограмма "Развитие дорожного хозяйства"</t>
  </si>
  <si>
    <t>9.3.</t>
  </si>
  <si>
    <t>Реконструкция автомобильной дороги Елизово - Паратунка на участке мостового перехода через реку Половинка. 2 этап - Берегоукрепление, устройство освещения на набережной</t>
  </si>
  <si>
    <t>Магистраль общегородского значения от поста ГАИ до ул. Академика Королёва с развязкой в микрорайоне Северо-Восток в г. Петропавловске-Камчатском</t>
  </si>
  <si>
    <t>9.6.</t>
  </si>
  <si>
    <t>10,983 км / 76,25 п. м.</t>
  </si>
  <si>
    <t>1 149 437,252 тыс. рублей</t>
  </si>
  <si>
    <t>9.8.</t>
  </si>
  <si>
    <t>1 342 749,831 тыс. рублей</t>
  </si>
  <si>
    <t>9.9.</t>
  </si>
  <si>
    <t>Реконструкция автомобильной дороги Петропавловск-Камчатский – Мильково  на участке км 12 - км 17 с подъездом к федеральной дороге. 1 этап</t>
  </si>
  <si>
    <t>9.12.</t>
  </si>
  <si>
    <t>9.13.</t>
  </si>
  <si>
    <t>9.14.</t>
  </si>
  <si>
    <t>9.15.</t>
  </si>
  <si>
    <t>Строительство автомобильной дороги Анавгай - Палана на участке км 225 - км 231</t>
  </si>
  <si>
    <t>9.16.</t>
  </si>
  <si>
    <t>9.17.</t>
  </si>
  <si>
    <t>9.18.</t>
  </si>
  <si>
    <t>9.19.</t>
  </si>
  <si>
    <t>9.20.</t>
  </si>
  <si>
    <t>Государственная программа Камчатского края "Развитие транспортной системы в Камчатском крае". Подпрограмма "Развитие водного транспорта"</t>
  </si>
  <si>
    <t>9.21.</t>
  </si>
  <si>
    <t>9.22.</t>
  </si>
  <si>
    <t>Приобретение грузопассажирских барж грузоподъёмностью 20 тонн</t>
  </si>
  <si>
    <t>9.23.</t>
  </si>
  <si>
    <t>Приобретение судов на воздушной подушке</t>
  </si>
  <si>
    <t>250 пассажиров, 1,2 тыс. тонн груза в год</t>
  </si>
  <si>
    <t>Обеспечение доступным и комфортным жильем в рамках мероприятий по ликвидации аварийного жилищного фонда на территории Корякского округа</t>
  </si>
  <si>
    <t>Государственная программа Камчатского края "Обращение с отходами производства и потребления в Камчатском крае". Подпрограмма "Развитие комплексной системы обращения с твердыми коммунальными отходами на территории Камчатского края"</t>
  </si>
  <si>
    <t>Строительство отделения врача общей практики, расположенного в Камчатском крае Быстринском муниципальном районе с.Анавгай</t>
  </si>
  <si>
    <t>ГБУЗ КК "Петропавловск-Камчатская городская детская  поликлиника № 1"</t>
  </si>
  <si>
    <t xml:space="preserve"> 180 000,0 тыс.руб.</t>
  </si>
  <si>
    <t>1 350,0             тыс. рублей</t>
  </si>
  <si>
    <t>1 ед.</t>
  </si>
  <si>
    <t>Реконструкция автомобильной дороги Петропавловск-Камчатский - Мильково на участке строительства западного обхода г.Елизово км 27 - км 30 с подъездом к аэропорту</t>
  </si>
  <si>
    <t>14.</t>
  </si>
  <si>
    <t xml:space="preserve">Строительство Камчатской краевой больницы (1 этап)
</t>
  </si>
  <si>
    <t>67 чел/час</t>
  </si>
  <si>
    <t xml:space="preserve">2019 год, 
4 года </t>
  </si>
  <si>
    <t xml:space="preserve">Министерство транспорта и дорожного строительства Камчатского края </t>
  </si>
  <si>
    <t>Реконструкция автомобильной дороги Петропавловск-Камчатский - Мильково на участке км 181 - км 195 (1 этап)</t>
  </si>
  <si>
    <t>7,000 км</t>
  </si>
  <si>
    <t>Реконструкция автомобильной дороги Петропавловск-Камчатский - Мильково на участке км 181 - км 195 (2 этап)</t>
  </si>
  <si>
    <t>7,003 км/ 34,120 п.м.</t>
  </si>
  <si>
    <t>Реконструкция автомобильной дороги Петропавловск-Камчатский - Мильково на участке км 195 - км 208 (1 этап)</t>
  </si>
  <si>
    <t>7,750 км / 40,950 п.м.</t>
  </si>
  <si>
    <t>Реконструкция автомобильной дороги Петропавловск-Камчатский - Мильково на участке км 195 - км 208 (2 этап)</t>
  </si>
  <si>
    <t>5,8540 км</t>
  </si>
  <si>
    <t>2020 год,
 2 года</t>
  </si>
  <si>
    <t xml:space="preserve">Реконструкция автомобильной дороги Петропавловск-Камчатский – Мильково  на участке км 12 - км 17 с подъездом к федеральной дороге» 2 этап </t>
  </si>
  <si>
    <t>2022 год,
 3 года</t>
  </si>
  <si>
    <t xml:space="preserve">4,973 км </t>
  </si>
  <si>
    <t>Реконструкция автомобильной дороги Петропавловск-Камчатский – Мильково  на участке км 12 - км 17 с подъездом к федеральной дороге» 3 этап</t>
  </si>
  <si>
    <t>2023 год,
 3 года</t>
  </si>
  <si>
    <t xml:space="preserve">5 км </t>
  </si>
  <si>
    <t xml:space="preserve">2 419 247,327 (уточнится проектом) </t>
  </si>
  <si>
    <t>2024 год,
5 лет</t>
  </si>
  <si>
    <t>5 807 665,012 (уточнится проектом)</t>
  </si>
  <si>
    <t>15,859 км / 79,67 п.м.</t>
  </si>
  <si>
    <t xml:space="preserve">Строительство автозимника продленного действия  Анавгай -  Палана на участке км 17 - км 33 </t>
  </si>
  <si>
    <t xml:space="preserve">2023 год, 
3 года </t>
  </si>
  <si>
    <t xml:space="preserve">16,26 км </t>
  </si>
  <si>
    <t>2022 год, 
3 года</t>
  </si>
  <si>
    <t xml:space="preserve">6 км / 24,5 п.м. </t>
  </si>
  <si>
    <t xml:space="preserve">5 км / 320,9 п.м. </t>
  </si>
  <si>
    <t>5 км
(уточнится проектом)</t>
  </si>
  <si>
    <t xml:space="preserve">664 174,154 
(уточнится проектом) </t>
  </si>
  <si>
    <t>Строительство автозимника продленного действия Анавгай - Палана на участке км 214 - км 224</t>
  </si>
  <si>
    <t xml:space="preserve">Реконструкция автомобильной дороги  подъезд к совхозу Петропавловский на участке км 0 - км 4 </t>
  </si>
  <si>
    <t xml:space="preserve">2021 год, 
2 года </t>
  </si>
  <si>
    <t>4 км (уточнится проектом)</t>
  </si>
  <si>
    <t>557 630,885 (уточнится проектом)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</si>
  <si>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 (1 этап)</t>
  </si>
  <si>
    <t xml:space="preserve">2023 год,
 3 года </t>
  </si>
  <si>
    <t>5,2 км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</si>
  <si>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 (2 этап)</t>
  </si>
  <si>
    <t>2,8 км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</si>
  <si>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 (3 этап)</t>
  </si>
  <si>
    <t>7,1 км</t>
  </si>
  <si>
    <t xml:space="preserve">2022 год,  
3 года </t>
  </si>
  <si>
    <t>Реконструкция автомобильной дороги Начикинский совхоз - Усть-Большерецк - п. Октябрьский с подъездом к пристани Косоево - колхоз им. Октябрьской революции на участке км 5 - км 15 (в том числе проектные работы)</t>
  </si>
  <si>
    <t>10 км (уточнится проектом)</t>
  </si>
  <si>
    <t>1 277,400 (уточнится проектом)</t>
  </si>
  <si>
    <t>Реконструкция автомобильной дороги Начикинский совхоз - Усть-Большерецк - п. Октябрьский с подъездом к пристани Косоево - колхоз им. Октябрьской революции на участке км 5 - км 15</t>
  </si>
  <si>
    <t>11 км (уточнится проектом)</t>
  </si>
  <si>
    <t>1 339 000,000  (уточнится проектом)</t>
  </si>
  <si>
    <t xml:space="preserve">Реконструкция автомобильной дороги Начикинский совхоз - Усть-Большерецк - п. Октябрьский с подъездом к пристани Косоево - колхоз им. Октябрьской революции на участке км 15 - км 26 </t>
  </si>
  <si>
    <t xml:space="preserve">2024 год,  
3 года </t>
  </si>
  <si>
    <t xml:space="preserve">2019 год,  
2 года </t>
  </si>
  <si>
    <t>326,2 м.(берегоукрепление)</t>
  </si>
  <si>
    <t>62 304,744 тыс.рублей (уточнится проектом)</t>
  </si>
  <si>
    <t>Приобретение автопассажирского парома для организации функционирования паромной переправы через протоку Озерная между п. Усть-Камчатск и п. Крутоберегово – 1 единица</t>
  </si>
  <si>
    <t>приобритение</t>
  </si>
  <si>
    <t>Олюторскиймуниципальный район</t>
  </si>
  <si>
    <t>Реконструкция здания по ул. Карла Маркса, д. 31 под здание автовокзала в г. Петропавловске-Камчатском (в том числе разработка проектной документации)</t>
  </si>
  <si>
    <t>4,0 тыс.чел. в сутки</t>
  </si>
  <si>
    <t>Строительство дорожной инфраструктуры  1-ой очереди  микрорайона МОЛОДЕЖНЫЙ в  Пионерском сельском поселении</t>
  </si>
  <si>
    <t>Администрация Пионерского  сельского поселения</t>
  </si>
  <si>
    <t>Объездная дорога от Петропавловского шоссе до жилого района "Северо-Восток". I этап - от Петропавловского шоссе до ул. Солнечной</t>
  </si>
  <si>
    <t>7,59 км</t>
  </si>
  <si>
    <t>вновь начинаемый объект</t>
  </si>
  <si>
    <t>субсидии на софинансирование капитальных вложений  в объекты государственной (муниципальной) собственности</t>
  </si>
  <si>
    <t>-</t>
  </si>
  <si>
    <t>191,2 м3/сутки</t>
  </si>
  <si>
    <t>72512,24489 тыс. рублей</t>
  </si>
  <si>
    <t>Реконструкция электрических сетей ВЛ 0,38 кВ с КТП 0,4 кВ в посёлке Палана Камчатского края</t>
  </si>
  <si>
    <t>городской округ "поселок Палана"</t>
  </si>
  <si>
    <t>Администрация городского округа "поселок Палана"</t>
  </si>
  <si>
    <t>9.24.</t>
  </si>
  <si>
    <t>9.25.</t>
  </si>
  <si>
    <t>9.26.</t>
  </si>
  <si>
    <t>9.28.</t>
  </si>
  <si>
    <t>9.29.</t>
  </si>
  <si>
    <t>Строительство помещения ветеринарной лечебницы в с. Эссо Быстринского района Камчатского края</t>
  </si>
  <si>
    <t>2019 год, 1 год</t>
  </si>
  <si>
    <t>4681,72 тыс. рублей/2846,04 тыс. рублей</t>
  </si>
  <si>
    <t>Государственная программа Камчатского края "Развитие внутреннего и въездного туризма в Камчатском крае". Подпрограмма "Создание и развитие туристской инфраструктуры в Камчатском крае".</t>
  </si>
  <si>
    <t>Государственная программа Камчатского края "Развитие внутреннего и въездного туризма в Камчатском крае"</t>
  </si>
  <si>
    <t>декабрь 2019 года, 11 месяцев</t>
  </si>
  <si>
    <t xml:space="preserve"> Проектирование и строительство полигона твердых бытовых отходов  в c. Тигиль Тигильского муниципального района (проектные работы)</t>
  </si>
  <si>
    <t>Проектирование и строительство полигона твердых бытовых отходов в городском округе п. Палана (проектные работы)</t>
  </si>
  <si>
    <t>Проектирование и строительство полигона твердых бытовых отходов на территории Мильковского муниципального района (проектные работы)</t>
  </si>
  <si>
    <t>85 368,163 тыс. рублей.</t>
  </si>
  <si>
    <t>Строительство "Пожарного депо на 2 выезда" в п. Озерновский</t>
  </si>
  <si>
    <t xml:space="preserve">переходящий </t>
  </si>
  <si>
    <t>14.1.</t>
  </si>
  <si>
    <t>14.2.</t>
  </si>
  <si>
    <t>Государственная программа Камчатского края "Охрана окружающей среды, воспроизводство и использование природных ресурсов в Камчатском крае"</t>
  </si>
  <si>
    <t>Государственная программа Камчатского края "Охрана окружающей среды, воспроизводство и использование природных ресурсов в Камчатском крае". Подпрограмма "Использование и охрана водных объектов в Камчатском крае".</t>
  </si>
  <si>
    <t>Реконструкция комплекса защитных гидротехнических сооружений (дамба) с. Мильково Камчатский край</t>
  </si>
  <si>
    <t>Реконструкция руслорегулирующнго сооружения реки Половинка, г. Елизово, Елизовский муниципальный район, Камчатский край</t>
  </si>
  <si>
    <t>Министерство природных ресурсов и экологии Камчатского края</t>
  </si>
  <si>
    <t>Министерство природных ресурсов и экологии</t>
  </si>
  <si>
    <t>2021 год, 1,5 года</t>
  </si>
  <si>
    <t>360 000,00 тыс. рублей</t>
  </si>
  <si>
    <t>45 918,36 тыс. руб.</t>
  </si>
  <si>
    <t xml:space="preserve">2020 год </t>
  </si>
  <si>
    <t>275 905,99000                   тыс. рублей</t>
  </si>
  <si>
    <t>1 625 869,68 тыс. рублей</t>
  </si>
  <si>
    <t>497 536,14  тыс. рублей</t>
  </si>
  <si>
    <t>1 343 162,72000  тыс.рублей</t>
  </si>
  <si>
    <t>Общеобразовательная школа на 300 мест в с. Оссора Карагинского района</t>
  </si>
  <si>
    <t>5,297 км / 303,91 п.м.</t>
  </si>
  <si>
    <t xml:space="preserve">Приобретение грузопассажирской баржи грузоподъёмностью 40 тонн </t>
  </si>
  <si>
    <t>1.5.</t>
  </si>
  <si>
    <t>9.27.</t>
  </si>
  <si>
    <t>2.8.</t>
  </si>
  <si>
    <t>8.6.</t>
  </si>
  <si>
    <t>9.5.</t>
  </si>
  <si>
    <t>9.10.</t>
  </si>
  <si>
    <t>9.30.</t>
  </si>
  <si>
    <t>9.31.</t>
  </si>
  <si>
    <t>9.32.</t>
  </si>
  <si>
    <t>9.33.</t>
  </si>
  <si>
    <t>10.1.</t>
  </si>
  <si>
    <t>11.1.</t>
  </si>
  <si>
    <t>11.2.</t>
  </si>
  <si>
    <t>11.3.</t>
  </si>
  <si>
    <t>12.2.</t>
  </si>
  <si>
    <t>12.3.</t>
  </si>
  <si>
    <t>2019-2021 годы</t>
  </si>
  <si>
    <t xml:space="preserve">Строительство помещения  ветеринарного участка КГБУ "Елизовская райСББЖ", п. Сокоч, Елизовский район Камчатского края
</t>
  </si>
  <si>
    <t xml:space="preserve">Приобретение (строительство) жилых помещений в целях формирования специализированного жилищного фонда Камчатского края </t>
  </si>
  <si>
    <t>Реконструкция здания, расположенного по адресу: Камчатский край, Тигильский район, пгт. Палана, ул. Поротова д. 24</t>
  </si>
  <si>
    <t>550 мест/ 176 чел/смену</t>
  </si>
  <si>
    <t>677 894,82 тыс. рублей</t>
  </si>
  <si>
    <t>5.3.</t>
  </si>
  <si>
    <t>Физкультурно-оздоровительный комплекс с плавательным бассейном в г. Петропавловске - Камчатском</t>
  </si>
  <si>
    <t>№ п/п</t>
  </si>
  <si>
    <t>срок подготовки проектной документации</t>
  </si>
  <si>
    <t xml:space="preserve">статус </t>
  </si>
  <si>
    <t>Строительство вертолетных площадок при медицинских организациях</t>
  </si>
  <si>
    <t>"Приложение к постановлению 
Правительства Камчатского края
от 08.11.2018 № 470-П</t>
  </si>
  <si>
    <t>".</t>
  </si>
  <si>
    <t>7.7.</t>
  </si>
  <si>
    <t>Комплекс многоквартирных домов в жилом районе Приморский города Вилючинска Камчатского края</t>
  </si>
  <si>
    <t>8.9.</t>
  </si>
  <si>
    <t>3 769,92 м3/сут.</t>
  </si>
  <si>
    <t xml:space="preserve">2019 год                                   </t>
  </si>
  <si>
    <t>56 500,0 тыс. рублей</t>
  </si>
  <si>
    <t>от 27.06.2014 № 41-1-5-0058-14.</t>
  </si>
  <si>
    <t>Строительство автовокзала регионального значения (проектные работы)</t>
  </si>
  <si>
    <t>2.9.</t>
  </si>
  <si>
    <t>Строительство детского сада по ул. Арсеньева, г. Петропавловск-Камчатский</t>
  </si>
  <si>
    <t>180 мест</t>
  </si>
  <si>
    <t>МКУ "Управление капитального строительства и ремонта" администрации ПКГО</t>
  </si>
  <si>
    <t>Приобретение помещений для реализации программ дошкольного образования в г. Елизово</t>
  </si>
  <si>
    <t>58 мест</t>
  </si>
  <si>
    <t>Администрация Елизовского муницпального района</t>
  </si>
  <si>
    <t>Елизовский муницпальный район</t>
  </si>
  <si>
    <t>2.10.</t>
  </si>
  <si>
    <t>от 28.08.2013 № 41-1-4-0073-13, от 30.08.2013 № 41-1-6-0076-13</t>
  </si>
  <si>
    <t>от 12.07.2017 № 41-1-1-3-0048-17, от 14.07.2017 № 1-1-6-0036-17</t>
  </si>
  <si>
    <t>от 06.12.2016 № 41-1-1-3-0088-16, от 13.02.2017 № 1-1-6-0007-17</t>
  </si>
  <si>
    <t>от 12.11.2017 № 41-1-1-3-0081-17</t>
  </si>
  <si>
    <t>от 23.08.2016 № 41-1-1-3-0060-16, от 24.08.16 № 1-1-6-0039-16</t>
  </si>
  <si>
    <t>от 21.12.2017 № 41-1-1-3-0095-17, от 30.03.2018 № 41-1-0041-18</t>
  </si>
  <si>
    <t>от 30.04.2015 № 41-1-5-0033-15</t>
  </si>
  <si>
    <t xml:space="preserve"> от 25.07.2017 № 41-1-1-3-0050-17, от 06.02.2018 № 41-1-0016-18 </t>
  </si>
  <si>
    <t>от 26.05.2017 № 1-1-6-0021-17, от 11.04.2017 № 41-1-1-3-0026-17</t>
  </si>
  <si>
    <t>от 01.10.2011 № 41-1-5-0093-14, от 01.10.2011 № 41-1-5-0045-14</t>
  </si>
  <si>
    <t>от 25.09.2013 № 41-1-4-0085-13, от 26.09.2013 № 41-1-6-0086-13</t>
  </si>
  <si>
    <t>от 27.02.2015 №41-1-3-0013-15</t>
  </si>
  <si>
    <t>от 18.07.2018 №41-1-1-3-0032-18</t>
  </si>
  <si>
    <t>от 23.12.2016 № 41-1-1-3-0093-16, от 16.06.2017 № 1-1-6-0027-17</t>
  </si>
  <si>
    <t>от 04.12.2017 № 41-1-1-3-0090-17, от 05.12.2017 № 1-1-6-0102-17</t>
  </si>
  <si>
    <t xml:space="preserve"> от 27.02.2018 № 41-1-1-3-0009-18, от 27.02.2018 № 41-1-0026-18</t>
  </si>
  <si>
    <t>типовой проект Арх. № 00014-2011</t>
  </si>
  <si>
    <t>от 30.03.2015 № 41-1-5-0023-15, от 31.03.2015 № 1-1-6-0007-15</t>
  </si>
  <si>
    <t>от 30.03.2015 №41-1-5-0025-15, от 31.03.2015 № 1-1-6-0008-15</t>
  </si>
  <si>
    <t xml:space="preserve"> от 21.08.2017 № 41-1-1-3-0057-17, от 13.10.2017 № 1-1-6-0079-17</t>
  </si>
  <si>
    <t xml:space="preserve">от 20.09.2016 № 41-1-1-3-0066-16, от 28.09.2016 № 1-1-6-0046-16 </t>
  </si>
  <si>
    <t>от 25.12.2012 № 41-1-3-0129-12</t>
  </si>
  <si>
    <t>от 05.07.2016 № 41-1-1-3-0049-16</t>
  </si>
  <si>
    <t>от 17.06.2005 № 1.11-93</t>
  </si>
  <si>
    <t>от 26.12.2017 № 41-1-1-3-0099-17
№ 41-1-0009-18 от 28.01.2018</t>
  </si>
  <si>
    <t xml:space="preserve">от 30.09.2013 № 41-1-5-0091-13, от 30.04.2014 №1-1-6-0016-14 </t>
  </si>
  <si>
    <t>от 30.09.2013 № 41-1-5-0090-13, от 14.05.2014 №1-1-6-0021-14</t>
  </si>
  <si>
    <t>от 14.06.2016 № 41-1-1-3-0040-16</t>
  </si>
  <si>
    <t>от 14.06.2016 № 41-1-1-3-0041-16</t>
  </si>
  <si>
    <t>от 17.06.2016 № 41-1-1-3-0042-16</t>
  </si>
  <si>
    <t>от 19.12.2016 № 41-1-1-3-0089-16, от 21.12.2016 № 1-1-6-0059-16</t>
  </si>
  <si>
    <t>от 03.03.2017 № 41-1-1-3-0013-17</t>
  </si>
  <si>
    <t>от 14.03.2017 № 41-1-1-3-0015-17</t>
  </si>
  <si>
    <t>от 22.09.2017 № 41-1-1-3-0064-17</t>
  </si>
  <si>
    <t xml:space="preserve">от 19.09.2017 № 41-1-1-3-0074-17 </t>
  </si>
  <si>
    <t xml:space="preserve">от 16.10.2017 № 41-1-1-3-0077-17 </t>
  </si>
  <si>
    <t>от 16.10.2017 № 41-1-1-3-0072-17</t>
  </si>
  <si>
    <t>от 28.11.2017 № 41-1-1-3-0089-17</t>
  </si>
  <si>
    <t>от 22.10.2017 № 41-1-1-3-0085-17</t>
  </si>
  <si>
    <t>от 08.12.2017 № 41-1-1-3-0093-17</t>
  </si>
  <si>
    <t>от 23.05.2017 № 41-1-1-3-0033-17</t>
  </si>
  <si>
    <t>от 16.11.2017 № 41-1-1-3-0083-17</t>
  </si>
  <si>
    <t xml:space="preserve">от 02.12.2015 № 41-1-5-0100-15, от 02.12.2015 № 1-1-6-0043-15 </t>
  </si>
  <si>
    <t>от 11.04.2018 № 41-1-1-3-0020-18</t>
  </si>
  <si>
    <t>от 07.07.2016 № 2-1-6-0034-16</t>
  </si>
  <si>
    <t>от 16.08.2017 № 1-1-6-0048-17, от 02.08.2017 № 41-1-1-3-0051-17</t>
  </si>
  <si>
    <t>от 12.04.2018 № 41-1-0053-18, от 05.12.2017 № 41-1-1-3-0091-17</t>
  </si>
  <si>
    <t>Зрительный зал - 282 места , кинозал - 70 мест</t>
  </si>
  <si>
    <t>466 362,73 тыс. рублей</t>
  </si>
  <si>
    <t>156 914,31 тыс. рублей</t>
  </si>
  <si>
    <t>9,36 га</t>
  </si>
  <si>
    <t>70 000 пасс.,94,6 тыс. тонн груза в год</t>
  </si>
  <si>
    <t>12000 пассажиров, 0,5 тыс. тонн груза в год</t>
  </si>
  <si>
    <t>КГКУ «ЦОД»</t>
  </si>
  <si>
    <t>ГУП Камчатского края "Спецтранс"</t>
  </si>
  <si>
    <t>15.</t>
  </si>
  <si>
    <t>15.1.</t>
  </si>
  <si>
    <t>15.2.</t>
  </si>
  <si>
    <t>15.3.</t>
  </si>
  <si>
    <t>Аппарат Губернатора и Правительства Камчатского края</t>
  </si>
  <si>
    <t>Государственная программа Камчатского края "Совершенствование управления имуществом, находящимся в государственной собственности Камчатского края". Подпрограмма "Повышение эффективности управления краевым имуществом"</t>
  </si>
  <si>
    <t>Капитальные вложения в основные средства ГУП "Камчатстройэнергосервис" на проведение реконструкции помещений столовой и Большого зала заседаний, находящихся в здании, расположенном по адресу: г. Петропавловск-Камчатский, пл. Ленина, д.1</t>
  </si>
  <si>
    <t>ГУП КК "Камчатстрой-энергосервис"</t>
  </si>
  <si>
    <t>ГУП КК "Камчатстройэнерго-сервис"</t>
  </si>
  <si>
    <t>227 601,37 тыс. рублей</t>
  </si>
  <si>
    <t>Реконструкция наружного освещения фасада здания,  расположенного по адресу: г. П-Камчатский, пр. Циолковского, д. 52</t>
  </si>
  <si>
    <t>5 041,067 тыс. рублей</t>
  </si>
  <si>
    <t>Модернизация (замена) лифтов в здании Правительства Камчатского края (Дом Советов), расположенного по адресу: г. Петропавловск-Камчатский, пл. Ленина, д. 1, в том числе разработка проектно-сметной документации</t>
  </si>
  <si>
    <t>6 996,118 тыс. рублей</t>
  </si>
  <si>
    <t>Капитальные вложения в основные средства ГУП "Камчатстройэнергосервис" на проведение реконструкции объекта "Административное здание по адресу: г. Петропавловск-Камчатский, улица Советская, 35", разработка проектно-сметной документации</t>
  </si>
  <si>
    <t>11 900,00 тыс. рублей</t>
  </si>
  <si>
    <t>15.4.</t>
  </si>
  <si>
    <t>Государственная программа Камчатского края "Совершенствование управления имуществом, находящимся в государственной собственности Камчатского края"</t>
  </si>
  <si>
    <t>расходы за счет остатков средств краевого бюджета прошлых лет</t>
  </si>
  <si>
    <t>7.8.</t>
  </si>
  <si>
    <t xml:space="preserve">Многоквартирный жилой дом по ул. Строительная в г. Елизово Камчатского края </t>
  </si>
  <si>
    <t>432 146 тыс. рублей</t>
  </si>
  <si>
    <t xml:space="preserve">от 26.03.2018 № 41-1-1-3-0015-18; от 29 03.2018 № 41-1-0039-18 от 29 03.2018 
</t>
  </si>
  <si>
    <t>15.5.</t>
  </si>
  <si>
    <t>Комплекс правосудия в г. Петропавловске-Камчатском. Блоки 5,7. Реконструкция</t>
  </si>
  <si>
    <t>2020 (2019)</t>
  </si>
  <si>
    <t>559218,7230 тыс. рублей</t>
  </si>
  <si>
    <t>от 19.10.2015 № 41-1-5-0086-15; от 14.06.2016 № 2-1-6-0020-16</t>
  </si>
  <si>
    <t>2.11.</t>
  </si>
  <si>
    <t>2500 машино-часов</t>
  </si>
  <si>
    <t>КГПОБУ "Паланский колледж"</t>
  </si>
  <si>
    <t>Городской округ "посёлок Палана"</t>
  </si>
  <si>
    <t>от 14.02.2018 № 41-1-1-3-0006-18</t>
  </si>
  <si>
    <t>Ледовый каток "Вулкан" по ул. Солнечной (в том числе проектные работы)</t>
  </si>
  <si>
    <t xml:space="preserve">Приобретение автопассажирского парома </t>
  </si>
  <si>
    <t xml:space="preserve">Строительство Камчатской краевой больницы (I этап)
</t>
  </si>
  <si>
    <t>Строительство фельдшерско-акушерского пункта Камчатский край, Олюторский муниципальный район, с. Вывенка</t>
  </si>
  <si>
    <t>2.12.</t>
  </si>
  <si>
    <t>Детский сад на 200 мест в  п. Ключи Усть-Камчатского района</t>
  </si>
  <si>
    <t>2.13.</t>
  </si>
  <si>
    <t>2.14.</t>
  </si>
  <si>
    <t>2.15.</t>
  </si>
  <si>
    <t>2.16.</t>
  </si>
  <si>
    <t>2.17.</t>
  </si>
  <si>
    <t>Навес из металлоконструкций над хоккейной площадкой, г. Петропавловск-Камчатский, ул. Солнечная (в том числе проектные работы)</t>
  </si>
  <si>
    <t>6.4.</t>
  </si>
  <si>
    <t>Здание дома культуры на 100 мест в поселке Лесной Новолесновского сельского поселения Елизовского муниципального района (проектные работы)</t>
  </si>
  <si>
    <t>Министерство сельского хозяйства, пищевой и перерабатывающей промышленности Камчатского края</t>
  </si>
  <si>
    <t>Строительство помещения ветеринарной лечебницы в с. Центральные Коряки Елизовского района Камчатского края</t>
  </si>
  <si>
    <t>Строительство 2-х многоквартирных 9-ти этажных жилых домов в районе ул. Карбышева в г. Петропавловске-Камчатском. Жилой дом № 1 (блок-секции № 1,2,3)</t>
  </si>
  <si>
    <t>Строительство 2-х многоквартирных 9-ти этажных жилых домов в районе ул. Карбышева в г. Петропавловске-Камчатском. Жилой дом № 2 (блок-секции № 4,5,6)</t>
  </si>
  <si>
    <t>7.9.</t>
  </si>
  <si>
    <t>Группа смешанной жилой застройки по улице Кутузова в Петропавловск-Камчатском городском округе (проектные работы по привязке проектов повторного применения)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</si>
  <si>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Федерации". Государственная программа Камчатского края "Обеспечение доступным и комфортным жильем жителей Камчатского края". Подпрограмма "Стимулирование развития жилищного строительства"</t>
  </si>
  <si>
    <t>Канализационный коллектор протяженностью 1,218 км с канализационной станцией и очистными сооружениями в жилом районе Рыбачий города Вилючинска Камчатского края</t>
  </si>
  <si>
    <t>Группа смешанной жилой застройки по улице Кутузова в Петропавловск-Камчатском городском округе. Комплексное освоение территорий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</si>
  <si>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Федерации". Государственная программа Камчатского края "Обеспечение доступным и комфортным жильем жителей Камчатского края". Подпрограмма "Обеспечение жилыми помещениями отдельных категорий граждан"</t>
  </si>
  <si>
    <t>7.10.</t>
  </si>
  <si>
    <t>7.11.</t>
  </si>
  <si>
    <t>Переселение граждан из аварийных жилых домов и непригодных для проживания жилых помещений в соответствии с жилищным законодательством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</si>
  <si>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"Чистая вода в Камчатском крае"</t>
  </si>
  <si>
    <t>Проведение мероприятий, направленных на реконструкцию и строительство систем водоснабжения</t>
  </si>
  <si>
    <t>8.10.</t>
  </si>
  <si>
    <t>Приобретение грузопассажирских барж грузоподъёмностью 40 тонн</t>
  </si>
  <si>
    <t>9.34.</t>
  </si>
  <si>
    <t>Реконструкция автомобильной дороги Петропавловск-Камчатский Мильково на участке км 12 – км 17 с подъездом к федеральной дороге (проектные работы)</t>
  </si>
  <si>
    <t>9.35.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</si>
  <si>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16,4» (проектные работы)</t>
  </si>
  <si>
    <t>Реконструкция автомобильной дороги подъезд к совхозу  «Петропавловский» на участке км 0 - км 4 (проектные работы)</t>
  </si>
  <si>
    <t>9.36.</t>
  </si>
  <si>
    <t>9.37.</t>
  </si>
  <si>
    <t>Строительство причальных сооружений через протоку Озерная в Усть-Камчатском районе Камчатского края (проектные работы)</t>
  </si>
  <si>
    <t>Строительство подъезда к стадиону «Спартак» (проектные работы)</t>
  </si>
  <si>
    <t>Государственная программа Камчатского края  "Развитие образования в Камчатском крае". Подпрограмма "Развитие профессионального образования в Камчатском крае"</t>
  </si>
  <si>
    <t>Устройство закрытой площадки для проведения экзаменов по первоначальному управлению транспортным средством на базе КГПОБУ "Паланский колледж"</t>
  </si>
  <si>
    <t>260 мест</t>
  </si>
  <si>
    <t>160 мест</t>
  </si>
  <si>
    <t>410 400,00 тыс. рублей</t>
  </si>
  <si>
    <t>335 400,00 тыс. рублей</t>
  </si>
  <si>
    <t>Администрация Вилючинского городского округа</t>
  </si>
  <si>
    <t>511 157,74 тыс. рублей</t>
  </si>
  <si>
    <t>200 мест</t>
  </si>
  <si>
    <t>Администрация Новолесновского сельского поселения</t>
  </si>
  <si>
    <t xml:space="preserve">     </t>
  </si>
  <si>
    <t>КГУП "Камчатский водоканал"</t>
  </si>
  <si>
    <t>5.4.</t>
  </si>
  <si>
    <t>Реконструкция напорного канализационного коллектора диаметром 700 мм (в том числе проектные работы и государственная экспертиза проектной документации)</t>
  </si>
  <si>
    <t>8.11.</t>
  </si>
  <si>
    <t>4,5 км</t>
  </si>
  <si>
    <t>от 25.01.2016 № 41-1-5-0003-16</t>
  </si>
  <si>
    <t>Проектирование и строительство полигона твердых бытовых отходов  в c. Тигиль Тигильского муниципального района (проектные работы)</t>
  </si>
  <si>
    <t>от 30.09.2015 №  41-1-5-0081-15, от 06.10.2015 № 1-1-6-0039-15</t>
  </si>
  <si>
    <t>Инвестиционная программа Камчатского края на 2019 год и на плановый период 2020-2021 годов и прогнозный период 2022-2023 годов</t>
  </si>
  <si>
    <t>1516 зрительских мест, 74 161 м2</t>
  </si>
  <si>
    <t>2016 год</t>
  </si>
  <si>
    <t>95 414,960 тыс. рублей</t>
  </si>
  <si>
    <t xml:space="preserve">Олюторский муниципальный район </t>
  </si>
  <si>
    <t>№ 41-1-5-0095-14 от 07.10.2014</t>
  </si>
  <si>
    <t>1.7.</t>
  </si>
  <si>
    <t>ГБУЗ КК "Усть-Большерецкая районаая больница"</t>
  </si>
  <si>
    <t>Строительство отделения врача общей практики в с. Хаилино Олюторского муниципального района Камчатского края</t>
  </si>
  <si>
    <t>субсидии на осуществление капитальных вложений в объекты государственной (муниципальной) собственностигосударственным унитарным предприятиям</t>
  </si>
  <si>
    <t>субсидии на осуществление капитальных вложений в объекты государственной (муниципальной) собственности государственным унитарным предприятиям</t>
  </si>
  <si>
    <t>Строительство фельдшерско-акушерского пункта в с. Анавгай Быстринского района Камчатского края</t>
  </si>
  <si>
    <t>ноябрь 2019 года
11 месяцев</t>
  </si>
  <si>
    <t>37 893,88 тыс. рублей</t>
  </si>
  <si>
    <t>от 06.03.2017 № 41-1-1-3-0014-17;
от 30.06.2017 № 1-1-6-0030-17</t>
  </si>
  <si>
    <t>822 719,10 тыс. рублей</t>
  </si>
  <si>
    <t>Государственная программа Камчатского края "Обеспечение доступным и комфортным жильем жителей Камчатского края". Подпрограмма "Стимулирование развития жилищного строительства в Камчатском крае"</t>
  </si>
  <si>
    <t>7.12.</t>
  </si>
  <si>
    <t>7.13.</t>
  </si>
  <si>
    <t>Жилая застройка на улице Пограничной в г. Петропавловске-Камчатском (поз. 1, поз. 2) (разработка проектной документации)</t>
  </si>
  <si>
    <t>Жилая застройка на ул. Арсеньева в г. Петропавловске-Камчатском (разработка проектной документации)</t>
  </si>
  <si>
    <t xml:space="preserve">2019 год
                                     </t>
  </si>
  <si>
    <t>4 700,0 м2</t>
  </si>
  <si>
    <t>446 500,00 тыс. рублей</t>
  </si>
  <si>
    <t>3 200,0 м2</t>
  </si>
  <si>
    <t>304 000,00 тыс. рублей</t>
  </si>
  <si>
    <t>Детский сад по проспекту Циолковского в г. Петропавловск-Камчатский (в том числе проектные работы)</t>
  </si>
  <si>
    <t>Детский сад по ул. Геофизическая в г. Елизово (в том числе проектные работы)</t>
  </si>
  <si>
    <t>Детский сад по ул. Дальневосточная в г. Елизово  (в том числе проектные работы)</t>
  </si>
  <si>
    <t>Детский сад в жилом районе Рыбачий в г. Вилючинск (в том числе проектные работы)</t>
  </si>
  <si>
    <t>445 848,03 тыс. рублей</t>
  </si>
  <si>
    <t>7.14.</t>
  </si>
  <si>
    <t>Переселение граждан из аварийного жилищного фонда в соответствии с жилищным законодательством</t>
  </si>
  <si>
    <t>Строительство сельского учебного комплекса в с.Усть-Хайрюзово, Тигильского района Камчатского края</t>
  </si>
  <si>
    <t>2.18.</t>
  </si>
  <si>
    <t>2016 год, 5 лет</t>
  </si>
  <si>
    <t>265 мест</t>
  </si>
  <si>
    <t>643 189,41636 тыс.рублей</t>
  </si>
  <si>
    <t>положительное заключение гос. экспертизы от 08.08.2011 № 41-1-5-0078-11</t>
  </si>
  <si>
    <t xml:space="preserve">2022 год, 
4 года </t>
  </si>
  <si>
    <t>2022 год,
 4 года</t>
  </si>
  <si>
    <t>2018 год</t>
  </si>
  <si>
    <t xml:space="preserve">4,92143 км </t>
  </si>
  <si>
    <t xml:space="preserve">от 29.11.2018 № 41-1-1-3-005946-2018 </t>
  </si>
  <si>
    <t>Агентство инвестиций и предпринимательства Камчатского края</t>
  </si>
  <si>
    <t>Государственная программа Камчатского края "Развитие экономики и внешнеэкономической деятельности Камчатского края". Подпрограмма "Развитие субъектов малого и среднего предпринимательства"</t>
  </si>
  <si>
    <t>Административные здания для размещения «Бизнес-инкубаторов» по ул. Пограничная в 
г. Петропавловске – Камчатском. Строительство (проектные работы)</t>
  </si>
  <si>
    <t>3 800 кв.м.</t>
  </si>
  <si>
    <t>425570,35607 тыс.руб.</t>
  </si>
  <si>
    <t>16.</t>
  </si>
  <si>
    <t>16.1.</t>
  </si>
  <si>
    <t>Государственная программа Камчатского края "Развитие здравоохранения Камчатского края". Подпрограмма "Профилактика заболеваний и формирование здорового образа жизни. Развитие первичной медико-санитарной помощи"</t>
  </si>
  <si>
    <t>Реконструкция автомобильной дороги Петропавловск-Камчатский - Мильково на участке км 181 - км 195. 1 этап (участок км 181 - км 188)</t>
  </si>
  <si>
    <t>Реконструкция автомобильной дороги Петропавловск-Камчатский - Мильково на участке км 181 - км 195. 2 этап (участок км 188 - км 195)</t>
  </si>
  <si>
    <t>Реконструкция автомобильной дороги Петропавловск-Камчатский - Мильково на участке км 195 - км 208. 1 этап (участок км 195 - км 202)</t>
  </si>
  <si>
    <t>Реконструкция автомобильной дороги Петропавловск-Камчатский - Мильково на участке км 195 - км 208. 2 этап (участок км 202 - км 208)</t>
  </si>
  <si>
    <t xml:space="preserve">Государственная программа Камчатского края "Обеспечение доступным и комфортным жильем жителей Камчатского края". Подпрограмма "Региональная адресная программа по переселению граждан из аварийного жилищного фонда". </t>
  </si>
  <si>
    <t>17.</t>
  </si>
  <si>
    <t>Государственная программа Камчатского края "Развитие экономики и внешнеэкономической деятельности Камчатского края"</t>
  </si>
  <si>
    <t xml:space="preserve">Государственная программа Камчатского края "Содействие занятости населения Камчатского края". </t>
  </si>
  <si>
    <t>17.1.</t>
  </si>
  <si>
    <t xml:space="preserve">Агентство по занятости населения населения и миграционной политике Камчатского края </t>
  </si>
  <si>
    <t>Приобретение  помещения в собственность Камчатского края  в целях повышения качества и доступности предоставления государственных услуг</t>
  </si>
  <si>
    <t xml:space="preserve">Государственная программа Камчатского края "Содействие занятости населения Камчатского края". Подпрограмма "Активная  политика занятости населения и социальная поддержка безработных граждан" </t>
  </si>
  <si>
    <t>Агентство по занятости населения и миграционной политике Камчатского края</t>
  </si>
  <si>
    <t>Краевое государственное казенное учреждение "Центр занятости населения Усть-Большерецкого района"</t>
  </si>
  <si>
    <t>муниципальные образования в Усть-Большерецком районе Камчатского края</t>
  </si>
  <si>
    <t xml:space="preserve">Приобретение специализированного жилищного фонда в с. Тиличики Олюторского района Камчатского края для ветеринарных врачей, переезжающих на постоянное место жительства в Камчатский край
</t>
  </si>
  <si>
    <t>КГБУ "Камчатская краевая СББЖ"</t>
  </si>
  <si>
    <t>1600,00 тыс. рублей среднерыночная цена</t>
  </si>
  <si>
    <t xml:space="preserve">Приобретение специализированного жилищного фонда в с. Тигиль Тигильского района Камчатского края для ветеринарных врачей, переезжающих на постоянное место жительства в Камчатский край
</t>
  </si>
  <si>
    <t>2000,00 тыс. рублей среднерыночная цена</t>
  </si>
  <si>
    <t xml:space="preserve">Реконструкция здания по адресу г. Петропавловск-Камчатский, ул. Тундровая, д. 1А под городскую станцию по борьбе с болезнями животных (в том числе проектные работы)
</t>
  </si>
  <si>
    <t>2020-2021 год, 1-2 года</t>
  </si>
  <si>
    <t>2019-2020</t>
  </si>
  <si>
    <t>Краевое государственное казенное учреждение "Служба заказчика Министерства строительства Камчатского края"</t>
  </si>
  <si>
    <t xml:space="preserve">205 953,36 тыс. рублей </t>
  </si>
  <si>
    <t>6.5.</t>
  </si>
  <si>
    <t>6.6.</t>
  </si>
  <si>
    <t>6.7.</t>
  </si>
  <si>
    <t>Детский сад по ул. Арсеньева в г. Петропавловске-Камчатском</t>
  </si>
  <si>
    <t>Детский сад по ул. Вилюйская, 60 в г. Петропавловске-Камчатский (в том числе проектные работы)</t>
  </si>
  <si>
    <t>средства Фонда содействия реформированию жилищно-коммунального хозяйства</t>
  </si>
  <si>
    <t>5.5.</t>
  </si>
  <si>
    <t>Строительство физкультурно-оздоровительного комплекса с плавательным бассейном, г. Петропавловск-Камчатский, ул. Ленинградская, 120 А (проектные работы)</t>
  </si>
  <si>
    <t>110 чел/час</t>
  </si>
  <si>
    <t xml:space="preserve">Петропавловск-Камчатский городской округ </t>
  </si>
  <si>
    <t>Строительство объекта незавершенного строительства "Реконструкция ВЛ 0,38 кВ с КПТ6/0,4 кВ в п. Палана</t>
  </si>
  <si>
    <t>2.19.</t>
  </si>
  <si>
    <t>Общеобразовательная школа на 250 мест с. Соболево Соболевского района (в том числе проектные работы)</t>
  </si>
  <si>
    <t>120 п.м.</t>
  </si>
  <si>
    <t>Елизовское городское поселение</t>
  </si>
  <si>
    <t>8.12.</t>
  </si>
  <si>
    <t>8.13.</t>
  </si>
  <si>
    <t>100000 м³/сут</t>
  </si>
  <si>
    <t>8.14.</t>
  </si>
  <si>
    <t>8800 М³/сут: 4650 п.м.</t>
  </si>
  <si>
    <t>8.15.</t>
  </si>
  <si>
    <t>4200 м³/час</t>
  </si>
  <si>
    <t>Реконструкция водовода от водозабора до пгт Палана и внутриплощадочных сетей водовода территории совхоза пгт Палана Тигильского района Камчатского края</t>
  </si>
  <si>
    <t>8.16.</t>
  </si>
  <si>
    <t>Администрация городского округа Палана</t>
  </si>
  <si>
    <t>городской округ Палана</t>
  </si>
  <si>
    <t>8.17.</t>
  </si>
  <si>
    <t xml:space="preserve">Реконструкция трансформаторных подстанций системы электроснабжения пос. Озерновский </t>
  </si>
  <si>
    <t>8.18.</t>
  </si>
  <si>
    <t>7930 кВА</t>
  </si>
  <si>
    <t>Администрация городского полселения "поселок Озерновский"</t>
  </si>
  <si>
    <t>29844,76 / 32590,07988тыс. руб.</t>
  </si>
  <si>
    <t>городское полселение "поселок Озерновский"</t>
  </si>
  <si>
    <t>Администрация сельского поселения "село Ковран"</t>
  </si>
  <si>
    <t>сельское поселение село Ковран</t>
  </si>
  <si>
    <t>Обустройство водозаборных сооружений с бурением дополнительной скважины и строительством централизованной системы водоснабжения в с. Ивашка, Карагинского района (в том числе разработка проектной документации)</t>
  </si>
  <si>
    <t>2022 год, 3 года</t>
  </si>
  <si>
    <t>2019 год, 2 года</t>
  </si>
  <si>
    <t>250 мест</t>
  </si>
  <si>
    <t>608 000,0 тыс.рублей</t>
  </si>
  <si>
    <t>разработка проектной документаци</t>
  </si>
  <si>
    <t>положительное заключение гос. экспертизы проектной документации от 13.02.2019                                                                     № 41-1-1-3003243-2019</t>
  </si>
  <si>
    <t>Прокладка водопроводных сетей в районе ул. Старикова с подключением к централизованной системе холодного водоснабжения домов по пер. Сосновый № 3, № 4, № 5, № 6, № 7, № 8, № 9, г. Елизово  (в том числе разработка проектной документации)</t>
  </si>
  <si>
    <t>Разработка проектной документации,вновь начинаемый</t>
  </si>
  <si>
    <t>Освоение Восточного участка Быстринского месторождения подземных питьевых вод, строительство Быстринского водозабора, строительство магистрального водовода до г. Петропавловск-Камчатского (в том числе разработка проектной документации)</t>
  </si>
  <si>
    <t xml:space="preserve">Разработка проектной документации </t>
  </si>
  <si>
    <t>Реконструкция и строительство сетей и сооружений канализации мкр. 26 км, Елизовского городского поселения. Напорный канализационный коллектор от ул. Луговая до КОС-29 км (в том числе разработка проектной документации)</t>
  </si>
  <si>
    <t>Реконструкция насосной станции второго подъема и закрытое распределительное устройство (ЗРУ-6 кВ) «Авачинского водозабора» филиал «Елизовский» (в том числе разработка проектной документации)</t>
  </si>
  <si>
    <t>Субсидия на софинансирование  капитальных вложений в объекты государственной (муниципальной) собственности</t>
  </si>
  <si>
    <t>Проектная документация в наличии, положительное заключение государственной экспертизы №41-1-5-0037-13</t>
  </si>
  <si>
    <t>Строительство водозаборных сооружений и системы водоснабжения села Ковран Тигильского муниципального района (в том числе разработка проектной документации)</t>
  </si>
  <si>
    <t>Проектная документация разработана, представлена на государственную экспертизу</t>
  </si>
  <si>
    <t>Проектная документация в наличии, положительное заключение от 06.04.2018 № 41-1-0049-18</t>
  </si>
  <si>
    <t>5.6.</t>
  </si>
  <si>
    <t>Региональный спортивно-тренировочный центр по зимним видам спорта у подножия вулкана «Авачинский», Камчатский край</t>
  </si>
  <si>
    <t>2020 год, 2 года</t>
  </si>
  <si>
    <t>60 чел</t>
  </si>
  <si>
    <t>КГАУ СШОР "Морозная"</t>
  </si>
  <si>
    <t>220 371,13 тыс. рублей</t>
  </si>
  <si>
    <t>от 31.05.2018                                            № 41-1-1-3-0031-18                                             от 24.12.2018 № 41-1-0281-18</t>
  </si>
  <si>
    <t>средства Пенсионного фонда Российской Федерации</t>
  </si>
  <si>
    <t>7.15.</t>
  </si>
  <si>
    <t>Многоквартирная застройка по ул. Строительной и ул. Мирной в г. Елизово Камчатского края (проектные работы)</t>
  </si>
  <si>
    <t>2019-2020 годы, 2 года</t>
  </si>
  <si>
    <t>13,3 тыс. м2</t>
  </si>
  <si>
    <t xml:space="preserve">Государственная программа Камчатского края "Обеспечение доступным и комфортным жильем жителей Камчатского края". Подпрограмма "Стимулирование развития жилищного строительства". </t>
  </si>
  <si>
    <t>Реконструкция автомобильной дороги Начикинский совхоз – Усть-Большерецк – п.Октябрьский с подъездом к пристани Косоево – колхоз им.Октябрьской революции 0 – 107,2 км на участке км 0 – км 5 (в том числе проектные работы)</t>
  </si>
  <si>
    <t>Государственная программа Камчатского края "Обеспечение доступным и комфортным жильем жителей Камчатского края". Подпрограмма "Переселение граждан из аварийных жилых домов и непригодных для проживания жилых помещений"</t>
  </si>
  <si>
    <t>Приложение к постановлению 
Правительства Камчатского края 
от 14.06.2019 № 269-П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</si>
</sst>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36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2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Alignment="1"/>
    <xf numFmtId="0" fontId="3" fillId="0" borderId="0" xfId="0" applyFont="1" applyFill="1" applyAlignment="1"/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/>
    <xf numFmtId="165" fontId="3" fillId="2" borderId="1" xfId="0" applyNumberFormat="1" applyFont="1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vertical="center" wrapText="1"/>
    </xf>
    <xf numFmtId="0" fontId="3" fillId="2" borderId="0" xfId="0" applyFont="1" applyFill="1"/>
    <xf numFmtId="165" fontId="3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horizontal="right" wrapText="1"/>
    </xf>
    <xf numFmtId="0" fontId="5" fillId="0" borderId="0" xfId="0" applyFont="1"/>
    <xf numFmtId="165" fontId="3" fillId="0" borderId="1" xfId="0" applyNumberFormat="1" applyFont="1" applyFill="1" applyBorder="1" applyAlignment="1">
      <alignment horizontal="right" wrapText="1"/>
    </xf>
    <xf numFmtId="165" fontId="3" fillId="0" borderId="2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vertical="center" wrapText="1"/>
    </xf>
    <xf numFmtId="1" fontId="3" fillId="3" borderId="11" xfId="0" applyNumberFormat="1" applyFont="1" applyFill="1" applyBorder="1" applyAlignment="1">
      <alignment horizontal="center" vertical="center" wrapText="1"/>
    </xf>
    <xf numFmtId="1" fontId="3" fillId="3" borderId="1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165" fontId="3" fillId="2" borderId="1" xfId="0" applyNumberFormat="1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center" vertical="center" wrapText="1"/>
    </xf>
    <xf numFmtId="1" fontId="3" fillId="3" borderId="7" xfId="0" applyNumberFormat="1" applyFont="1" applyFill="1" applyBorder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center" vertical="center" wrapText="1"/>
    </xf>
    <xf numFmtId="1" fontId="3" fillId="3" borderId="0" xfId="0" applyNumberFormat="1" applyFont="1" applyFill="1" applyBorder="1" applyAlignment="1">
      <alignment horizontal="center" vertical="center" wrapText="1"/>
    </xf>
    <xf numFmtId="1" fontId="3" fillId="3" borderId="9" xfId="0" applyNumberFormat="1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 wrapText="1"/>
    </xf>
    <xf numFmtId="1" fontId="3" fillId="3" borderId="11" xfId="0" applyNumberFormat="1" applyFont="1" applyFill="1" applyBorder="1" applyAlignment="1">
      <alignment horizontal="center" vertical="center" wrapText="1"/>
    </xf>
    <xf numFmtId="1" fontId="3" fillId="3" borderId="1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justify" vertical="top" wrapText="1"/>
    </xf>
    <xf numFmtId="0" fontId="3" fillId="0" borderId="17" xfId="0" applyFont="1" applyFill="1" applyBorder="1" applyAlignment="1">
      <alignment horizontal="justify" vertical="top" wrapText="1"/>
    </xf>
    <xf numFmtId="0" fontId="3" fillId="0" borderId="18" xfId="0" applyFont="1" applyFill="1" applyBorder="1" applyAlignment="1">
      <alignment horizontal="justify" vertical="top" wrapText="1"/>
    </xf>
    <xf numFmtId="16" fontId="3" fillId="0" borderId="13" xfId="0" applyNumberFormat="1" applyFont="1" applyFill="1" applyBorder="1" applyAlignment="1">
      <alignment horizontal="left" vertical="top" wrapText="1"/>
    </xf>
    <xf numFmtId="16" fontId="3" fillId="0" borderId="14" xfId="0" applyNumberFormat="1" applyFont="1" applyFill="1" applyBorder="1" applyAlignment="1">
      <alignment horizontal="left" vertical="top" wrapText="1"/>
    </xf>
    <xf numFmtId="16" fontId="3" fillId="0" borderId="15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left" vertical="top" wrapText="1"/>
    </xf>
    <xf numFmtId="16" fontId="3" fillId="2" borderId="13" xfId="0" applyNumberFormat="1" applyFont="1" applyFill="1" applyBorder="1" applyAlignment="1">
      <alignment horizontal="left" vertical="top" wrapText="1"/>
    </xf>
    <xf numFmtId="16" fontId="3" fillId="2" borderId="14" xfId="0" applyNumberFormat="1" applyFont="1" applyFill="1" applyBorder="1" applyAlignment="1">
      <alignment horizontal="left" vertical="top" wrapText="1"/>
    </xf>
    <xf numFmtId="16" fontId="3" fillId="2" borderId="15" xfId="0" applyNumberFormat="1" applyFont="1" applyFill="1" applyBorder="1" applyAlignment="1">
      <alignment horizontal="left" vertical="top" wrapText="1"/>
    </xf>
    <xf numFmtId="165" fontId="3" fillId="0" borderId="2" xfId="0" applyNumberFormat="1" applyFont="1" applyFill="1" applyBorder="1" applyAlignment="1">
      <alignment horizontal="center" vertical="center" textRotation="90" wrapText="1"/>
    </xf>
    <xf numFmtId="165" fontId="3" fillId="0" borderId="3" xfId="0" applyNumberFormat="1" applyFont="1" applyFill="1" applyBorder="1" applyAlignment="1">
      <alignment horizontal="center" vertical="center" textRotation="90" wrapText="1"/>
    </xf>
    <xf numFmtId="165" fontId="3" fillId="0" borderId="4" xfId="0" applyNumberFormat="1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left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top" wrapText="1"/>
    </xf>
    <xf numFmtId="1" fontId="3" fillId="3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left" vertical="top" wrapText="1"/>
    </xf>
    <xf numFmtId="1" fontId="3" fillId="3" borderId="13" xfId="0" applyNumberFormat="1" applyFont="1" applyFill="1" applyBorder="1" applyAlignment="1">
      <alignment horizontal="left" vertical="top" wrapText="1"/>
    </xf>
    <xf numFmtId="1" fontId="3" fillId="3" borderId="15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justify" vertical="top" wrapText="1"/>
    </xf>
    <xf numFmtId="1" fontId="3" fillId="3" borderId="13" xfId="0" applyNumberFormat="1" applyFont="1" applyFill="1" applyBorder="1" applyAlignment="1">
      <alignment horizontal="center" vertical="center" wrapText="1"/>
    </xf>
    <xf numFmtId="1" fontId="3" fillId="3" borderId="14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165" fontId="3" fillId="2" borderId="2" xfId="0" applyNumberFormat="1" applyFont="1" applyFill="1" applyBorder="1" applyAlignment="1">
      <alignment horizontal="center" vertical="center" textRotation="90" wrapText="1"/>
    </xf>
    <xf numFmtId="165" fontId="3" fillId="2" borderId="3" xfId="0" applyNumberFormat="1" applyFont="1" applyFill="1" applyBorder="1" applyAlignment="1">
      <alignment horizontal="center" vertical="center" textRotation="90" wrapText="1"/>
    </xf>
    <xf numFmtId="165" fontId="3" fillId="2" borderId="4" xfId="0" applyNumberFormat="1" applyFont="1" applyFill="1" applyBorder="1" applyAlignment="1">
      <alignment horizontal="center" vertical="center" textRotation="90" wrapText="1"/>
    </xf>
    <xf numFmtId="1" fontId="3" fillId="0" borderId="13" xfId="0" applyNumberFormat="1" applyFont="1" applyBorder="1" applyAlignment="1">
      <alignment horizontal="left" vertical="top" wrapText="1"/>
    </xf>
    <xf numFmtId="1" fontId="3" fillId="0" borderId="14" xfId="0" applyNumberFormat="1" applyFont="1" applyBorder="1" applyAlignment="1">
      <alignment horizontal="left" vertical="top" wrapText="1"/>
    </xf>
    <xf numFmtId="1" fontId="3" fillId="0" borderId="15" xfId="0" applyNumberFormat="1" applyFont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3" fontId="7" fillId="0" borderId="0" xfId="0" applyNumberFormat="1" applyFont="1" applyBorder="1" applyAlignment="1">
      <alignment horizontal="right" vertical="center" wrapText="1"/>
    </xf>
    <xf numFmtId="164" fontId="3" fillId="0" borderId="2" xfId="3" applyFont="1" applyFill="1" applyBorder="1" applyAlignment="1">
      <alignment horizontal="center" vertical="center" wrapText="1"/>
    </xf>
    <xf numFmtId="164" fontId="3" fillId="0" borderId="3" xfId="3" applyFont="1" applyFill="1" applyBorder="1" applyAlignment="1">
      <alignment horizontal="center" vertical="center" wrapText="1"/>
    </xf>
    <xf numFmtId="164" fontId="3" fillId="0" borderId="4" xfId="3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justify" vertical="top" wrapText="1"/>
    </xf>
    <xf numFmtId="0" fontId="3" fillId="4" borderId="11" xfId="0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3" fillId="3" borderId="13" xfId="0" applyNumberFormat="1" applyFont="1" applyFill="1" applyBorder="1" applyAlignment="1">
      <alignment horizontal="left" vertical="center" wrapText="1"/>
    </xf>
    <xf numFmtId="1" fontId="3" fillId="3" borderId="15" xfId="0" applyNumberFormat="1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left" vertical="top" wrapText="1"/>
    </xf>
    <xf numFmtId="165" fontId="3" fillId="0" borderId="22" xfId="0" applyNumberFormat="1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justify" vertical="top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1" fontId="3" fillId="0" borderId="13" xfId="0" applyNumberFormat="1" applyFont="1" applyBorder="1" applyAlignment="1">
      <alignment horizontal="left" vertical="center" wrapText="1"/>
    </xf>
    <xf numFmtId="1" fontId="3" fillId="0" borderId="14" xfId="0" applyNumberFormat="1" applyFont="1" applyBorder="1" applyAlignment="1">
      <alignment horizontal="left" vertical="center" wrapText="1"/>
    </xf>
    <xf numFmtId="1" fontId="3" fillId="0" borderId="1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</cellXfs>
  <cellStyles count="4">
    <cellStyle name="Денежный" xfId="3" builtinId="4"/>
    <cellStyle name="Обычный" xfId="0" builtinId="0"/>
    <cellStyle name="Обычный 2" xfId="1"/>
    <cellStyle name="Обычный 3 3" xfId="2"/>
  </cellStyles>
  <dxfs count="0"/>
  <tableStyles count="0" defaultTableStyle="TableStyleMedium2" defaultPivotStyle="PivotStyleLight16"/>
  <colors>
    <mruColors>
      <color rgb="FFAAFE22"/>
      <color rgb="FFFA856E"/>
      <color rgb="FFCCFFCC"/>
      <color rgb="FFFFCCCC"/>
      <color rgb="FFFDC9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W1175"/>
  <sheetViews>
    <sheetView tabSelected="1" view="pageBreakPreview" zoomScale="78" zoomScaleNormal="10" zoomScaleSheetLayoutView="78" workbookViewId="0">
      <selection activeCell="A5" sqref="A5:V5"/>
    </sheetView>
  </sheetViews>
  <sheetFormatPr defaultColWidth="11.5703125" defaultRowHeight="12.75" x14ac:dyDescent="0.2"/>
  <cols>
    <col min="1" max="1" width="5.5703125" style="1" customWidth="1"/>
    <col min="2" max="2" width="11.5703125" style="2"/>
    <col min="3" max="3" width="11.5703125" style="1"/>
    <col min="4" max="4" width="16" style="1" bestFit="1" customWidth="1"/>
    <col min="5" max="8" width="15" style="1" bestFit="1" customWidth="1"/>
    <col min="9" max="9" width="13.5703125" style="1" bestFit="1" customWidth="1"/>
    <col min="10" max="11" width="11.7109375" style="1" bestFit="1" customWidth="1"/>
    <col min="12" max="12" width="21.85546875" style="1" customWidth="1"/>
    <col min="13" max="15" width="11.7109375" style="1" bestFit="1" customWidth="1"/>
    <col min="16" max="16" width="14.42578125" style="1" customWidth="1"/>
    <col min="17" max="18" width="11.7109375" style="1" bestFit="1" customWidth="1"/>
    <col min="19" max="19" width="14.140625" style="1" customWidth="1"/>
    <col min="20" max="22" width="11.7109375" style="1" bestFit="1" customWidth="1"/>
    <col min="23" max="16384" width="11.5703125" style="1"/>
  </cols>
  <sheetData>
    <row r="1" spans="1:22" ht="75.75" customHeight="1" x14ac:dyDescent="0.4">
      <c r="R1" s="128" t="s">
        <v>733</v>
      </c>
      <c r="S1" s="128"/>
      <c r="T1" s="128"/>
      <c r="U1" s="128"/>
      <c r="V1" s="128"/>
    </row>
    <row r="2" spans="1:22" ht="18.75" customHeight="1" x14ac:dyDescent="0.4">
      <c r="O2" s="15"/>
      <c r="P2" s="15"/>
      <c r="Q2" s="15"/>
      <c r="R2" s="129"/>
      <c r="S2" s="129"/>
      <c r="T2" s="129"/>
      <c r="U2" s="129"/>
      <c r="V2" s="129"/>
    </row>
    <row r="3" spans="1:22" ht="73.5" customHeight="1" x14ac:dyDescent="0.4">
      <c r="R3" s="128" t="s">
        <v>422</v>
      </c>
      <c r="S3" s="128"/>
      <c r="T3" s="128"/>
      <c r="U3" s="128"/>
      <c r="V3" s="128"/>
    </row>
    <row r="4" spans="1:22" s="3" customFormat="1" ht="25.5" customHeight="1" x14ac:dyDescent="0.2">
      <c r="B4" s="4"/>
      <c r="Q4" s="111"/>
      <c r="R4" s="111"/>
      <c r="S4" s="111"/>
      <c r="T4" s="111"/>
      <c r="U4" s="111"/>
      <c r="V4" s="111"/>
    </row>
    <row r="5" spans="1:22" s="3" customFormat="1" ht="36" customHeight="1" x14ac:dyDescent="0.2">
      <c r="A5" s="107" t="s">
        <v>588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</row>
    <row r="6" spans="1:22" ht="5.25" customHeight="1" x14ac:dyDescent="0.2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</row>
    <row r="7" spans="1:22" ht="142.5" customHeight="1" x14ac:dyDescent="0.2">
      <c r="A7" s="23" t="s">
        <v>418</v>
      </c>
      <c r="B7" s="108" t="s">
        <v>23</v>
      </c>
      <c r="C7" s="108"/>
      <c r="D7" s="23" t="s">
        <v>5</v>
      </c>
      <c r="E7" s="23" t="s">
        <v>66</v>
      </c>
      <c r="F7" s="23" t="s">
        <v>117</v>
      </c>
      <c r="G7" s="23" t="s">
        <v>87</v>
      </c>
      <c r="H7" s="23" t="s">
        <v>142</v>
      </c>
      <c r="I7" s="23" t="s">
        <v>143</v>
      </c>
      <c r="J7" s="5" t="s">
        <v>72</v>
      </c>
      <c r="K7" s="5" t="s">
        <v>419</v>
      </c>
      <c r="L7" s="5" t="s">
        <v>71</v>
      </c>
      <c r="M7" s="5" t="s">
        <v>4</v>
      </c>
      <c r="N7" s="5" t="s">
        <v>65</v>
      </c>
      <c r="O7" s="5" t="s">
        <v>69</v>
      </c>
      <c r="P7" s="5" t="s">
        <v>73</v>
      </c>
      <c r="Q7" s="5" t="s">
        <v>85</v>
      </c>
      <c r="R7" s="5" t="s">
        <v>74</v>
      </c>
      <c r="S7" s="5" t="s">
        <v>75</v>
      </c>
      <c r="T7" s="5" t="s">
        <v>420</v>
      </c>
      <c r="U7" s="6" t="s">
        <v>8</v>
      </c>
      <c r="V7" s="6" t="s">
        <v>6</v>
      </c>
    </row>
    <row r="8" spans="1:22" s="8" customFormat="1" x14ac:dyDescent="0.2">
      <c r="A8" s="7">
        <v>1</v>
      </c>
      <c r="B8" s="109">
        <v>2</v>
      </c>
      <c r="C8" s="109"/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7">
        <v>18</v>
      </c>
      <c r="T8" s="7">
        <v>19</v>
      </c>
      <c r="U8" s="7">
        <v>20</v>
      </c>
      <c r="V8" s="7">
        <v>21</v>
      </c>
    </row>
    <row r="9" spans="1:22" s="8" customFormat="1" x14ac:dyDescent="0.2">
      <c r="A9" s="31" t="s">
        <v>26</v>
      </c>
      <c r="B9" s="116" t="s">
        <v>86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</row>
    <row r="10" spans="1:22" s="8" customFormat="1" x14ac:dyDescent="0.2">
      <c r="A10" s="32"/>
      <c r="B10" s="76" t="s">
        <v>5</v>
      </c>
      <c r="C10" s="76"/>
      <c r="D10" s="14">
        <f>SUM(D11:D14)</f>
        <v>4390123.1608699998</v>
      </c>
      <c r="E10" s="14">
        <f>E18+E26+E34+E42+E50+E58+E66</f>
        <v>1757023.16087</v>
      </c>
      <c r="F10" s="14">
        <f t="shared" ref="F10:H11" si="0">F18+F26+F34+F42+F50+F58+F66</f>
        <v>2633100</v>
      </c>
      <c r="G10" s="14">
        <f t="shared" si="0"/>
        <v>0</v>
      </c>
      <c r="H10" s="14">
        <f t="shared" si="0"/>
        <v>0</v>
      </c>
      <c r="I10" s="14">
        <f>I18+I26+I34+I42+I50+I58+I66</f>
        <v>0</v>
      </c>
      <c r="J10" s="34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6"/>
    </row>
    <row r="11" spans="1:22" x14ac:dyDescent="0.2">
      <c r="A11" s="32"/>
      <c r="B11" s="76" t="s">
        <v>0</v>
      </c>
      <c r="C11" s="76"/>
      <c r="D11" s="14">
        <f>E11+F11+G11+H11+I11</f>
        <v>3971400</v>
      </c>
      <c r="E11" s="14">
        <f>E19+E27+E35+E43+E51+E59+E67</f>
        <v>1470000</v>
      </c>
      <c r="F11" s="14">
        <f t="shared" si="0"/>
        <v>2501400</v>
      </c>
      <c r="G11" s="14">
        <f t="shared" si="0"/>
        <v>0</v>
      </c>
      <c r="H11" s="14">
        <f t="shared" si="0"/>
        <v>0</v>
      </c>
      <c r="I11" s="14">
        <f>I19+I27+I35+I43+I51+I59+I67</f>
        <v>0</v>
      </c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9"/>
    </row>
    <row r="12" spans="1:22" x14ac:dyDescent="0.2">
      <c r="A12" s="32"/>
      <c r="B12" s="76" t="s">
        <v>1</v>
      </c>
      <c r="C12" s="76"/>
      <c r="D12" s="14">
        <f>E12+F12+G12+H12+I12</f>
        <v>418723.16086999996</v>
      </c>
      <c r="E12" s="14">
        <f t="shared" ref="E12:I12" si="1">E20+E28+E36+E44+E52+E60+E68</f>
        <v>287023.16086999996</v>
      </c>
      <c r="F12" s="14">
        <f t="shared" si="1"/>
        <v>131700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37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9"/>
    </row>
    <row r="13" spans="1:22" x14ac:dyDescent="0.2">
      <c r="A13" s="32"/>
      <c r="B13" s="76" t="s">
        <v>2</v>
      </c>
      <c r="C13" s="76"/>
      <c r="D13" s="14">
        <f>E13+F13+G13+H13+I13</f>
        <v>0</v>
      </c>
      <c r="E13" s="14">
        <f t="shared" ref="E13:I13" si="2">E21+E29+E37+E45+E53+E61+E69</f>
        <v>0</v>
      </c>
      <c r="F13" s="14">
        <f t="shared" si="2"/>
        <v>0</v>
      </c>
      <c r="G13" s="14">
        <f t="shared" si="2"/>
        <v>0</v>
      </c>
      <c r="H13" s="14">
        <f t="shared" si="2"/>
        <v>0</v>
      </c>
      <c r="I13" s="14">
        <f t="shared" si="2"/>
        <v>0</v>
      </c>
      <c r="J13" s="37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9"/>
    </row>
    <row r="14" spans="1:22" ht="21" customHeight="1" x14ac:dyDescent="0.2">
      <c r="A14" s="33"/>
      <c r="B14" s="76" t="s">
        <v>3</v>
      </c>
      <c r="C14" s="76"/>
      <c r="D14" s="14">
        <f>E14+F14+G14+H14+I14</f>
        <v>0</v>
      </c>
      <c r="E14" s="14">
        <f t="shared" ref="E14:I14" si="3">E22+E30+E38+E46+E54+E62+E70</f>
        <v>0</v>
      </c>
      <c r="F14" s="14">
        <f t="shared" si="3"/>
        <v>0</v>
      </c>
      <c r="G14" s="14">
        <f t="shared" si="3"/>
        <v>0</v>
      </c>
      <c r="H14" s="14">
        <f t="shared" si="3"/>
        <v>0</v>
      </c>
      <c r="I14" s="14">
        <f t="shared" si="3"/>
        <v>0</v>
      </c>
      <c r="J14" s="40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2"/>
    </row>
    <row r="15" spans="1:22" x14ac:dyDescent="0.2">
      <c r="A15" s="46" t="s">
        <v>27</v>
      </c>
      <c r="B15" s="24" t="s">
        <v>63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5"/>
    </row>
    <row r="16" spans="1:22" x14ac:dyDescent="0.2">
      <c r="A16" s="47"/>
      <c r="B16" s="82" t="s">
        <v>196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</row>
    <row r="17" spans="1:22" ht="83.25" customHeight="1" x14ac:dyDescent="0.2">
      <c r="A17" s="47"/>
      <c r="B17" s="60" t="s">
        <v>24</v>
      </c>
      <c r="C17" s="61"/>
      <c r="D17" s="61"/>
      <c r="E17" s="61"/>
      <c r="F17" s="61"/>
      <c r="G17" s="61"/>
      <c r="H17" s="61"/>
      <c r="I17" s="62"/>
      <c r="J17" s="57" t="s">
        <v>138</v>
      </c>
      <c r="K17" s="57"/>
      <c r="L17" s="57" t="s">
        <v>59</v>
      </c>
      <c r="M17" s="57"/>
      <c r="N17" s="57" t="s">
        <v>63</v>
      </c>
      <c r="O17" s="57" t="s">
        <v>63</v>
      </c>
      <c r="P17" s="57" t="s">
        <v>63</v>
      </c>
      <c r="Q17" s="85"/>
      <c r="R17" s="57" t="s">
        <v>11</v>
      </c>
      <c r="S17" s="57" t="s">
        <v>58</v>
      </c>
      <c r="T17" s="57" t="s">
        <v>81</v>
      </c>
      <c r="U17" s="57"/>
      <c r="V17" s="57"/>
    </row>
    <row r="18" spans="1:22" x14ac:dyDescent="0.2">
      <c r="A18" s="47"/>
      <c r="B18" s="59" t="s">
        <v>5</v>
      </c>
      <c r="C18" s="59"/>
      <c r="D18" s="9">
        <f>SUM(D19:D22)</f>
        <v>46000</v>
      </c>
      <c r="E18" s="10">
        <f>SUM(E19:E22)</f>
        <v>46000</v>
      </c>
      <c r="F18" s="10"/>
      <c r="G18" s="10"/>
      <c r="H18" s="10"/>
      <c r="I18" s="10"/>
      <c r="J18" s="57"/>
      <c r="K18" s="57"/>
      <c r="L18" s="57"/>
      <c r="M18" s="57"/>
      <c r="N18" s="57"/>
      <c r="O18" s="57"/>
      <c r="P18" s="57"/>
      <c r="Q18" s="85"/>
      <c r="R18" s="57"/>
      <c r="S18" s="57"/>
      <c r="T18" s="57"/>
      <c r="U18" s="57"/>
      <c r="V18" s="57"/>
    </row>
    <row r="19" spans="1:22" x14ac:dyDescent="0.2">
      <c r="A19" s="47"/>
      <c r="B19" s="59" t="s">
        <v>0</v>
      </c>
      <c r="C19" s="59"/>
      <c r="D19" s="9">
        <f>E19+F19+G19+H19+I19</f>
        <v>0</v>
      </c>
      <c r="E19" s="10"/>
      <c r="F19" s="10"/>
      <c r="G19" s="10"/>
      <c r="H19" s="10"/>
      <c r="I19" s="10"/>
      <c r="J19" s="57"/>
      <c r="K19" s="57"/>
      <c r="L19" s="57"/>
      <c r="M19" s="57"/>
      <c r="N19" s="57"/>
      <c r="O19" s="57"/>
      <c r="P19" s="57"/>
      <c r="Q19" s="85"/>
      <c r="R19" s="57"/>
      <c r="S19" s="57"/>
      <c r="T19" s="57"/>
      <c r="U19" s="57"/>
      <c r="V19" s="57"/>
    </row>
    <row r="20" spans="1:22" x14ac:dyDescent="0.2">
      <c r="A20" s="47"/>
      <c r="B20" s="59" t="s">
        <v>1</v>
      </c>
      <c r="C20" s="59"/>
      <c r="D20" s="9">
        <f>E20+F20+G20+H20+I20</f>
        <v>46000</v>
      </c>
      <c r="E20" s="13">
        <v>46000</v>
      </c>
      <c r="F20" s="10"/>
      <c r="G20" s="10"/>
      <c r="H20" s="10"/>
      <c r="I20" s="10"/>
      <c r="J20" s="57"/>
      <c r="K20" s="57"/>
      <c r="L20" s="57"/>
      <c r="M20" s="57"/>
      <c r="N20" s="57"/>
      <c r="O20" s="57"/>
      <c r="P20" s="57"/>
      <c r="Q20" s="85"/>
      <c r="R20" s="57"/>
      <c r="S20" s="57"/>
      <c r="T20" s="57"/>
      <c r="U20" s="57"/>
      <c r="V20" s="57"/>
    </row>
    <row r="21" spans="1:22" x14ac:dyDescent="0.2">
      <c r="A21" s="47"/>
      <c r="B21" s="59" t="s">
        <v>2</v>
      </c>
      <c r="C21" s="59"/>
      <c r="D21" s="9">
        <f>E21+F21+G21+H21+I21</f>
        <v>0</v>
      </c>
      <c r="E21" s="10"/>
      <c r="F21" s="10"/>
      <c r="G21" s="10"/>
      <c r="H21" s="10"/>
      <c r="I21" s="10"/>
      <c r="J21" s="57"/>
      <c r="K21" s="57"/>
      <c r="L21" s="57"/>
      <c r="M21" s="57"/>
      <c r="N21" s="57"/>
      <c r="O21" s="57"/>
      <c r="P21" s="57"/>
      <c r="Q21" s="85"/>
      <c r="R21" s="57"/>
      <c r="S21" s="57"/>
      <c r="T21" s="57"/>
      <c r="U21" s="57"/>
      <c r="V21" s="57"/>
    </row>
    <row r="22" spans="1:22" ht="21" customHeight="1" x14ac:dyDescent="0.2">
      <c r="A22" s="48"/>
      <c r="B22" s="59" t="s">
        <v>3</v>
      </c>
      <c r="C22" s="59"/>
      <c r="D22" s="9">
        <f>E22+F22+G22+H22+I22</f>
        <v>0</v>
      </c>
      <c r="E22" s="10"/>
      <c r="F22" s="10"/>
      <c r="G22" s="10"/>
      <c r="H22" s="10"/>
      <c r="I22" s="10"/>
      <c r="J22" s="57"/>
      <c r="K22" s="57"/>
      <c r="L22" s="57"/>
      <c r="M22" s="57"/>
      <c r="N22" s="57"/>
      <c r="O22" s="57"/>
      <c r="P22" s="57"/>
      <c r="Q22" s="85"/>
      <c r="R22" s="57"/>
      <c r="S22" s="57"/>
      <c r="T22" s="57"/>
      <c r="U22" s="57"/>
      <c r="V22" s="57"/>
    </row>
    <row r="23" spans="1:22" x14ac:dyDescent="0.2">
      <c r="A23" s="46" t="s">
        <v>28</v>
      </c>
      <c r="B23" s="24" t="s">
        <v>16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5"/>
    </row>
    <row r="24" spans="1:22" s="11" customFormat="1" x14ac:dyDescent="0.2">
      <c r="A24" s="47"/>
      <c r="B24" s="82" t="s">
        <v>144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</row>
    <row r="25" spans="1:22" s="11" customFormat="1" ht="99.95" customHeight="1" x14ac:dyDescent="0.2">
      <c r="A25" s="47"/>
      <c r="B25" s="54" t="s">
        <v>197</v>
      </c>
      <c r="C25" s="55" t="s">
        <v>197</v>
      </c>
      <c r="D25" s="55"/>
      <c r="E25" s="55"/>
      <c r="F25" s="55"/>
      <c r="G25" s="55"/>
      <c r="H25" s="55"/>
      <c r="I25" s="56"/>
      <c r="J25" s="57" t="s">
        <v>368</v>
      </c>
      <c r="K25" s="57"/>
      <c r="L25" s="57" t="s">
        <v>60</v>
      </c>
      <c r="M25" s="57"/>
      <c r="N25" s="57" t="s">
        <v>82</v>
      </c>
      <c r="O25" s="57" t="s">
        <v>22</v>
      </c>
      <c r="P25" s="57" t="s">
        <v>82</v>
      </c>
      <c r="Q25" s="85" t="s">
        <v>140</v>
      </c>
      <c r="R25" s="57" t="s">
        <v>11</v>
      </c>
      <c r="S25" s="57" t="s">
        <v>88</v>
      </c>
      <c r="T25" s="57" t="s">
        <v>171</v>
      </c>
      <c r="U25" s="57"/>
      <c r="V25" s="57"/>
    </row>
    <row r="26" spans="1:22" s="11" customFormat="1" x14ac:dyDescent="0.2">
      <c r="A26" s="47"/>
      <c r="B26" s="59" t="s">
        <v>5</v>
      </c>
      <c r="C26" s="59" t="s">
        <v>5</v>
      </c>
      <c r="D26" s="9">
        <f>SUM(D27:D30)</f>
        <v>58473.3</v>
      </c>
      <c r="E26" s="10">
        <f>SUM(E27:E30)</f>
        <v>58473.3</v>
      </c>
      <c r="F26" s="10"/>
      <c r="G26" s="10"/>
      <c r="H26" s="10"/>
      <c r="I26" s="10"/>
      <c r="J26" s="57"/>
      <c r="K26" s="57"/>
      <c r="L26" s="57"/>
      <c r="M26" s="57"/>
      <c r="N26" s="57"/>
      <c r="O26" s="57"/>
      <c r="P26" s="57"/>
      <c r="Q26" s="85"/>
      <c r="R26" s="57"/>
      <c r="S26" s="57"/>
      <c r="T26" s="57"/>
      <c r="U26" s="57"/>
      <c r="V26" s="57"/>
    </row>
    <row r="27" spans="1:22" s="11" customFormat="1" x14ac:dyDescent="0.2">
      <c r="A27" s="47"/>
      <c r="B27" s="59" t="s">
        <v>0</v>
      </c>
      <c r="C27" s="59" t="s">
        <v>0</v>
      </c>
      <c r="D27" s="9">
        <f>E27+F27+G27+H27+I27</f>
        <v>0</v>
      </c>
      <c r="E27" s="10"/>
      <c r="F27" s="10"/>
      <c r="G27" s="10"/>
      <c r="H27" s="10"/>
      <c r="I27" s="10"/>
      <c r="J27" s="57"/>
      <c r="K27" s="57"/>
      <c r="L27" s="57"/>
      <c r="M27" s="57"/>
      <c r="N27" s="57"/>
      <c r="O27" s="57"/>
      <c r="P27" s="57"/>
      <c r="Q27" s="85"/>
      <c r="R27" s="57"/>
      <c r="S27" s="57"/>
      <c r="T27" s="57"/>
      <c r="U27" s="57"/>
      <c r="V27" s="57"/>
    </row>
    <row r="28" spans="1:22" s="11" customFormat="1" x14ac:dyDescent="0.2">
      <c r="A28" s="47"/>
      <c r="B28" s="59" t="s">
        <v>1</v>
      </c>
      <c r="C28" s="59" t="s">
        <v>1</v>
      </c>
      <c r="D28" s="9">
        <f>E28+F28+G28+H28+I28</f>
        <v>58473.3</v>
      </c>
      <c r="E28" s="13">
        <v>58473.3</v>
      </c>
      <c r="F28" s="10"/>
      <c r="G28" s="10"/>
      <c r="H28" s="10"/>
      <c r="I28" s="10"/>
      <c r="J28" s="57"/>
      <c r="K28" s="57"/>
      <c r="L28" s="57"/>
      <c r="M28" s="57"/>
      <c r="N28" s="57"/>
      <c r="O28" s="57"/>
      <c r="P28" s="57"/>
      <c r="Q28" s="85"/>
      <c r="R28" s="57"/>
      <c r="S28" s="57"/>
      <c r="T28" s="57"/>
      <c r="U28" s="57"/>
      <c r="V28" s="57"/>
    </row>
    <row r="29" spans="1:22" s="11" customFormat="1" x14ac:dyDescent="0.2">
      <c r="A29" s="47"/>
      <c r="B29" s="59" t="s">
        <v>2</v>
      </c>
      <c r="C29" s="59" t="s">
        <v>2</v>
      </c>
      <c r="D29" s="9">
        <f>E29+F29+G29+H29+I29</f>
        <v>0</v>
      </c>
      <c r="E29" s="10"/>
      <c r="F29" s="10"/>
      <c r="G29" s="10"/>
      <c r="H29" s="10"/>
      <c r="I29" s="10"/>
      <c r="J29" s="57"/>
      <c r="K29" s="57"/>
      <c r="L29" s="57"/>
      <c r="M29" s="57"/>
      <c r="N29" s="57"/>
      <c r="O29" s="57"/>
      <c r="P29" s="57"/>
      <c r="Q29" s="85"/>
      <c r="R29" s="57"/>
      <c r="S29" s="57"/>
      <c r="T29" s="57"/>
      <c r="U29" s="57"/>
      <c r="V29" s="57"/>
    </row>
    <row r="30" spans="1:22" s="11" customFormat="1" ht="21" customHeight="1" x14ac:dyDescent="0.2">
      <c r="A30" s="48"/>
      <c r="B30" s="59" t="s">
        <v>3</v>
      </c>
      <c r="C30" s="59" t="s">
        <v>3</v>
      </c>
      <c r="D30" s="9">
        <f>E30+F30+G30+H30+I30</f>
        <v>0</v>
      </c>
      <c r="E30" s="10"/>
      <c r="F30" s="10"/>
      <c r="G30" s="10"/>
      <c r="H30" s="10"/>
      <c r="I30" s="10"/>
      <c r="J30" s="57"/>
      <c r="K30" s="57"/>
      <c r="L30" s="57"/>
      <c r="M30" s="57"/>
      <c r="N30" s="57"/>
      <c r="O30" s="57"/>
      <c r="P30" s="57"/>
      <c r="Q30" s="85"/>
      <c r="R30" s="57"/>
      <c r="S30" s="57"/>
      <c r="T30" s="57"/>
      <c r="U30" s="57"/>
      <c r="V30" s="57"/>
    </row>
    <row r="31" spans="1:22" x14ac:dyDescent="0.2">
      <c r="A31" s="46" t="s">
        <v>29</v>
      </c>
      <c r="B31" s="24" t="s">
        <v>22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5"/>
    </row>
    <row r="32" spans="1:22" s="11" customFormat="1" x14ac:dyDescent="0.2">
      <c r="A32" s="47"/>
      <c r="B32" s="82" t="s">
        <v>144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</row>
    <row r="33" spans="1:22" s="11" customFormat="1" ht="77.25" customHeight="1" x14ac:dyDescent="0.2">
      <c r="A33" s="47"/>
      <c r="B33" s="60" t="s">
        <v>531</v>
      </c>
      <c r="C33" s="61" t="s">
        <v>286</v>
      </c>
      <c r="D33" s="61"/>
      <c r="E33" s="61"/>
      <c r="F33" s="61"/>
      <c r="G33" s="61"/>
      <c r="H33" s="61"/>
      <c r="I33" s="62"/>
      <c r="J33" s="57" t="s">
        <v>136</v>
      </c>
      <c r="K33" s="57"/>
      <c r="L33" s="57" t="s">
        <v>60</v>
      </c>
      <c r="M33" s="57" t="s">
        <v>106</v>
      </c>
      <c r="N33" s="57" t="s">
        <v>22</v>
      </c>
      <c r="O33" s="57" t="s">
        <v>22</v>
      </c>
      <c r="P33" s="57" t="s">
        <v>22</v>
      </c>
      <c r="Q33" s="85" t="s">
        <v>137</v>
      </c>
      <c r="R33" s="57" t="s">
        <v>11</v>
      </c>
      <c r="S33" s="57" t="s">
        <v>101</v>
      </c>
      <c r="T33" s="57" t="s">
        <v>7</v>
      </c>
      <c r="U33" s="57"/>
      <c r="V33" s="57" t="s">
        <v>441</v>
      </c>
    </row>
    <row r="34" spans="1:22" s="11" customFormat="1" x14ac:dyDescent="0.2">
      <c r="A34" s="47"/>
      <c r="B34" s="59" t="s">
        <v>5</v>
      </c>
      <c r="C34" s="59" t="s">
        <v>5</v>
      </c>
      <c r="D34" s="9">
        <f>SUM(D35:D38)</f>
        <v>4180500</v>
      </c>
      <c r="E34" s="10">
        <f>SUM(E35:E38)</f>
        <v>1547400</v>
      </c>
      <c r="F34" s="10">
        <f t="shared" ref="F34" si="4">SUM(F35:F38)</f>
        <v>2633100</v>
      </c>
      <c r="G34" s="10"/>
      <c r="H34" s="10"/>
      <c r="I34" s="10"/>
      <c r="J34" s="57"/>
      <c r="K34" s="57"/>
      <c r="L34" s="57"/>
      <c r="M34" s="57"/>
      <c r="N34" s="57"/>
      <c r="O34" s="57"/>
      <c r="P34" s="57"/>
      <c r="Q34" s="85"/>
      <c r="R34" s="57"/>
      <c r="S34" s="57"/>
      <c r="T34" s="57"/>
      <c r="U34" s="57"/>
      <c r="V34" s="57"/>
    </row>
    <row r="35" spans="1:22" s="11" customFormat="1" x14ac:dyDescent="0.2">
      <c r="A35" s="47"/>
      <c r="B35" s="30" t="s">
        <v>0</v>
      </c>
      <c r="C35" s="30" t="s">
        <v>0</v>
      </c>
      <c r="D35" s="9">
        <f>E35+F35+G35+H35+I35</f>
        <v>3971400</v>
      </c>
      <c r="E35" s="13">
        <v>1470000</v>
      </c>
      <c r="F35" s="10">
        <v>2501400</v>
      </c>
      <c r="G35" s="10"/>
      <c r="H35" s="10"/>
      <c r="I35" s="10"/>
      <c r="J35" s="57"/>
      <c r="K35" s="57"/>
      <c r="L35" s="57"/>
      <c r="M35" s="57"/>
      <c r="N35" s="57"/>
      <c r="O35" s="57"/>
      <c r="P35" s="57"/>
      <c r="Q35" s="85"/>
      <c r="R35" s="57"/>
      <c r="S35" s="57"/>
      <c r="T35" s="57"/>
      <c r="U35" s="57"/>
      <c r="V35" s="57"/>
    </row>
    <row r="36" spans="1:22" s="11" customFormat="1" x14ac:dyDescent="0.2">
      <c r="A36" s="47"/>
      <c r="B36" s="59" t="s">
        <v>1</v>
      </c>
      <c r="C36" s="59" t="s">
        <v>1</v>
      </c>
      <c r="D36" s="9">
        <f>E36+F36+G36+H36+I36</f>
        <v>209100</v>
      </c>
      <c r="E36" s="13">
        <v>77400</v>
      </c>
      <c r="F36" s="10">
        <v>131700</v>
      </c>
      <c r="G36" s="10"/>
      <c r="H36" s="10"/>
      <c r="I36" s="10"/>
      <c r="J36" s="57"/>
      <c r="K36" s="57"/>
      <c r="L36" s="57"/>
      <c r="M36" s="57"/>
      <c r="N36" s="57"/>
      <c r="O36" s="57"/>
      <c r="P36" s="57"/>
      <c r="Q36" s="85"/>
      <c r="R36" s="57"/>
      <c r="S36" s="57"/>
      <c r="T36" s="57"/>
      <c r="U36" s="57"/>
      <c r="V36" s="57"/>
    </row>
    <row r="37" spans="1:22" s="11" customFormat="1" x14ac:dyDescent="0.2">
      <c r="A37" s="47"/>
      <c r="B37" s="59" t="s">
        <v>2</v>
      </c>
      <c r="C37" s="59" t="s">
        <v>2</v>
      </c>
      <c r="D37" s="9">
        <f>E37+F37+G37+H37+I37</f>
        <v>0</v>
      </c>
      <c r="E37" s="10"/>
      <c r="F37" s="10"/>
      <c r="G37" s="10"/>
      <c r="H37" s="10"/>
      <c r="I37" s="10"/>
      <c r="J37" s="57"/>
      <c r="K37" s="57"/>
      <c r="L37" s="57"/>
      <c r="M37" s="57"/>
      <c r="N37" s="57"/>
      <c r="O37" s="57"/>
      <c r="P37" s="57"/>
      <c r="Q37" s="85"/>
      <c r="R37" s="57"/>
      <c r="S37" s="57"/>
      <c r="T37" s="57"/>
      <c r="U37" s="57"/>
      <c r="V37" s="57"/>
    </row>
    <row r="38" spans="1:22" s="11" customFormat="1" ht="21" customHeight="1" x14ac:dyDescent="0.2">
      <c r="A38" s="48"/>
      <c r="B38" s="59" t="s">
        <v>3</v>
      </c>
      <c r="C38" s="59" t="s">
        <v>3</v>
      </c>
      <c r="D38" s="9">
        <f>E38+F38+G38+H38+I38</f>
        <v>0</v>
      </c>
      <c r="E38" s="10"/>
      <c r="F38" s="10"/>
      <c r="G38" s="10"/>
      <c r="H38" s="10"/>
      <c r="I38" s="10"/>
      <c r="J38" s="57"/>
      <c r="K38" s="57"/>
      <c r="L38" s="57"/>
      <c r="M38" s="57"/>
      <c r="N38" s="57"/>
      <c r="O38" s="57"/>
      <c r="P38" s="57"/>
      <c r="Q38" s="85"/>
      <c r="R38" s="57"/>
      <c r="S38" s="57"/>
      <c r="T38" s="57"/>
      <c r="U38" s="57"/>
      <c r="V38" s="57"/>
    </row>
    <row r="39" spans="1:22" x14ac:dyDescent="0.2">
      <c r="A39" s="46" t="s">
        <v>30</v>
      </c>
      <c r="B39" s="24" t="s">
        <v>22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5"/>
    </row>
    <row r="40" spans="1:22" ht="15" customHeight="1" x14ac:dyDescent="0.2">
      <c r="A40" s="47"/>
      <c r="B40" s="26" t="s">
        <v>639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1" spans="1:22" ht="99.95" customHeight="1" x14ac:dyDescent="0.2">
      <c r="A41" s="47"/>
      <c r="B41" s="60" t="s">
        <v>421</v>
      </c>
      <c r="C41" s="61" t="s">
        <v>198</v>
      </c>
      <c r="D41" s="61"/>
      <c r="E41" s="61"/>
      <c r="F41" s="61"/>
      <c r="G41" s="61"/>
      <c r="H41" s="61"/>
      <c r="I41" s="62"/>
      <c r="J41" s="57" t="s">
        <v>66</v>
      </c>
      <c r="K41" s="57"/>
      <c r="L41" s="57" t="s">
        <v>203</v>
      </c>
      <c r="M41" s="57"/>
      <c r="N41" s="57" t="s">
        <v>595</v>
      </c>
      <c r="O41" s="57" t="s">
        <v>22</v>
      </c>
      <c r="P41" s="57" t="s">
        <v>595</v>
      </c>
      <c r="Q41" s="85" t="s">
        <v>282</v>
      </c>
      <c r="R41" s="57" t="s">
        <v>11</v>
      </c>
      <c r="S41" s="57" t="s">
        <v>58</v>
      </c>
      <c r="T41" s="57" t="s">
        <v>17</v>
      </c>
      <c r="U41" s="57"/>
      <c r="V41" s="57"/>
    </row>
    <row r="42" spans="1:22" ht="15" customHeight="1" x14ac:dyDescent="0.2">
      <c r="A42" s="47"/>
      <c r="B42" s="59" t="s">
        <v>5</v>
      </c>
      <c r="C42" s="59" t="s">
        <v>5</v>
      </c>
      <c r="D42" s="9">
        <f>SUM(D43:D46)</f>
        <v>1350</v>
      </c>
      <c r="E42" s="10">
        <f>SUM(E43:E46)</f>
        <v>1350</v>
      </c>
      <c r="F42" s="10"/>
      <c r="G42" s="10"/>
      <c r="H42" s="10"/>
      <c r="I42" s="10"/>
      <c r="J42" s="57"/>
      <c r="K42" s="57"/>
      <c r="L42" s="57"/>
      <c r="M42" s="57"/>
      <c r="N42" s="57"/>
      <c r="O42" s="57"/>
      <c r="P42" s="57"/>
      <c r="Q42" s="85"/>
      <c r="R42" s="57"/>
      <c r="S42" s="57"/>
      <c r="T42" s="57"/>
      <c r="U42" s="57"/>
      <c r="V42" s="57"/>
    </row>
    <row r="43" spans="1:22" ht="15" customHeight="1" x14ac:dyDescent="0.2">
      <c r="A43" s="47"/>
      <c r="B43" s="59" t="s">
        <v>0</v>
      </c>
      <c r="C43" s="59" t="s">
        <v>0</v>
      </c>
      <c r="D43" s="9">
        <f>E43+F43+G43+H43+I43</f>
        <v>0</v>
      </c>
      <c r="E43" s="10"/>
      <c r="F43" s="10"/>
      <c r="G43" s="10"/>
      <c r="H43" s="10"/>
      <c r="I43" s="10"/>
      <c r="J43" s="57"/>
      <c r="K43" s="57"/>
      <c r="L43" s="57"/>
      <c r="M43" s="57"/>
      <c r="N43" s="57"/>
      <c r="O43" s="57"/>
      <c r="P43" s="57"/>
      <c r="Q43" s="85"/>
      <c r="R43" s="57"/>
      <c r="S43" s="57"/>
      <c r="T43" s="57"/>
      <c r="U43" s="57"/>
      <c r="V43" s="57"/>
    </row>
    <row r="44" spans="1:22" ht="15" customHeight="1" x14ac:dyDescent="0.2">
      <c r="A44" s="47"/>
      <c r="B44" s="59" t="s">
        <v>1</v>
      </c>
      <c r="C44" s="59" t="s">
        <v>1</v>
      </c>
      <c r="D44" s="9">
        <f>E44+F44+G44+H44+I44</f>
        <v>1350</v>
      </c>
      <c r="E44" s="13">
        <v>1350</v>
      </c>
      <c r="F44" s="10"/>
      <c r="G44" s="10"/>
      <c r="H44" s="10"/>
      <c r="I44" s="10"/>
      <c r="J44" s="57"/>
      <c r="K44" s="57"/>
      <c r="L44" s="57"/>
      <c r="M44" s="57"/>
      <c r="N44" s="57"/>
      <c r="O44" s="57"/>
      <c r="P44" s="57"/>
      <c r="Q44" s="85"/>
      <c r="R44" s="57"/>
      <c r="S44" s="57"/>
      <c r="T44" s="57"/>
      <c r="U44" s="57"/>
      <c r="V44" s="57"/>
    </row>
    <row r="45" spans="1:22" ht="15" customHeight="1" x14ac:dyDescent="0.2">
      <c r="A45" s="47"/>
      <c r="B45" s="59" t="s">
        <v>2</v>
      </c>
      <c r="C45" s="59" t="s">
        <v>2</v>
      </c>
      <c r="D45" s="9">
        <f>E45+F45+G45+H45+I45</f>
        <v>0</v>
      </c>
      <c r="E45" s="10"/>
      <c r="F45" s="10"/>
      <c r="G45" s="10"/>
      <c r="H45" s="10"/>
      <c r="I45" s="10"/>
      <c r="J45" s="57"/>
      <c r="K45" s="57"/>
      <c r="L45" s="57"/>
      <c r="M45" s="57"/>
      <c r="N45" s="57"/>
      <c r="O45" s="57"/>
      <c r="P45" s="57"/>
      <c r="Q45" s="85"/>
      <c r="R45" s="57"/>
      <c r="S45" s="57"/>
      <c r="T45" s="57"/>
      <c r="U45" s="57"/>
      <c r="V45" s="57"/>
    </row>
    <row r="46" spans="1:22" s="11" customFormat="1" ht="21" customHeight="1" x14ac:dyDescent="0.2">
      <c r="A46" s="48"/>
      <c r="B46" s="59" t="s">
        <v>3</v>
      </c>
      <c r="C46" s="59" t="s">
        <v>3</v>
      </c>
      <c r="D46" s="9">
        <f>E46+F46+G46+H46+I46</f>
        <v>0</v>
      </c>
      <c r="E46" s="10"/>
      <c r="F46" s="10"/>
      <c r="G46" s="10"/>
      <c r="H46" s="10"/>
      <c r="I46" s="10"/>
      <c r="J46" s="57"/>
      <c r="K46" s="57"/>
      <c r="L46" s="57"/>
      <c r="M46" s="57"/>
      <c r="N46" s="57"/>
      <c r="O46" s="57"/>
      <c r="P46" s="57"/>
      <c r="Q46" s="85"/>
      <c r="R46" s="57"/>
      <c r="S46" s="57"/>
      <c r="T46" s="57"/>
      <c r="U46" s="57"/>
      <c r="V46" s="57"/>
    </row>
    <row r="47" spans="1:22" x14ac:dyDescent="0.2">
      <c r="A47" s="46" t="s">
        <v>394</v>
      </c>
      <c r="B47" s="24" t="s">
        <v>16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5"/>
    </row>
    <row r="48" spans="1:22" x14ac:dyDescent="0.2">
      <c r="A48" s="47"/>
      <c r="B48" s="82" t="s">
        <v>144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</row>
    <row r="49" spans="1:22" ht="99.95" customHeight="1" x14ac:dyDescent="0.2">
      <c r="A49" s="47"/>
      <c r="B49" s="54" t="s">
        <v>599</v>
      </c>
      <c r="C49" s="55" t="s">
        <v>279</v>
      </c>
      <c r="D49" s="55"/>
      <c r="E49" s="55"/>
      <c r="F49" s="55"/>
      <c r="G49" s="55"/>
      <c r="H49" s="55"/>
      <c r="I49" s="56"/>
      <c r="J49" s="69" t="s">
        <v>600</v>
      </c>
      <c r="K49" s="69"/>
      <c r="L49" s="69" t="s">
        <v>60</v>
      </c>
      <c r="M49" s="69"/>
      <c r="N49" s="69" t="s">
        <v>82</v>
      </c>
      <c r="O49" s="69" t="s">
        <v>22</v>
      </c>
      <c r="P49" s="69" t="s">
        <v>82</v>
      </c>
      <c r="Q49" s="77" t="s">
        <v>601</v>
      </c>
      <c r="R49" s="57" t="s">
        <v>11</v>
      </c>
      <c r="S49" s="57" t="s">
        <v>15</v>
      </c>
      <c r="T49" s="57" t="s">
        <v>17</v>
      </c>
      <c r="U49" s="57"/>
      <c r="V49" s="57"/>
    </row>
    <row r="50" spans="1:22" x14ac:dyDescent="0.2">
      <c r="A50" s="47"/>
      <c r="B50" s="30" t="s">
        <v>5</v>
      </c>
      <c r="C50" s="30" t="s">
        <v>5</v>
      </c>
      <c r="D50" s="12">
        <f>SUM(D51:D54)</f>
        <v>45000</v>
      </c>
      <c r="E50" s="13">
        <f>SUM(E51:E54)</f>
        <v>45000</v>
      </c>
      <c r="F50" s="13"/>
      <c r="G50" s="13"/>
      <c r="H50" s="13"/>
      <c r="I50" s="13"/>
      <c r="J50" s="69"/>
      <c r="K50" s="69"/>
      <c r="L50" s="69"/>
      <c r="M50" s="69"/>
      <c r="N50" s="69"/>
      <c r="O50" s="69"/>
      <c r="P50" s="69"/>
      <c r="Q50" s="77"/>
      <c r="R50" s="57"/>
      <c r="S50" s="57"/>
      <c r="T50" s="57"/>
      <c r="U50" s="57"/>
      <c r="V50" s="57"/>
    </row>
    <row r="51" spans="1:22" x14ac:dyDescent="0.2">
      <c r="A51" s="47"/>
      <c r="B51" s="30" t="s">
        <v>0</v>
      </c>
      <c r="C51" s="30" t="s">
        <v>0</v>
      </c>
      <c r="D51" s="12">
        <f>E51+F51+G51+H51+I51</f>
        <v>0</v>
      </c>
      <c r="E51" s="13"/>
      <c r="F51" s="13"/>
      <c r="G51" s="13"/>
      <c r="H51" s="13"/>
      <c r="I51" s="13"/>
      <c r="J51" s="69"/>
      <c r="K51" s="69"/>
      <c r="L51" s="69"/>
      <c r="M51" s="69"/>
      <c r="N51" s="69"/>
      <c r="O51" s="69"/>
      <c r="P51" s="69"/>
      <c r="Q51" s="77"/>
      <c r="R51" s="57"/>
      <c r="S51" s="57"/>
      <c r="T51" s="57"/>
      <c r="U51" s="57"/>
      <c r="V51" s="57"/>
    </row>
    <row r="52" spans="1:22" x14ac:dyDescent="0.2">
      <c r="A52" s="47"/>
      <c r="B52" s="30" t="s">
        <v>1</v>
      </c>
      <c r="C52" s="30" t="s">
        <v>1</v>
      </c>
      <c r="D52" s="12">
        <f>E52+F52+G52+H52+I52</f>
        <v>45000</v>
      </c>
      <c r="E52" s="13">
        <v>45000</v>
      </c>
      <c r="F52" s="13"/>
      <c r="G52" s="13"/>
      <c r="H52" s="13"/>
      <c r="I52" s="13"/>
      <c r="J52" s="69"/>
      <c r="K52" s="69"/>
      <c r="L52" s="69"/>
      <c r="M52" s="69"/>
      <c r="N52" s="69"/>
      <c r="O52" s="69"/>
      <c r="P52" s="69"/>
      <c r="Q52" s="77"/>
      <c r="R52" s="57"/>
      <c r="S52" s="57"/>
      <c r="T52" s="57"/>
      <c r="U52" s="57"/>
      <c r="V52" s="57"/>
    </row>
    <row r="53" spans="1:22" x14ac:dyDescent="0.2">
      <c r="A53" s="47"/>
      <c r="B53" s="30" t="s">
        <v>2</v>
      </c>
      <c r="C53" s="30" t="s">
        <v>2</v>
      </c>
      <c r="D53" s="12">
        <f>E53+F53+G53+H53+I53</f>
        <v>0</v>
      </c>
      <c r="E53" s="13"/>
      <c r="F53" s="13"/>
      <c r="G53" s="13"/>
      <c r="H53" s="13"/>
      <c r="I53" s="13"/>
      <c r="J53" s="69"/>
      <c r="K53" s="69"/>
      <c r="L53" s="69"/>
      <c r="M53" s="69"/>
      <c r="N53" s="69"/>
      <c r="O53" s="69"/>
      <c r="P53" s="69"/>
      <c r="Q53" s="77"/>
      <c r="R53" s="57"/>
      <c r="S53" s="57"/>
      <c r="T53" s="57"/>
      <c r="U53" s="57"/>
      <c r="V53" s="57"/>
    </row>
    <row r="54" spans="1:22" s="11" customFormat="1" ht="21" customHeight="1" x14ac:dyDescent="0.2">
      <c r="A54" s="48"/>
      <c r="B54" s="30" t="s">
        <v>3</v>
      </c>
      <c r="C54" s="30" t="s">
        <v>3</v>
      </c>
      <c r="D54" s="12">
        <f>E54+F54+G54+H54+I54</f>
        <v>0</v>
      </c>
      <c r="E54" s="13"/>
      <c r="F54" s="13"/>
      <c r="G54" s="13"/>
      <c r="H54" s="13"/>
      <c r="I54" s="13"/>
      <c r="J54" s="69"/>
      <c r="K54" s="69"/>
      <c r="L54" s="69"/>
      <c r="M54" s="69"/>
      <c r="N54" s="69"/>
      <c r="O54" s="69"/>
      <c r="P54" s="69"/>
      <c r="Q54" s="77"/>
      <c r="R54" s="57"/>
      <c r="S54" s="57"/>
      <c r="T54" s="57"/>
      <c r="U54" s="57"/>
      <c r="V54" s="57"/>
    </row>
    <row r="55" spans="1:22" s="11" customFormat="1" x14ac:dyDescent="0.2">
      <c r="A55" s="46" t="s">
        <v>31</v>
      </c>
      <c r="B55" s="24" t="s">
        <v>16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5"/>
    </row>
    <row r="56" spans="1:22" s="11" customFormat="1" x14ac:dyDescent="0.2">
      <c r="A56" s="47"/>
      <c r="B56" s="82" t="s">
        <v>144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</row>
    <row r="57" spans="1:22" s="11" customFormat="1" ht="99.95" customHeight="1" x14ac:dyDescent="0.2">
      <c r="A57" s="47"/>
      <c r="B57" s="54" t="s">
        <v>532</v>
      </c>
      <c r="C57" s="55"/>
      <c r="D57" s="55"/>
      <c r="E57" s="55"/>
      <c r="F57" s="55"/>
      <c r="G57" s="55"/>
      <c r="H57" s="55"/>
      <c r="I57" s="56"/>
      <c r="J57" s="86" t="s">
        <v>66</v>
      </c>
      <c r="K57" s="57"/>
      <c r="L57" s="57" t="s">
        <v>60</v>
      </c>
      <c r="M57" s="57"/>
      <c r="N57" s="69" t="s">
        <v>82</v>
      </c>
      <c r="O57" s="69" t="s">
        <v>22</v>
      </c>
      <c r="P57" s="69" t="s">
        <v>82</v>
      </c>
      <c r="Q57" s="85" t="s">
        <v>429</v>
      </c>
      <c r="R57" s="57" t="s">
        <v>11</v>
      </c>
      <c r="S57" s="57" t="s">
        <v>154</v>
      </c>
      <c r="T57" s="57" t="s">
        <v>17</v>
      </c>
      <c r="U57" s="57"/>
      <c r="V57" s="57" t="s">
        <v>430</v>
      </c>
    </row>
    <row r="58" spans="1:22" s="11" customFormat="1" x14ac:dyDescent="0.2">
      <c r="A58" s="47"/>
      <c r="B58" s="59" t="s">
        <v>5</v>
      </c>
      <c r="C58" s="59" t="s">
        <v>5</v>
      </c>
      <c r="D58" s="9">
        <f>SUM(D59:D62)</f>
        <v>58519.94</v>
      </c>
      <c r="E58" s="10">
        <f>SUM(E59:E62)</f>
        <v>58519.94</v>
      </c>
      <c r="F58" s="10"/>
      <c r="G58" s="10"/>
      <c r="H58" s="10"/>
      <c r="I58" s="10"/>
      <c r="J58" s="87"/>
      <c r="K58" s="57"/>
      <c r="L58" s="57"/>
      <c r="M58" s="57"/>
      <c r="N58" s="69"/>
      <c r="O58" s="69"/>
      <c r="P58" s="69"/>
      <c r="Q58" s="85"/>
      <c r="R58" s="57"/>
      <c r="S58" s="57"/>
      <c r="T58" s="57"/>
      <c r="U58" s="57"/>
      <c r="V58" s="57"/>
    </row>
    <row r="59" spans="1:22" s="11" customFormat="1" x14ac:dyDescent="0.2">
      <c r="A59" s="47"/>
      <c r="B59" s="59" t="s">
        <v>0</v>
      </c>
      <c r="C59" s="59" t="s">
        <v>0</v>
      </c>
      <c r="D59" s="9">
        <f>E59+F59+G59+H59+I59</f>
        <v>0</v>
      </c>
      <c r="E59" s="10"/>
      <c r="F59" s="10"/>
      <c r="G59" s="10"/>
      <c r="H59" s="10"/>
      <c r="I59" s="10"/>
      <c r="J59" s="87"/>
      <c r="K59" s="57"/>
      <c r="L59" s="57"/>
      <c r="M59" s="57"/>
      <c r="N59" s="69"/>
      <c r="O59" s="69"/>
      <c r="P59" s="69"/>
      <c r="Q59" s="85"/>
      <c r="R59" s="57"/>
      <c r="S59" s="57"/>
      <c r="T59" s="57"/>
      <c r="U59" s="57"/>
      <c r="V59" s="57"/>
    </row>
    <row r="60" spans="1:22" s="11" customFormat="1" x14ac:dyDescent="0.2">
      <c r="A60" s="47"/>
      <c r="B60" s="59" t="s">
        <v>1</v>
      </c>
      <c r="C60" s="59" t="s">
        <v>1</v>
      </c>
      <c r="D60" s="9">
        <f>E60+F60+G60+H60+I60</f>
        <v>58519.94</v>
      </c>
      <c r="E60" s="13">
        <f>24518.32+34001.62</f>
        <v>58519.94</v>
      </c>
      <c r="F60" s="10"/>
      <c r="G60" s="10"/>
      <c r="H60" s="10"/>
      <c r="I60" s="10"/>
      <c r="J60" s="87"/>
      <c r="K60" s="57"/>
      <c r="L60" s="57"/>
      <c r="M60" s="57"/>
      <c r="N60" s="69"/>
      <c r="O60" s="69"/>
      <c r="P60" s="69"/>
      <c r="Q60" s="85"/>
      <c r="R60" s="57"/>
      <c r="S60" s="57"/>
      <c r="T60" s="57"/>
      <c r="U60" s="57"/>
      <c r="V60" s="57"/>
    </row>
    <row r="61" spans="1:22" s="11" customFormat="1" x14ac:dyDescent="0.2">
      <c r="A61" s="47"/>
      <c r="B61" s="59" t="s">
        <v>2</v>
      </c>
      <c r="C61" s="59" t="s">
        <v>2</v>
      </c>
      <c r="D61" s="9">
        <f>E61+F61+G61+H61+I61</f>
        <v>0</v>
      </c>
      <c r="E61" s="10"/>
      <c r="F61" s="10"/>
      <c r="G61" s="10"/>
      <c r="H61" s="10"/>
      <c r="I61" s="10"/>
      <c r="J61" s="87"/>
      <c r="K61" s="57"/>
      <c r="L61" s="57"/>
      <c r="M61" s="57"/>
      <c r="N61" s="69"/>
      <c r="O61" s="69"/>
      <c r="P61" s="69"/>
      <c r="Q61" s="85"/>
      <c r="R61" s="57"/>
      <c r="S61" s="57"/>
      <c r="T61" s="57"/>
      <c r="U61" s="57"/>
      <c r="V61" s="57"/>
    </row>
    <row r="62" spans="1:22" s="11" customFormat="1" ht="21" customHeight="1" x14ac:dyDescent="0.2">
      <c r="A62" s="48"/>
      <c r="B62" s="59" t="s">
        <v>3</v>
      </c>
      <c r="C62" s="59" t="s">
        <v>3</v>
      </c>
      <c r="D62" s="9">
        <f>E62+F62+G62+H62+I62</f>
        <v>0</v>
      </c>
      <c r="E62" s="10"/>
      <c r="F62" s="10"/>
      <c r="G62" s="10"/>
      <c r="H62" s="10"/>
      <c r="I62" s="10"/>
      <c r="J62" s="88"/>
      <c r="K62" s="57"/>
      <c r="L62" s="57"/>
      <c r="M62" s="57"/>
      <c r="N62" s="69"/>
      <c r="O62" s="69"/>
      <c r="P62" s="69"/>
      <c r="Q62" s="85"/>
      <c r="R62" s="57"/>
      <c r="S62" s="57"/>
      <c r="T62" s="57"/>
      <c r="U62" s="57"/>
      <c r="V62" s="57"/>
    </row>
    <row r="63" spans="1:22" s="11" customFormat="1" x14ac:dyDescent="0.2">
      <c r="A63" s="46" t="s">
        <v>594</v>
      </c>
      <c r="B63" s="24" t="s">
        <v>22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5"/>
    </row>
    <row r="64" spans="1:22" s="11" customFormat="1" x14ac:dyDescent="0.2">
      <c r="A64" s="47"/>
      <c r="B64" s="82" t="s">
        <v>144</v>
      </c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</row>
    <row r="65" spans="1:22" s="11" customFormat="1" ht="80.25" customHeight="1" x14ac:dyDescent="0.2">
      <c r="A65" s="47"/>
      <c r="B65" s="60" t="s">
        <v>596</v>
      </c>
      <c r="C65" s="61"/>
      <c r="D65" s="61"/>
      <c r="E65" s="61"/>
      <c r="F65" s="61"/>
      <c r="G65" s="61"/>
      <c r="H65" s="61"/>
      <c r="I65" s="62"/>
      <c r="J65" s="86" t="s">
        <v>590</v>
      </c>
      <c r="K65" s="57"/>
      <c r="L65" s="57" t="s">
        <v>60</v>
      </c>
      <c r="M65" s="57"/>
      <c r="N65" s="57" t="s">
        <v>22</v>
      </c>
      <c r="O65" s="57" t="s">
        <v>22</v>
      </c>
      <c r="P65" s="57" t="s">
        <v>22</v>
      </c>
      <c r="Q65" s="85" t="s">
        <v>591</v>
      </c>
      <c r="R65" s="57" t="s">
        <v>11</v>
      </c>
      <c r="S65" s="57" t="s">
        <v>592</v>
      </c>
      <c r="T65" s="57" t="s">
        <v>7</v>
      </c>
      <c r="U65" s="57"/>
      <c r="V65" s="57" t="s">
        <v>593</v>
      </c>
    </row>
    <row r="66" spans="1:22" s="11" customFormat="1" x14ac:dyDescent="0.2">
      <c r="A66" s="47"/>
      <c r="B66" s="59" t="s">
        <v>5</v>
      </c>
      <c r="C66" s="59" t="s">
        <v>5</v>
      </c>
      <c r="D66" s="9">
        <f>SUM(D67:D70)</f>
        <v>279.92086999999998</v>
      </c>
      <c r="E66" s="10">
        <f>SUM(E67:E70)</f>
        <v>279.92086999999998</v>
      </c>
      <c r="F66" s="10"/>
      <c r="G66" s="10"/>
      <c r="H66" s="10"/>
      <c r="I66" s="10"/>
      <c r="J66" s="87"/>
      <c r="K66" s="57"/>
      <c r="L66" s="57"/>
      <c r="M66" s="57"/>
      <c r="N66" s="57"/>
      <c r="O66" s="57"/>
      <c r="P66" s="57"/>
      <c r="Q66" s="85"/>
      <c r="R66" s="57"/>
      <c r="S66" s="57"/>
      <c r="T66" s="57"/>
      <c r="U66" s="57"/>
      <c r="V66" s="57"/>
    </row>
    <row r="67" spans="1:22" s="11" customFormat="1" x14ac:dyDescent="0.2">
      <c r="A67" s="47"/>
      <c r="B67" s="59" t="s">
        <v>0</v>
      </c>
      <c r="C67" s="59" t="s">
        <v>0</v>
      </c>
      <c r="D67" s="9">
        <f>E67+F67+G67+H67+I67</f>
        <v>0</v>
      </c>
      <c r="E67" s="10"/>
      <c r="F67" s="10"/>
      <c r="G67" s="10"/>
      <c r="H67" s="10"/>
      <c r="I67" s="10"/>
      <c r="J67" s="87"/>
      <c r="K67" s="57"/>
      <c r="L67" s="57"/>
      <c r="M67" s="57"/>
      <c r="N67" s="57"/>
      <c r="O67" s="57"/>
      <c r="P67" s="57"/>
      <c r="Q67" s="85"/>
      <c r="R67" s="57"/>
      <c r="S67" s="57"/>
      <c r="T67" s="57"/>
      <c r="U67" s="57"/>
      <c r="V67" s="57"/>
    </row>
    <row r="68" spans="1:22" s="11" customFormat="1" x14ac:dyDescent="0.2">
      <c r="A68" s="47"/>
      <c r="B68" s="59" t="s">
        <v>1</v>
      </c>
      <c r="C68" s="59" t="s">
        <v>1</v>
      </c>
      <c r="D68" s="9">
        <f>E68+F68+G68+H68+I68</f>
        <v>279.92086999999998</v>
      </c>
      <c r="E68" s="13">
        <v>279.92086999999998</v>
      </c>
      <c r="F68" s="10"/>
      <c r="G68" s="10"/>
      <c r="H68" s="10"/>
      <c r="I68" s="10"/>
      <c r="J68" s="87"/>
      <c r="K68" s="57"/>
      <c r="L68" s="57"/>
      <c r="M68" s="57"/>
      <c r="N68" s="57"/>
      <c r="O68" s="57"/>
      <c r="P68" s="57"/>
      <c r="Q68" s="85"/>
      <c r="R68" s="57"/>
      <c r="S68" s="57"/>
      <c r="T68" s="57"/>
      <c r="U68" s="57"/>
      <c r="V68" s="57"/>
    </row>
    <row r="69" spans="1:22" s="11" customFormat="1" x14ac:dyDescent="0.2">
      <c r="A69" s="47"/>
      <c r="B69" s="59" t="s">
        <v>2</v>
      </c>
      <c r="C69" s="59" t="s">
        <v>2</v>
      </c>
      <c r="D69" s="9">
        <f>E69+F69+G69+H69+I69</f>
        <v>0</v>
      </c>
      <c r="E69" s="10"/>
      <c r="F69" s="10"/>
      <c r="G69" s="10"/>
      <c r="H69" s="10"/>
      <c r="I69" s="10"/>
      <c r="J69" s="87"/>
      <c r="K69" s="57"/>
      <c r="L69" s="57"/>
      <c r="M69" s="57"/>
      <c r="N69" s="57"/>
      <c r="O69" s="57"/>
      <c r="P69" s="57"/>
      <c r="Q69" s="85"/>
      <c r="R69" s="57"/>
      <c r="S69" s="57"/>
      <c r="T69" s="57"/>
      <c r="U69" s="57"/>
      <c r="V69" s="57"/>
    </row>
    <row r="70" spans="1:22" s="11" customFormat="1" x14ac:dyDescent="0.2">
      <c r="A70" s="48"/>
      <c r="B70" s="59" t="s">
        <v>3</v>
      </c>
      <c r="C70" s="59" t="s">
        <v>3</v>
      </c>
      <c r="D70" s="9">
        <f>E70+F70+G70+H70+I70</f>
        <v>0</v>
      </c>
      <c r="E70" s="10"/>
      <c r="F70" s="10"/>
      <c r="G70" s="10"/>
      <c r="H70" s="10"/>
      <c r="I70" s="10"/>
      <c r="J70" s="88"/>
      <c r="K70" s="57"/>
      <c r="L70" s="57"/>
      <c r="M70" s="57"/>
      <c r="N70" s="57"/>
      <c r="O70" s="57"/>
      <c r="P70" s="57"/>
      <c r="Q70" s="85"/>
      <c r="R70" s="57"/>
      <c r="S70" s="57"/>
      <c r="T70" s="57"/>
      <c r="U70" s="57"/>
      <c r="V70" s="57"/>
    </row>
    <row r="71" spans="1:22" s="11" customFormat="1" x14ac:dyDescent="0.2">
      <c r="A71" s="31" t="s">
        <v>32</v>
      </c>
      <c r="B71" s="75" t="s">
        <v>89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</row>
    <row r="72" spans="1:22" s="11" customFormat="1" x14ac:dyDescent="0.2">
      <c r="A72" s="32"/>
      <c r="B72" s="76" t="s">
        <v>5</v>
      </c>
      <c r="C72" s="76"/>
      <c r="D72" s="14">
        <f>SUM(D73:D77)</f>
        <v>4678154.916100001</v>
      </c>
      <c r="E72" s="14">
        <f>SUM(E73:E77)</f>
        <v>1762019.7341099996</v>
      </c>
      <c r="F72" s="14">
        <f>SUM(F73:F77)</f>
        <v>1599630.3738699998</v>
      </c>
      <c r="G72" s="14">
        <f t="shared" ref="G72:I72" si="5">SUM(G73:G77)</f>
        <v>1316504.8081200002</v>
      </c>
      <c r="H72" s="14">
        <f t="shared" si="5"/>
        <v>0</v>
      </c>
      <c r="I72" s="14">
        <f t="shared" si="5"/>
        <v>0</v>
      </c>
      <c r="J72" s="34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6"/>
    </row>
    <row r="73" spans="1:22" s="11" customFormat="1" x14ac:dyDescent="0.2">
      <c r="A73" s="32"/>
      <c r="B73" s="76" t="s">
        <v>0</v>
      </c>
      <c r="C73" s="76"/>
      <c r="D73" s="14">
        <f>E73+F73+G73+H73+I73</f>
        <v>1596828.2000000002</v>
      </c>
      <c r="E73" s="14">
        <f>E82+E90+E98+E106+E114+E122+E130+E138+E146+E154+E162+E170+E178+E186+E194+E202+E210+E219+E227</f>
        <v>759487.6</v>
      </c>
      <c r="F73" s="14">
        <f t="shared" ref="F73:I73" si="6">F82+F90+F98+F106+F114+F122+F130+F138+F146+F154+F162+F170+F178+F186+F194+F202+F210+F219+F227</f>
        <v>388392.5</v>
      </c>
      <c r="G73" s="14">
        <f t="shared" si="6"/>
        <v>448948.10000000003</v>
      </c>
      <c r="H73" s="14">
        <f t="shared" si="6"/>
        <v>0</v>
      </c>
      <c r="I73" s="14">
        <f t="shared" si="6"/>
        <v>0</v>
      </c>
      <c r="J73" s="37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9"/>
    </row>
    <row r="74" spans="1:22" s="11" customFormat="1" x14ac:dyDescent="0.2">
      <c r="A74" s="32"/>
      <c r="B74" s="76" t="s">
        <v>1</v>
      </c>
      <c r="C74" s="76"/>
      <c r="D74" s="14">
        <f>E74+F74+G74+H74+I74</f>
        <v>3069566.52996</v>
      </c>
      <c r="E74" s="14">
        <f>E83+E91+E99+E107+E115+E123+E131+E139+E147+E155+E163+E171+E179+E187+E195+E203+E211+E220+E228</f>
        <v>997669.58783999993</v>
      </c>
      <c r="F74" s="14">
        <f t="shared" ref="F74:I74" si="7">F83+F91+F99+F107+F115+F123+F131+F139+F147+F155+F163+F171+F179+F187+F195+F203+F211+F220+F228</f>
        <v>1209000.9399999997</v>
      </c>
      <c r="G74" s="14">
        <f t="shared" si="7"/>
        <v>862896.00212000008</v>
      </c>
      <c r="H74" s="14">
        <f t="shared" si="7"/>
        <v>0</v>
      </c>
      <c r="I74" s="14">
        <f t="shared" si="7"/>
        <v>0</v>
      </c>
      <c r="J74" s="37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9"/>
    </row>
    <row r="75" spans="1:22" s="11" customFormat="1" ht="38.25" customHeight="1" x14ac:dyDescent="0.2">
      <c r="A75" s="32"/>
      <c r="B75" s="112" t="s">
        <v>514</v>
      </c>
      <c r="C75" s="113"/>
      <c r="D75" s="14">
        <f>E75+F75+G75+H75+I75</f>
        <v>2877.41896</v>
      </c>
      <c r="E75" s="14">
        <f>E212</f>
        <v>2877.41896</v>
      </c>
      <c r="F75" s="14">
        <f t="shared" ref="F75:I75" si="8">F212</f>
        <v>0</v>
      </c>
      <c r="G75" s="14">
        <f t="shared" si="8"/>
        <v>0</v>
      </c>
      <c r="H75" s="14">
        <f t="shared" si="8"/>
        <v>0</v>
      </c>
      <c r="I75" s="14">
        <f t="shared" si="8"/>
        <v>0</v>
      </c>
      <c r="J75" s="37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9"/>
    </row>
    <row r="76" spans="1:22" s="11" customFormat="1" x14ac:dyDescent="0.2">
      <c r="A76" s="32"/>
      <c r="B76" s="76" t="s">
        <v>2</v>
      </c>
      <c r="C76" s="76"/>
      <c r="D76" s="14">
        <f>E76+F76+G76+H76+I76</f>
        <v>8882.7671799999989</v>
      </c>
      <c r="E76" s="14">
        <f>E84+E92+E100+E108+E116+E124+E132+E140+E148+E156+E164+E172+E180+E188+E196+E204+E213+E221+E229</f>
        <v>1985.1273099999999</v>
      </c>
      <c r="F76" s="14">
        <f t="shared" ref="F76:I76" si="9">F84+F92+F100+F108+F116+F124+F132+F140+F148+F156+F164+F172+F180+F188+F196+F204+F213+F221+F229</f>
        <v>2236.9338699999998</v>
      </c>
      <c r="G76" s="14">
        <f t="shared" si="9"/>
        <v>4660.7060000000001</v>
      </c>
      <c r="H76" s="14">
        <f t="shared" si="9"/>
        <v>0</v>
      </c>
      <c r="I76" s="14">
        <f t="shared" si="9"/>
        <v>0</v>
      </c>
      <c r="J76" s="37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9"/>
    </row>
    <row r="77" spans="1:22" s="11" customFormat="1" ht="17.25" customHeight="1" x14ac:dyDescent="0.2">
      <c r="A77" s="33"/>
      <c r="B77" s="76" t="s">
        <v>3</v>
      </c>
      <c r="C77" s="76"/>
      <c r="D77" s="14">
        <f>E77+F77+G77+H77+I77</f>
        <v>0</v>
      </c>
      <c r="E77" s="14">
        <f>E85+E93+E101+E109+E117+E125+E133+E141+E149+E157+E165+E173+E181+E189+E197+E205+E214+E222+E230</f>
        <v>0</v>
      </c>
      <c r="F77" s="14">
        <f t="shared" ref="F77:I77" si="10">F85+F93+F101+F109+F117+F125+F133+F141+F149+F157+F165+F173+F181+F189+F197+F205+F214+F222+F230</f>
        <v>0</v>
      </c>
      <c r="G77" s="14">
        <f t="shared" si="10"/>
        <v>0</v>
      </c>
      <c r="H77" s="14">
        <f t="shared" si="10"/>
        <v>0</v>
      </c>
      <c r="I77" s="14">
        <f t="shared" si="10"/>
        <v>0</v>
      </c>
      <c r="J77" s="40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2"/>
    </row>
    <row r="78" spans="1:22" x14ac:dyDescent="0.2">
      <c r="A78" s="46" t="s">
        <v>34</v>
      </c>
      <c r="B78" s="24" t="s">
        <v>16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5"/>
    </row>
    <row r="79" spans="1:22" s="11" customFormat="1" x14ac:dyDescent="0.2">
      <c r="A79" s="47" t="s">
        <v>30</v>
      </c>
      <c r="B79" s="82" t="s">
        <v>145</v>
      </c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</row>
    <row r="80" spans="1:22" s="11" customFormat="1" ht="99.95" customHeight="1" x14ac:dyDescent="0.2">
      <c r="A80" s="47"/>
      <c r="B80" s="60" t="s">
        <v>146</v>
      </c>
      <c r="C80" s="61" t="s">
        <v>146</v>
      </c>
      <c r="D80" s="61"/>
      <c r="E80" s="61"/>
      <c r="F80" s="61"/>
      <c r="G80" s="61"/>
      <c r="H80" s="61"/>
      <c r="I80" s="62"/>
      <c r="J80" s="57" t="s">
        <v>66</v>
      </c>
      <c r="K80" s="57"/>
      <c r="L80" s="57" t="s">
        <v>61</v>
      </c>
      <c r="M80" s="57" t="s">
        <v>147</v>
      </c>
      <c r="N80" s="57" t="s">
        <v>12</v>
      </c>
      <c r="O80" s="57" t="s">
        <v>124</v>
      </c>
      <c r="P80" s="57" t="s">
        <v>124</v>
      </c>
      <c r="Q80" s="85" t="s">
        <v>107</v>
      </c>
      <c r="R80" s="57" t="s">
        <v>9</v>
      </c>
      <c r="S80" s="57" t="s">
        <v>12</v>
      </c>
      <c r="T80" s="57" t="s">
        <v>7</v>
      </c>
      <c r="U80" s="57"/>
      <c r="V80" s="57" t="s">
        <v>442</v>
      </c>
    </row>
    <row r="81" spans="1:22" s="11" customFormat="1" x14ac:dyDescent="0.2">
      <c r="A81" s="47"/>
      <c r="B81" s="59" t="s">
        <v>5</v>
      </c>
      <c r="C81" s="59" t="s">
        <v>5</v>
      </c>
      <c r="D81" s="9">
        <f>SUM(D82:D85)</f>
        <v>291296.26</v>
      </c>
      <c r="E81" s="10">
        <f>SUM(E82:E85)</f>
        <v>291296.26</v>
      </c>
      <c r="F81" s="10"/>
      <c r="G81" s="10"/>
      <c r="H81" s="10"/>
      <c r="I81" s="10"/>
      <c r="J81" s="57"/>
      <c r="K81" s="57"/>
      <c r="L81" s="57"/>
      <c r="M81" s="57"/>
      <c r="N81" s="57"/>
      <c r="O81" s="57"/>
      <c r="P81" s="57"/>
      <c r="Q81" s="85"/>
      <c r="R81" s="57"/>
      <c r="S81" s="57"/>
      <c r="T81" s="57"/>
      <c r="U81" s="57"/>
      <c r="V81" s="57"/>
    </row>
    <row r="82" spans="1:22" s="11" customFormat="1" x14ac:dyDescent="0.2">
      <c r="A82" s="47"/>
      <c r="B82" s="59" t="s">
        <v>0</v>
      </c>
      <c r="C82" s="59" t="s">
        <v>0</v>
      </c>
      <c r="D82" s="9">
        <f>E82+F82+G82+H82+I82</f>
        <v>0</v>
      </c>
      <c r="E82" s="10"/>
      <c r="F82" s="10"/>
      <c r="G82" s="10"/>
      <c r="H82" s="10"/>
      <c r="I82" s="10"/>
      <c r="J82" s="57"/>
      <c r="K82" s="57"/>
      <c r="L82" s="57"/>
      <c r="M82" s="57"/>
      <c r="N82" s="57"/>
      <c r="O82" s="57"/>
      <c r="P82" s="57"/>
      <c r="Q82" s="85"/>
      <c r="R82" s="57"/>
      <c r="S82" s="57"/>
      <c r="T82" s="57"/>
      <c r="U82" s="57"/>
      <c r="V82" s="57"/>
    </row>
    <row r="83" spans="1:22" s="11" customFormat="1" x14ac:dyDescent="0.2">
      <c r="A83" s="47"/>
      <c r="B83" s="59" t="s">
        <v>1</v>
      </c>
      <c r="C83" s="59" t="s">
        <v>1</v>
      </c>
      <c r="D83" s="9">
        <f>E83+F83+G83+H83+I83</f>
        <v>291285.27</v>
      </c>
      <c r="E83" s="13">
        <v>291285.27</v>
      </c>
      <c r="F83" s="10"/>
      <c r="G83" s="10"/>
      <c r="H83" s="10"/>
      <c r="I83" s="10"/>
      <c r="J83" s="57"/>
      <c r="K83" s="57"/>
      <c r="L83" s="57"/>
      <c r="M83" s="57"/>
      <c r="N83" s="57"/>
      <c r="O83" s="57"/>
      <c r="P83" s="57"/>
      <c r="Q83" s="85"/>
      <c r="R83" s="57"/>
      <c r="S83" s="57"/>
      <c r="T83" s="57"/>
      <c r="U83" s="57"/>
      <c r="V83" s="57"/>
    </row>
    <row r="84" spans="1:22" s="11" customFormat="1" x14ac:dyDescent="0.2">
      <c r="A84" s="47"/>
      <c r="B84" s="59" t="s">
        <v>2</v>
      </c>
      <c r="C84" s="59" t="s">
        <v>2</v>
      </c>
      <c r="D84" s="9">
        <f>E84+F84+G84+H84+I84</f>
        <v>10.99</v>
      </c>
      <c r="E84" s="10">
        <v>10.99</v>
      </c>
      <c r="F84" s="10"/>
      <c r="G84" s="10"/>
      <c r="H84" s="10"/>
      <c r="I84" s="10"/>
      <c r="J84" s="57"/>
      <c r="K84" s="57"/>
      <c r="L84" s="57"/>
      <c r="M84" s="57"/>
      <c r="N84" s="57"/>
      <c r="O84" s="57"/>
      <c r="P84" s="57"/>
      <c r="Q84" s="85"/>
      <c r="R84" s="57"/>
      <c r="S84" s="57"/>
      <c r="T84" s="57"/>
      <c r="U84" s="57"/>
      <c r="V84" s="57"/>
    </row>
    <row r="85" spans="1:22" s="11" customFormat="1" ht="21" customHeight="1" x14ac:dyDescent="0.2">
      <c r="A85" s="48"/>
      <c r="B85" s="59" t="s">
        <v>3</v>
      </c>
      <c r="C85" s="59" t="s">
        <v>3</v>
      </c>
      <c r="D85" s="9">
        <f>E85+F85+G85+H85+I85</f>
        <v>0</v>
      </c>
      <c r="E85" s="10"/>
      <c r="F85" s="10"/>
      <c r="G85" s="10"/>
      <c r="H85" s="10"/>
      <c r="I85" s="10"/>
      <c r="J85" s="57"/>
      <c r="K85" s="57"/>
      <c r="L85" s="57"/>
      <c r="M85" s="57"/>
      <c r="N85" s="57"/>
      <c r="O85" s="57"/>
      <c r="P85" s="57"/>
      <c r="Q85" s="85"/>
      <c r="R85" s="57"/>
      <c r="S85" s="57"/>
      <c r="T85" s="57"/>
      <c r="U85" s="57"/>
      <c r="V85" s="57"/>
    </row>
    <row r="86" spans="1:22" x14ac:dyDescent="0.2">
      <c r="A86" s="46" t="s">
        <v>35</v>
      </c>
      <c r="B86" s="24" t="s">
        <v>16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5"/>
    </row>
    <row r="87" spans="1:22" s="11" customFormat="1" x14ac:dyDescent="0.2">
      <c r="A87" s="47" t="s">
        <v>30</v>
      </c>
      <c r="B87" s="82" t="s">
        <v>145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</row>
    <row r="88" spans="1:22" s="11" customFormat="1" ht="99.95" customHeight="1" x14ac:dyDescent="0.2">
      <c r="A88" s="47"/>
      <c r="B88" s="60" t="s">
        <v>148</v>
      </c>
      <c r="C88" s="61" t="s">
        <v>148</v>
      </c>
      <c r="D88" s="61"/>
      <c r="E88" s="61"/>
      <c r="F88" s="61"/>
      <c r="G88" s="61"/>
      <c r="H88" s="61"/>
      <c r="I88" s="62"/>
      <c r="J88" s="57" t="s">
        <v>117</v>
      </c>
      <c r="K88" s="57"/>
      <c r="L88" s="57" t="s">
        <v>60</v>
      </c>
      <c r="M88" s="57" t="s">
        <v>113</v>
      </c>
      <c r="N88" s="57" t="s">
        <v>82</v>
      </c>
      <c r="O88" s="57" t="s">
        <v>141</v>
      </c>
      <c r="P88" s="57" t="s">
        <v>82</v>
      </c>
      <c r="Q88" s="85" t="s">
        <v>387</v>
      </c>
      <c r="R88" s="57" t="s">
        <v>11</v>
      </c>
      <c r="S88" s="57" t="s">
        <v>114</v>
      </c>
      <c r="T88" s="57" t="s">
        <v>7</v>
      </c>
      <c r="U88" s="57"/>
      <c r="V88" s="57" t="s">
        <v>443</v>
      </c>
    </row>
    <row r="89" spans="1:22" s="11" customFormat="1" x14ac:dyDescent="0.2">
      <c r="A89" s="47"/>
      <c r="B89" s="59" t="s">
        <v>5</v>
      </c>
      <c r="C89" s="59" t="s">
        <v>5</v>
      </c>
      <c r="D89" s="9">
        <f>SUM(D90:D93)</f>
        <v>165379.35</v>
      </c>
      <c r="E89" s="10">
        <f>SUM(E90:E93)</f>
        <v>83582.070000000007</v>
      </c>
      <c r="F89" s="10">
        <f>SUM(F90:F93)</f>
        <v>81797.279999999999</v>
      </c>
      <c r="G89" s="10"/>
      <c r="H89" s="10"/>
      <c r="I89" s="10"/>
      <c r="J89" s="57"/>
      <c r="K89" s="57"/>
      <c r="L89" s="57"/>
      <c r="M89" s="57"/>
      <c r="N89" s="57"/>
      <c r="O89" s="57"/>
      <c r="P89" s="57"/>
      <c r="Q89" s="85"/>
      <c r="R89" s="57"/>
      <c r="S89" s="57"/>
      <c r="T89" s="57"/>
      <c r="U89" s="57"/>
      <c r="V89" s="57"/>
    </row>
    <row r="90" spans="1:22" s="11" customFormat="1" x14ac:dyDescent="0.2">
      <c r="A90" s="47"/>
      <c r="B90" s="59" t="s">
        <v>0</v>
      </c>
      <c r="C90" s="59" t="s">
        <v>0</v>
      </c>
      <c r="D90" s="9">
        <f>E90+F90+G90+H90+I90</f>
        <v>0</v>
      </c>
      <c r="E90" s="10"/>
      <c r="F90" s="10"/>
      <c r="G90" s="10"/>
      <c r="H90" s="10"/>
      <c r="I90" s="10"/>
      <c r="J90" s="57"/>
      <c r="K90" s="57"/>
      <c r="L90" s="57"/>
      <c r="M90" s="57"/>
      <c r="N90" s="57"/>
      <c r="O90" s="57"/>
      <c r="P90" s="57"/>
      <c r="Q90" s="85"/>
      <c r="R90" s="57"/>
      <c r="S90" s="57"/>
      <c r="T90" s="57"/>
      <c r="U90" s="57"/>
      <c r="V90" s="57"/>
    </row>
    <row r="91" spans="1:22" s="11" customFormat="1" x14ac:dyDescent="0.2">
      <c r="A91" s="47"/>
      <c r="B91" s="59" t="s">
        <v>1</v>
      </c>
      <c r="C91" s="59" t="s">
        <v>1</v>
      </c>
      <c r="D91" s="9">
        <f>E91+F91+G91+H91+I91</f>
        <v>165379.35</v>
      </c>
      <c r="E91" s="13">
        <v>83582.070000000007</v>
      </c>
      <c r="F91" s="10">
        <v>81797.279999999999</v>
      </c>
      <c r="G91" s="10"/>
      <c r="H91" s="10"/>
      <c r="I91" s="10"/>
      <c r="J91" s="57"/>
      <c r="K91" s="57"/>
      <c r="L91" s="57"/>
      <c r="M91" s="57"/>
      <c r="N91" s="57"/>
      <c r="O91" s="57"/>
      <c r="P91" s="57"/>
      <c r="Q91" s="85"/>
      <c r="R91" s="57"/>
      <c r="S91" s="57"/>
      <c r="T91" s="57"/>
      <c r="U91" s="57"/>
      <c r="V91" s="57"/>
    </row>
    <row r="92" spans="1:22" s="11" customFormat="1" x14ac:dyDescent="0.2">
      <c r="A92" s="47"/>
      <c r="B92" s="59" t="s">
        <v>2</v>
      </c>
      <c r="C92" s="59" t="s">
        <v>2</v>
      </c>
      <c r="D92" s="9">
        <f>E92+F92+G92+H92+I92</f>
        <v>0</v>
      </c>
      <c r="E92" s="10"/>
      <c r="F92" s="10"/>
      <c r="G92" s="10"/>
      <c r="H92" s="10"/>
      <c r="I92" s="10"/>
      <c r="J92" s="57"/>
      <c r="K92" s="57"/>
      <c r="L92" s="57"/>
      <c r="M92" s="57"/>
      <c r="N92" s="57"/>
      <c r="O92" s="57"/>
      <c r="P92" s="57"/>
      <c r="Q92" s="85"/>
      <c r="R92" s="57"/>
      <c r="S92" s="57"/>
      <c r="T92" s="57"/>
      <c r="U92" s="57"/>
      <c r="V92" s="57"/>
    </row>
    <row r="93" spans="1:22" s="11" customFormat="1" ht="21" customHeight="1" x14ac:dyDescent="0.2">
      <c r="A93" s="48"/>
      <c r="B93" s="59" t="s">
        <v>3</v>
      </c>
      <c r="C93" s="59" t="s">
        <v>3</v>
      </c>
      <c r="D93" s="9">
        <f>E93+F93+G93+H93+I93</f>
        <v>0</v>
      </c>
      <c r="E93" s="10"/>
      <c r="F93" s="10"/>
      <c r="G93" s="10"/>
      <c r="H93" s="10"/>
      <c r="I93" s="10"/>
      <c r="J93" s="57"/>
      <c r="K93" s="57"/>
      <c r="L93" s="57"/>
      <c r="M93" s="57"/>
      <c r="N93" s="57"/>
      <c r="O93" s="57"/>
      <c r="P93" s="57"/>
      <c r="Q93" s="85"/>
      <c r="R93" s="57"/>
      <c r="S93" s="57"/>
      <c r="T93" s="57"/>
      <c r="U93" s="57"/>
      <c r="V93" s="57"/>
    </row>
    <row r="94" spans="1:22" x14ac:dyDescent="0.2">
      <c r="A94" s="46" t="s">
        <v>36</v>
      </c>
      <c r="B94" s="24" t="s">
        <v>16</v>
      </c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5"/>
    </row>
    <row r="95" spans="1:22" s="11" customFormat="1" x14ac:dyDescent="0.2">
      <c r="A95" s="47" t="s">
        <v>30</v>
      </c>
      <c r="B95" s="82" t="s">
        <v>145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</row>
    <row r="96" spans="1:22" s="11" customFormat="1" ht="99.95" customHeight="1" x14ac:dyDescent="0.2">
      <c r="A96" s="47"/>
      <c r="B96" s="54" t="s">
        <v>125</v>
      </c>
      <c r="C96" s="55" t="s">
        <v>125</v>
      </c>
      <c r="D96" s="55"/>
      <c r="E96" s="55"/>
      <c r="F96" s="55"/>
      <c r="G96" s="55"/>
      <c r="H96" s="55"/>
      <c r="I96" s="56"/>
      <c r="J96" s="57" t="s">
        <v>117</v>
      </c>
      <c r="K96" s="57"/>
      <c r="L96" s="57" t="s">
        <v>60</v>
      </c>
      <c r="M96" s="57" t="s">
        <v>113</v>
      </c>
      <c r="N96" s="57" t="s">
        <v>82</v>
      </c>
      <c r="O96" s="57" t="s">
        <v>141</v>
      </c>
      <c r="P96" s="57" t="s">
        <v>82</v>
      </c>
      <c r="Q96" s="85" t="s">
        <v>150</v>
      </c>
      <c r="R96" s="57" t="s">
        <v>11</v>
      </c>
      <c r="S96" s="57" t="s">
        <v>115</v>
      </c>
      <c r="T96" s="57" t="s">
        <v>17</v>
      </c>
      <c r="U96" s="57"/>
      <c r="V96" s="57" t="s">
        <v>444</v>
      </c>
    </row>
    <row r="97" spans="1:22" s="11" customFormat="1" x14ac:dyDescent="0.2">
      <c r="A97" s="47"/>
      <c r="B97" s="30" t="s">
        <v>5</v>
      </c>
      <c r="C97" s="30" t="s">
        <v>5</v>
      </c>
      <c r="D97" s="12">
        <f>SUM(D98:D101)</f>
        <v>335414.14</v>
      </c>
      <c r="E97" s="13">
        <f>SUM(E98:E101)</f>
        <v>112999.9</v>
      </c>
      <c r="F97" s="13">
        <f t="shared" ref="F97:G97" si="11">SUM(F98:F101)</f>
        <v>138414.24</v>
      </c>
      <c r="G97" s="13">
        <f t="shared" si="11"/>
        <v>84000</v>
      </c>
      <c r="H97" s="13"/>
      <c r="I97" s="13"/>
      <c r="J97" s="57"/>
      <c r="K97" s="57"/>
      <c r="L97" s="57"/>
      <c r="M97" s="57"/>
      <c r="N97" s="57"/>
      <c r="O97" s="57"/>
      <c r="P97" s="57"/>
      <c r="Q97" s="85"/>
      <c r="R97" s="57"/>
      <c r="S97" s="57"/>
      <c r="T97" s="57"/>
      <c r="U97" s="57"/>
      <c r="V97" s="57"/>
    </row>
    <row r="98" spans="1:22" s="11" customFormat="1" x14ac:dyDescent="0.2">
      <c r="A98" s="47"/>
      <c r="B98" s="30" t="s">
        <v>0</v>
      </c>
      <c r="C98" s="30" t="s">
        <v>0</v>
      </c>
      <c r="D98" s="12">
        <f>E98+F98+G98+H98+I98</f>
        <v>0</v>
      </c>
      <c r="E98" s="13"/>
      <c r="F98" s="13"/>
      <c r="G98" s="13"/>
      <c r="H98" s="13"/>
      <c r="I98" s="13"/>
      <c r="J98" s="57"/>
      <c r="K98" s="57"/>
      <c r="L98" s="57"/>
      <c r="M98" s="57"/>
      <c r="N98" s="57"/>
      <c r="O98" s="57"/>
      <c r="P98" s="57"/>
      <c r="Q98" s="85"/>
      <c r="R98" s="57"/>
      <c r="S98" s="57"/>
      <c r="T98" s="57"/>
      <c r="U98" s="57"/>
      <c r="V98" s="57"/>
    </row>
    <row r="99" spans="1:22" s="11" customFormat="1" x14ac:dyDescent="0.2">
      <c r="A99" s="47"/>
      <c r="B99" s="30" t="s">
        <v>1</v>
      </c>
      <c r="C99" s="30" t="s">
        <v>1</v>
      </c>
      <c r="D99" s="12">
        <f>E99+F99+G99+H99+I99</f>
        <v>335414.14</v>
      </c>
      <c r="E99" s="13">
        <f>105678+7321.9</f>
        <v>112999.9</v>
      </c>
      <c r="F99" s="13">
        <v>138414.24</v>
      </c>
      <c r="G99" s="13">
        <f>0+84000</f>
        <v>84000</v>
      </c>
      <c r="H99" s="13"/>
      <c r="I99" s="13"/>
      <c r="J99" s="57"/>
      <c r="K99" s="57"/>
      <c r="L99" s="57"/>
      <c r="M99" s="57"/>
      <c r="N99" s="57"/>
      <c r="O99" s="57"/>
      <c r="P99" s="57"/>
      <c r="Q99" s="85"/>
      <c r="R99" s="57"/>
      <c r="S99" s="57"/>
      <c r="T99" s="57"/>
      <c r="U99" s="57"/>
      <c r="V99" s="57"/>
    </row>
    <row r="100" spans="1:22" s="11" customFormat="1" x14ac:dyDescent="0.2">
      <c r="A100" s="47"/>
      <c r="B100" s="59" t="s">
        <v>2</v>
      </c>
      <c r="C100" s="59" t="s">
        <v>2</v>
      </c>
      <c r="D100" s="9">
        <f>E100+F100+G100+H100+I100</f>
        <v>0</v>
      </c>
      <c r="E100" s="10"/>
      <c r="F100" s="10"/>
      <c r="G100" s="10"/>
      <c r="H100" s="10"/>
      <c r="I100" s="10"/>
      <c r="J100" s="57"/>
      <c r="K100" s="57"/>
      <c r="L100" s="57"/>
      <c r="M100" s="57"/>
      <c r="N100" s="57"/>
      <c r="O100" s="57"/>
      <c r="P100" s="57"/>
      <c r="Q100" s="85"/>
      <c r="R100" s="57"/>
      <c r="S100" s="57"/>
      <c r="T100" s="57"/>
      <c r="U100" s="57"/>
      <c r="V100" s="57"/>
    </row>
    <row r="101" spans="1:22" s="11" customFormat="1" ht="21" customHeight="1" x14ac:dyDescent="0.2">
      <c r="A101" s="48"/>
      <c r="B101" s="59" t="s">
        <v>3</v>
      </c>
      <c r="C101" s="59" t="s">
        <v>3</v>
      </c>
      <c r="D101" s="9">
        <f>E101+F101+G101+H101+I101</f>
        <v>0</v>
      </c>
      <c r="E101" s="10"/>
      <c r="F101" s="10"/>
      <c r="G101" s="10"/>
      <c r="H101" s="10"/>
      <c r="I101" s="10"/>
      <c r="J101" s="57"/>
      <c r="K101" s="57"/>
      <c r="L101" s="57"/>
      <c r="M101" s="57"/>
      <c r="N101" s="57"/>
      <c r="O101" s="57"/>
      <c r="P101" s="57"/>
      <c r="Q101" s="85"/>
      <c r="R101" s="57"/>
      <c r="S101" s="57"/>
      <c r="T101" s="57"/>
      <c r="U101" s="57"/>
      <c r="V101" s="57"/>
    </row>
    <row r="102" spans="1:22" s="11" customFormat="1" x14ac:dyDescent="0.2">
      <c r="A102" s="46" t="s">
        <v>37</v>
      </c>
      <c r="B102" s="24" t="s">
        <v>16</v>
      </c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5"/>
    </row>
    <row r="103" spans="1:22" s="11" customFormat="1" x14ac:dyDescent="0.2">
      <c r="A103" s="47" t="s">
        <v>30</v>
      </c>
      <c r="B103" s="82" t="s">
        <v>145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</row>
    <row r="104" spans="1:22" s="11" customFormat="1" ht="99.95" customHeight="1" x14ac:dyDescent="0.2">
      <c r="A104" s="47"/>
      <c r="B104" s="60" t="s">
        <v>152</v>
      </c>
      <c r="C104" s="61" t="s">
        <v>152</v>
      </c>
      <c r="D104" s="61"/>
      <c r="E104" s="61"/>
      <c r="F104" s="61"/>
      <c r="G104" s="61"/>
      <c r="H104" s="61"/>
      <c r="I104" s="62"/>
      <c r="J104" s="57" t="s">
        <v>66</v>
      </c>
      <c r="K104" s="57"/>
      <c r="L104" s="57" t="s">
        <v>60</v>
      </c>
      <c r="M104" s="57" t="s">
        <v>113</v>
      </c>
      <c r="N104" s="57" t="s">
        <v>82</v>
      </c>
      <c r="O104" s="57" t="s">
        <v>141</v>
      </c>
      <c r="P104" s="57" t="s">
        <v>82</v>
      </c>
      <c r="Q104" s="85" t="s">
        <v>153</v>
      </c>
      <c r="R104" s="57" t="s">
        <v>11</v>
      </c>
      <c r="S104" s="57" t="s">
        <v>154</v>
      </c>
      <c r="T104" s="57" t="s">
        <v>7</v>
      </c>
      <c r="U104" s="57"/>
      <c r="V104" s="57" t="s">
        <v>445</v>
      </c>
    </row>
    <row r="105" spans="1:22" s="11" customFormat="1" x14ac:dyDescent="0.2">
      <c r="A105" s="47"/>
      <c r="B105" s="59" t="s">
        <v>5</v>
      </c>
      <c r="C105" s="59" t="s">
        <v>5</v>
      </c>
      <c r="D105" s="9">
        <f>SUM(D106:D109)</f>
        <v>144912.41712</v>
      </c>
      <c r="E105" s="10">
        <f>SUM(E106:E109)</f>
        <v>144912.41712</v>
      </c>
      <c r="F105" s="10"/>
      <c r="G105" s="10"/>
      <c r="H105" s="10"/>
      <c r="I105" s="10"/>
      <c r="J105" s="57"/>
      <c r="K105" s="57"/>
      <c r="L105" s="57"/>
      <c r="M105" s="57"/>
      <c r="N105" s="57"/>
      <c r="O105" s="57"/>
      <c r="P105" s="57"/>
      <c r="Q105" s="85"/>
      <c r="R105" s="57"/>
      <c r="S105" s="57"/>
      <c r="T105" s="57"/>
      <c r="U105" s="57"/>
      <c r="V105" s="57"/>
    </row>
    <row r="106" spans="1:22" s="11" customFormat="1" x14ac:dyDescent="0.2">
      <c r="A106" s="47"/>
      <c r="B106" s="59" t="s">
        <v>0</v>
      </c>
      <c r="C106" s="59" t="s">
        <v>0</v>
      </c>
      <c r="D106" s="9">
        <f>E106+F106+G106+H106+I106</f>
        <v>0</v>
      </c>
      <c r="E106" s="10"/>
      <c r="F106" s="10"/>
      <c r="G106" s="10"/>
      <c r="H106" s="10"/>
      <c r="I106" s="10"/>
      <c r="J106" s="57"/>
      <c r="K106" s="57"/>
      <c r="L106" s="57"/>
      <c r="M106" s="57"/>
      <c r="N106" s="57"/>
      <c r="O106" s="57"/>
      <c r="P106" s="57"/>
      <c r="Q106" s="85"/>
      <c r="R106" s="57"/>
      <c r="S106" s="57"/>
      <c r="T106" s="57"/>
      <c r="U106" s="57"/>
      <c r="V106" s="57"/>
    </row>
    <row r="107" spans="1:22" s="11" customFormat="1" x14ac:dyDescent="0.2">
      <c r="A107" s="47"/>
      <c r="B107" s="59" t="s">
        <v>1</v>
      </c>
      <c r="C107" s="59" t="s">
        <v>1</v>
      </c>
      <c r="D107" s="9">
        <f>E107+F107+G107+H107+I107</f>
        <v>144912.41712</v>
      </c>
      <c r="E107" s="13">
        <f>138621.6+6290.81712</f>
        <v>144912.41712</v>
      </c>
      <c r="F107" s="10"/>
      <c r="G107" s="10"/>
      <c r="H107" s="10"/>
      <c r="I107" s="10"/>
      <c r="J107" s="57"/>
      <c r="K107" s="57"/>
      <c r="L107" s="57"/>
      <c r="M107" s="57"/>
      <c r="N107" s="57"/>
      <c r="O107" s="57"/>
      <c r="P107" s="57"/>
      <c r="Q107" s="85"/>
      <c r="R107" s="57"/>
      <c r="S107" s="57"/>
      <c r="T107" s="57"/>
      <c r="U107" s="57"/>
      <c r="V107" s="57"/>
    </row>
    <row r="108" spans="1:22" s="11" customFormat="1" x14ac:dyDescent="0.2">
      <c r="A108" s="47"/>
      <c r="B108" s="59" t="s">
        <v>2</v>
      </c>
      <c r="C108" s="59" t="s">
        <v>2</v>
      </c>
      <c r="D108" s="9">
        <f>E108+F108+G108+H108+I108</f>
        <v>0</v>
      </c>
      <c r="E108" s="10"/>
      <c r="F108" s="10"/>
      <c r="G108" s="10"/>
      <c r="H108" s="10"/>
      <c r="I108" s="10"/>
      <c r="J108" s="57"/>
      <c r="K108" s="57"/>
      <c r="L108" s="57"/>
      <c r="M108" s="57"/>
      <c r="N108" s="57"/>
      <c r="O108" s="57"/>
      <c r="P108" s="57"/>
      <c r="Q108" s="85"/>
      <c r="R108" s="57"/>
      <c r="S108" s="57"/>
      <c r="T108" s="57"/>
      <c r="U108" s="57"/>
      <c r="V108" s="57"/>
    </row>
    <row r="109" spans="1:22" s="11" customFormat="1" ht="21" customHeight="1" x14ac:dyDescent="0.2">
      <c r="A109" s="48"/>
      <c r="B109" s="59" t="s">
        <v>3</v>
      </c>
      <c r="C109" s="59" t="s">
        <v>3</v>
      </c>
      <c r="D109" s="9">
        <f>E109+F109+G109+H109+I109</f>
        <v>0</v>
      </c>
      <c r="E109" s="10"/>
      <c r="F109" s="10"/>
      <c r="G109" s="10"/>
      <c r="H109" s="10"/>
      <c r="I109" s="10"/>
      <c r="J109" s="57"/>
      <c r="K109" s="57"/>
      <c r="L109" s="57"/>
      <c r="M109" s="57"/>
      <c r="N109" s="57"/>
      <c r="O109" s="57"/>
      <c r="P109" s="57"/>
      <c r="Q109" s="85"/>
      <c r="R109" s="57"/>
      <c r="S109" s="57"/>
      <c r="T109" s="57"/>
      <c r="U109" s="57"/>
      <c r="V109" s="57"/>
    </row>
    <row r="110" spans="1:22" s="11" customFormat="1" x14ac:dyDescent="0.2">
      <c r="A110" s="46" t="s">
        <v>103</v>
      </c>
      <c r="B110" s="24" t="s">
        <v>16</v>
      </c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5"/>
    </row>
    <row r="111" spans="1:22" s="11" customFormat="1" x14ac:dyDescent="0.2">
      <c r="A111" s="47" t="s">
        <v>30</v>
      </c>
      <c r="B111" s="82" t="s">
        <v>145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</row>
    <row r="112" spans="1:22" s="11" customFormat="1" ht="99.95" customHeight="1" x14ac:dyDescent="0.2">
      <c r="A112" s="47"/>
      <c r="B112" s="54" t="s">
        <v>391</v>
      </c>
      <c r="C112" s="55" t="s">
        <v>391</v>
      </c>
      <c r="D112" s="55"/>
      <c r="E112" s="55"/>
      <c r="F112" s="55"/>
      <c r="G112" s="55"/>
      <c r="H112" s="55"/>
      <c r="I112" s="56"/>
      <c r="J112" s="57" t="s">
        <v>87</v>
      </c>
      <c r="K112" s="57"/>
      <c r="L112" s="57" t="s">
        <v>60</v>
      </c>
      <c r="M112" s="57" t="s">
        <v>158</v>
      </c>
      <c r="N112" s="57" t="s">
        <v>82</v>
      </c>
      <c r="O112" s="57" t="s">
        <v>141</v>
      </c>
      <c r="P112" s="57" t="s">
        <v>82</v>
      </c>
      <c r="Q112" s="85" t="s">
        <v>390</v>
      </c>
      <c r="R112" s="57" t="s">
        <v>11</v>
      </c>
      <c r="S112" s="57" t="s">
        <v>114</v>
      </c>
      <c r="T112" s="57" t="s">
        <v>17</v>
      </c>
      <c r="U112" s="57"/>
      <c r="V112" s="57" t="s">
        <v>446</v>
      </c>
    </row>
    <row r="113" spans="1:22" s="11" customFormat="1" x14ac:dyDescent="0.2">
      <c r="A113" s="47"/>
      <c r="B113" s="30" t="s">
        <v>5</v>
      </c>
      <c r="C113" s="30" t="s">
        <v>5</v>
      </c>
      <c r="D113" s="12">
        <f>SUM(D114:D117)</f>
        <v>170806.77283000003</v>
      </c>
      <c r="E113" s="13"/>
      <c r="F113" s="13"/>
      <c r="G113" s="13">
        <f t="shared" ref="G113" si="12">SUM(G114:G117)</f>
        <v>170806.77283000003</v>
      </c>
      <c r="H113" s="13"/>
      <c r="I113" s="13"/>
      <c r="J113" s="57"/>
      <c r="K113" s="57"/>
      <c r="L113" s="57"/>
      <c r="M113" s="57"/>
      <c r="N113" s="57"/>
      <c r="O113" s="57"/>
      <c r="P113" s="57"/>
      <c r="Q113" s="85"/>
      <c r="R113" s="57"/>
      <c r="S113" s="57"/>
      <c r="T113" s="57"/>
      <c r="U113" s="57"/>
      <c r="V113" s="57"/>
    </row>
    <row r="114" spans="1:22" s="11" customFormat="1" x14ac:dyDescent="0.2">
      <c r="A114" s="47"/>
      <c r="B114" s="30" t="s">
        <v>0</v>
      </c>
      <c r="C114" s="30" t="s">
        <v>0</v>
      </c>
      <c r="D114" s="12">
        <f>E114+F114+G114+H114+I114</f>
        <v>0</v>
      </c>
      <c r="E114" s="13"/>
      <c r="F114" s="13"/>
      <c r="G114" s="13"/>
      <c r="H114" s="13"/>
      <c r="I114" s="13"/>
      <c r="J114" s="57"/>
      <c r="K114" s="57"/>
      <c r="L114" s="57"/>
      <c r="M114" s="57"/>
      <c r="N114" s="57"/>
      <c r="O114" s="57"/>
      <c r="P114" s="57"/>
      <c r="Q114" s="85"/>
      <c r="R114" s="57"/>
      <c r="S114" s="57"/>
      <c r="T114" s="57"/>
      <c r="U114" s="57"/>
      <c r="V114" s="57"/>
    </row>
    <row r="115" spans="1:22" s="11" customFormat="1" x14ac:dyDescent="0.2">
      <c r="A115" s="47"/>
      <c r="B115" s="30" t="s">
        <v>1</v>
      </c>
      <c r="C115" s="30" t="s">
        <v>1</v>
      </c>
      <c r="D115" s="12">
        <f>E115+F115+G115+H115+I115</f>
        <v>170806.77283000003</v>
      </c>
      <c r="E115" s="13"/>
      <c r="F115" s="13"/>
      <c r="G115" s="13">
        <f>318785.78-147100-879.00717</f>
        <v>170806.77283000003</v>
      </c>
      <c r="H115" s="13"/>
      <c r="I115" s="13"/>
      <c r="J115" s="57"/>
      <c r="K115" s="57"/>
      <c r="L115" s="57"/>
      <c r="M115" s="57"/>
      <c r="N115" s="57"/>
      <c r="O115" s="57"/>
      <c r="P115" s="57"/>
      <c r="Q115" s="85"/>
      <c r="R115" s="57"/>
      <c r="S115" s="57"/>
      <c r="T115" s="57"/>
      <c r="U115" s="57"/>
      <c r="V115" s="57"/>
    </row>
    <row r="116" spans="1:22" s="11" customFormat="1" x14ac:dyDescent="0.2">
      <c r="A116" s="47"/>
      <c r="B116" s="30" t="s">
        <v>2</v>
      </c>
      <c r="C116" s="30" t="s">
        <v>2</v>
      </c>
      <c r="D116" s="12">
        <f>E116+F116+G116+H116+I116</f>
        <v>0</v>
      </c>
      <c r="E116" s="13"/>
      <c r="F116" s="13"/>
      <c r="G116" s="13"/>
      <c r="H116" s="13"/>
      <c r="I116" s="13"/>
      <c r="J116" s="57"/>
      <c r="K116" s="57"/>
      <c r="L116" s="57"/>
      <c r="M116" s="57"/>
      <c r="N116" s="57"/>
      <c r="O116" s="57"/>
      <c r="P116" s="57"/>
      <c r="Q116" s="85"/>
      <c r="R116" s="57"/>
      <c r="S116" s="57"/>
      <c r="T116" s="57"/>
      <c r="U116" s="57"/>
      <c r="V116" s="57"/>
    </row>
    <row r="117" spans="1:22" s="11" customFormat="1" ht="21" customHeight="1" x14ac:dyDescent="0.2">
      <c r="A117" s="48"/>
      <c r="B117" s="59" t="s">
        <v>3</v>
      </c>
      <c r="C117" s="59" t="s">
        <v>3</v>
      </c>
      <c r="D117" s="9">
        <f>E117+F117+G117+H117+I117</f>
        <v>0</v>
      </c>
      <c r="E117" s="10"/>
      <c r="F117" s="10"/>
      <c r="G117" s="10"/>
      <c r="H117" s="10"/>
      <c r="I117" s="10"/>
      <c r="J117" s="57"/>
      <c r="K117" s="57"/>
      <c r="L117" s="57"/>
      <c r="M117" s="57"/>
      <c r="N117" s="57"/>
      <c r="O117" s="57"/>
      <c r="P117" s="57"/>
      <c r="Q117" s="85"/>
      <c r="R117" s="57"/>
      <c r="S117" s="57"/>
      <c r="T117" s="57"/>
      <c r="U117" s="57"/>
      <c r="V117" s="57"/>
    </row>
    <row r="118" spans="1:22" s="11" customFormat="1" x14ac:dyDescent="0.2">
      <c r="A118" s="46" t="s">
        <v>149</v>
      </c>
      <c r="B118" s="24" t="s">
        <v>16</v>
      </c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5"/>
    </row>
    <row r="119" spans="1:22" s="11" customFormat="1" x14ac:dyDescent="0.2">
      <c r="A119" s="47" t="s">
        <v>30</v>
      </c>
      <c r="B119" s="82" t="s">
        <v>145</v>
      </c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</row>
    <row r="120" spans="1:22" s="11" customFormat="1" ht="99.95" customHeight="1" x14ac:dyDescent="0.2">
      <c r="A120" s="47"/>
      <c r="B120" s="54" t="s">
        <v>155</v>
      </c>
      <c r="C120" s="55" t="s">
        <v>155</v>
      </c>
      <c r="D120" s="55"/>
      <c r="E120" s="55"/>
      <c r="F120" s="55"/>
      <c r="G120" s="55"/>
      <c r="H120" s="55"/>
      <c r="I120" s="56"/>
      <c r="J120" s="57" t="s">
        <v>117</v>
      </c>
      <c r="K120" s="57"/>
      <c r="L120" s="57" t="s">
        <v>60</v>
      </c>
      <c r="M120" s="57" t="s">
        <v>156</v>
      </c>
      <c r="N120" s="57" t="s">
        <v>82</v>
      </c>
      <c r="O120" s="57" t="s">
        <v>141</v>
      </c>
      <c r="P120" s="57" t="s">
        <v>82</v>
      </c>
      <c r="Q120" s="85" t="s">
        <v>157</v>
      </c>
      <c r="R120" s="57" t="s">
        <v>11</v>
      </c>
      <c r="S120" s="57" t="s">
        <v>112</v>
      </c>
      <c r="T120" s="57" t="s">
        <v>17</v>
      </c>
      <c r="U120" s="57"/>
      <c r="V120" s="57" t="s">
        <v>447</v>
      </c>
    </row>
    <row r="121" spans="1:22" s="11" customFormat="1" x14ac:dyDescent="0.2">
      <c r="A121" s="47"/>
      <c r="B121" s="30" t="s">
        <v>5</v>
      </c>
      <c r="C121" s="30" t="s">
        <v>5</v>
      </c>
      <c r="D121" s="12">
        <f>SUM(D122:D125)</f>
        <v>325834.2</v>
      </c>
      <c r="E121" s="13">
        <f t="shared" ref="E121" si="13">SUM(E122:E125)</f>
        <v>126977.33</v>
      </c>
      <c r="F121" s="13">
        <f t="shared" ref="F121:G121" si="14">SUM(F122:F124)</f>
        <v>160856.87</v>
      </c>
      <c r="G121" s="13">
        <f t="shared" si="14"/>
        <v>38000</v>
      </c>
      <c r="H121" s="13"/>
      <c r="I121" s="13"/>
      <c r="J121" s="57"/>
      <c r="K121" s="57"/>
      <c r="L121" s="57"/>
      <c r="M121" s="57"/>
      <c r="N121" s="57"/>
      <c r="O121" s="57"/>
      <c r="P121" s="57"/>
      <c r="Q121" s="85"/>
      <c r="R121" s="57"/>
      <c r="S121" s="57"/>
      <c r="T121" s="57"/>
      <c r="U121" s="57"/>
      <c r="V121" s="57"/>
    </row>
    <row r="122" spans="1:22" s="11" customFormat="1" x14ac:dyDescent="0.2">
      <c r="A122" s="47"/>
      <c r="B122" s="30" t="s">
        <v>0</v>
      </c>
      <c r="C122" s="30" t="s">
        <v>0</v>
      </c>
      <c r="D122" s="12">
        <f>E122+F122+G122+H122+I122</f>
        <v>0</v>
      </c>
      <c r="E122" s="13"/>
      <c r="F122" s="13"/>
      <c r="G122" s="13"/>
      <c r="H122" s="13"/>
      <c r="I122" s="13"/>
      <c r="J122" s="57"/>
      <c r="K122" s="57"/>
      <c r="L122" s="57"/>
      <c r="M122" s="57"/>
      <c r="N122" s="57"/>
      <c r="O122" s="57"/>
      <c r="P122" s="57"/>
      <c r="Q122" s="85"/>
      <c r="R122" s="57"/>
      <c r="S122" s="57"/>
      <c r="T122" s="57"/>
      <c r="U122" s="57"/>
      <c r="V122" s="57"/>
    </row>
    <row r="123" spans="1:22" s="11" customFormat="1" x14ac:dyDescent="0.2">
      <c r="A123" s="47"/>
      <c r="B123" s="30" t="s">
        <v>1</v>
      </c>
      <c r="C123" s="30" t="s">
        <v>1</v>
      </c>
      <c r="D123" s="12">
        <f>E123+F123+G123+H123+I123</f>
        <v>325834.2</v>
      </c>
      <c r="E123" s="13">
        <f>119390+7587.33</f>
        <v>126977.33</v>
      </c>
      <c r="F123" s="13">
        <v>160856.87</v>
      </c>
      <c r="G123" s="13">
        <f>0+38000</f>
        <v>38000</v>
      </c>
      <c r="H123" s="13"/>
      <c r="I123" s="13"/>
      <c r="J123" s="57"/>
      <c r="K123" s="57"/>
      <c r="L123" s="57"/>
      <c r="M123" s="57"/>
      <c r="N123" s="57"/>
      <c r="O123" s="57"/>
      <c r="P123" s="57"/>
      <c r="Q123" s="85"/>
      <c r="R123" s="57"/>
      <c r="S123" s="57"/>
      <c r="T123" s="57"/>
      <c r="U123" s="57"/>
      <c r="V123" s="57"/>
    </row>
    <row r="124" spans="1:22" s="11" customFormat="1" x14ac:dyDescent="0.2">
      <c r="A124" s="47"/>
      <c r="B124" s="30" t="s">
        <v>2</v>
      </c>
      <c r="C124" s="30" t="s">
        <v>2</v>
      </c>
      <c r="D124" s="12">
        <f>E124+F124+G124+H124+I124</f>
        <v>0</v>
      </c>
      <c r="E124" s="13"/>
      <c r="F124" s="13"/>
      <c r="G124" s="13"/>
      <c r="H124" s="13"/>
      <c r="I124" s="13"/>
      <c r="J124" s="57"/>
      <c r="K124" s="57"/>
      <c r="L124" s="57"/>
      <c r="M124" s="57"/>
      <c r="N124" s="57"/>
      <c r="O124" s="57"/>
      <c r="P124" s="57"/>
      <c r="Q124" s="85"/>
      <c r="R124" s="57"/>
      <c r="S124" s="57"/>
      <c r="T124" s="57"/>
      <c r="U124" s="57"/>
      <c r="V124" s="57"/>
    </row>
    <row r="125" spans="1:22" s="11" customFormat="1" ht="21" customHeight="1" x14ac:dyDescent="0.2">
      <c r="A125" s="48"/>
      <c r="B125" s="59" t="s">
        <v>3</v>
      </c>
      <c r="C125" s="59" t="s">
        <v>3</v>
      </c>
      <c r="D125" s="9">
        <f>E125+F125+G125+H125+I125</f>
        <v>0</v>
      </c>
      <c r="E125" s="10"/>
      <c r="F125" s="10"/>
      <c r="G125" s="10"/>
      <c r="H125" s="10"/>
      <c r="I125" s="10"/>
      <c r="J125" s="57"/>
      <c r="K125" s="57"/>
      <c r="L125" s="57"/>
      <c r="M125" s="57"/>
      <c r="N125" s="57"/>
      <c r="O125" s="57"/>
      <c r="P125" s="57"/>
      <c r="Q125" s="85"/>
      <c r="R125" s="57"/>
      <c r="S125" s="57"/>
      <c r="T125" s="57"/>
      <c r="U125" s="57"/>
      <c r="V125" s="57"/>
    </row>
    <row r="126" spans="1:22" s="11" customFormat="1" x14ac:dyDescent="0.2">
      <c r="A126" s="46" t="s">
        <v>151</v>
      </c>
      <c r="B126" s="24" t="s">
        <v>16</v>
      </c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5"/>
    </row>
    <row r="127" spans="1:22" s="11" customFormat="1" x14ac:dyDescent="0.2">
      <c r="A127" s="47" t="s">
        <v>30</v>
      </c>
      <c r="B127" s="82" t="s">
        <v>145</v>
      </c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</row>
    <row r="128" spans="1:22" s="11" customFormat="1" ht="99.95" customHeight="1" x14ac:dyDescent="0.2">
      <c r="A128" s="47"/>
      <c r="B128" s="54" t="s">
        <v>159</v>
      </c>
      <c r="C128" s="55" t="s">
        <v>159</v>
      </c>
      <c r="D128" s="55"/>
      <c r="E128" s="55"/>
      <c r="F128" s="55"/>
      <c r="G128" s="55"/>
      <c r="H128" s="55"/>
      <c r="I128" s="56"/>
      <c r="J128" s="69" t="s">
        <v>87</v>
      </c>
      <c r="K128" s="69"/>
      <c r="L128" s="69" t="s">
        <v>61</v>
      </c>
      <c r="M128" s="69" t="s">
        <v>160</v>
      </c>
      <c r="N128" s="69" t="s">
        <v>120</v>
      </c>
      <c r="O128" s="69" t="s">
        <v>141</v>
      </c>
      <c r="P128" s="69" t="s">
        <v>120</v>
      </c>
      <c r="Q128" s="77" t="s">
        <v>161</v>
      </c>
      <c r="R128" s="69" t="s">
        <v>9</v>
      </c>
      <c r="S128" s="69" t="s">
        <v>10</v>
      </c>
      <c r="T128" s="69" t="s">
        <v>17</v>
      </c>
      <c r="U128" s="69"/>
      <c r="V128" s="69" t="s">
        <v>448</v>
      </c>
    </row>
    <row r="129" spans="1:22" s="11" customFormat="1" x14ac:dyDescent="0.2">
      <c r="A129" s="47"/>
      <c r="B129" s="30" t="s">
        <v>5</v>
      </c>
      <c r="C129" s="30" t="s">
        <v>5</v>
      </c>
      <c r="D129" s="12">
        <f>SUM(D130:D133)</f>
        <v>285534.38</v>
      </c>
      <c r="E129" s="13"/>
      <c r="F129" s="13"/>
      <c r="G129" s="13">
        <f t="shared" ref="G129" si="15">SUM(G130:G132)</f>
        <v>285534.38</v>
      </c>
      <c r="H129" s="13"/>
      <c r="I129" s="13"/>
      <c r="J129" s="69"/>
      <c r="K129" s="69"/>
      <c r="L129" s="69"/>
      <c r="M129" s="69"/>
      <c r="N129" s="69"/>
      <c r="O129" s="69"/>
      <c r="P129" s="69"/>
      <c r="Q129" s="77"/>
      <c r="R129" s="69"/>
      <c r="S129" s="69"/>
      <c r="T129" s="69"/>
      <c r="U129" s="69"/>
      <c r="V129" s="69"/>
    </row>
    <row r="130" spans="1:22" s="11" customFormat="1" x14ac:dyDescent="0.2">
      <c r="A130" s="47"/>
      <c r="B130" s="30" t="s">
        <v>0</v>
      </c>
      <c r="C130" s="30" t="s">
        <v>0</v>
      </c>
      <c r="D130" s="12">
        <f>E130+F130+G130+H130+I130</f>
        <v>0</v>
      </c>
      <c r="E130" s="13"/>
      <c r="F130" s="13"/>
      <c r="G130" s="13"/>
      <c r="H130" s="13"/>
      <c r="I130" s="13"/>
      <c r="J130" s="69"/>
      <c r="K130" s="69"/>
      <c r="L130" s="69"/>
      <c r="M130" s="69"/>
      <c r="N130" s="69"/>
      <c r="O130" s="69"/>
      <c r="P130" s="69"/>
      <c r="Q130" s="77"/>
      <c r="R130" s="69"/>
      <c r="S130" s="69"/>
      <c r="T130" s="69"/>
      <c r="U130" s="69"/>
      <c r="V130" s="69"/>
    </row>
    <row r="131" spans="1:22" s="11" customFormat="1" x14ac:dyDescent="0.2">
      <c r="A131" s="47"/>
      <c r="B131" s="30" t="s">
        <v>1</v>
      </c>
      <c r="C131" s="30" t="s">
        <v>1</v>
      </c>
      <c r="D131" s="12">
        <f>E131+F131+G131+H131+I131</f>
        <v>284106.71000000002</v>
      </c>
      <c r="E131" s="13"/>
      <c r="F131" s="13"/>
      <c r="G131" s="13">
        <v>284106.71000000002</v>
      </c>
      <c r="H131" s="13"/>
      <c r="I131" s="13"/>
      <c r="J131" s="69"/>
      <c r="K131" s="69"/>
      <c r="L131" s="69"/>
      <c r="M131" s="69"/>
      <c r="N131" s="69"/>
      <c r="O131" s="69"/>
      <c r="P131" s="69"/>
      <c r="Q131" s="77"/>
      <c r="R131" s="69"/>
      <c r="S131" s="69"/>
      <c r="T131" s="69"/>
      <c r="U131" s="69"/>
      <c r="V131" s="69"/>
    </row>
    <row r="132" spans="1:22" s="11" customFormat="1" x14ac:dyDescent="0.2">
      <c r="A132" s="47"/>
      <c r="B132" s="30" t="s">
        <v>2</v>
      </c>
      <c r="C132" s="30" t="s">
        <v>2</v>
      </c>
      <c r="D132" s="12">
        <f>E132+F132+G132+H132+I132</f>
        <v>1427.67</v>
      </c>
      <c r="E132" s="13"/>
      <c r="F132" s="13"/>
      <c r="G132" s="13">
        <v>1427.67</v>
      </c>
      <c r="H132" s="13"/>
      <c r="I132" s="13"/>
      <c r="J132" s="69"/>
      <c r="K132" s="69"/>
      <c r="L132" s="69"/>
      <c r="M132" s="69"/>
      <c r="N132" s="69"/>
      <c r="O132" s="69"/>
      <c r="P132" s="69"/>
      <c r="Q132" s="77"/>
      <c r="R132" s="69"/>
      <c r="S132" s="69"/>
      <c r="T132" s="69"/>
      <c r="U132" s="69"/>
      <c r="V132" s="69"/>
    </row>
    <row r="133" spans="1:22" s="11" customFormat="1" ht="21" customHeight="1" x14ac:dyDescent="0.2">
      <c r="A133" s="48"/>
      <c r="B133" s="30" t="s">
        <v>3</v>
      </c>
      <c r="C133" s="30" t="s">
        <v>3</v>
      </c>
      <c r="D133" s="12">
        <f>E133+F133+G133+H133+I133</f>
        <v>0</v>
      </c>
      <c r="E133" s="13"/>
      <c r="F133" s="13"/>
      <c r="G133" s="13"/>
      <c r="H133" s="13"/>
      <c r="I133" s="13"/>
      <c r="J133" s="69"/>
      <c r="K133" s="69"/>
      <c r="L133" s="69"/>
      <c r="M133" s="69"/>
      <c r="N133" s="69"/>
      <c r="O133" s="69"/>
      <c r="P133" s="69"/>
      <c r="Q133" s="77"/>
      <c r="R133" s="69"/>
      <c r="S133" s="69"/>
      <c r="T133" s="69"/>
      <c r="U133" s="69"/>
      <c r="V133" s="69"/>
    </row>
    <row r="134" spans="1:22" s="11" customFormat="1" x14ac:dyDescent="0.2">
      <c r="A134" s="46" t="s">
        <v>396</v>
      </c>
      <c r="B134" s="24" t="s">
        <v>16</v>
      </c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5"/>
    </row>
    <row r="135" spans="1:22" s="11" customFormat="1" x14ac:dyDescent="0.2">
      <c r="A135" s="47" t="s">
        <v>30</v>
      </c>
      <c r="B135" s="26" t="s">
        <v>145</v>
      </c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</row>
    <row r="136" spans="1:22" s="11" customFormat="1" ht="99.95" customHeight="1" x14ac:dyDescent="0.2">
      <c r="A136" s="47"/>
      <c r="B136" s="54" t="s">
        <v>162</v>
      </c>
      <c r="C136" s="55" t="s">
        <v>162</v>
      </c>
      <c r="D136" s="55"/>
      <c r="E136" s="55"/>
      <c r="F136" s="55"/>
      <c r="G136" s="55"/>
      <c r="H136" s="55"/>
      <c r="I136" s="56"/>
      <c r="J136" s="69" t="s">
        <v>87</v>
      </c>
      <c r="K136" s="69"/>
      <c r="L136" s="69" t="s">
        <v>61</v>
      </c>
      <c r="M136" s="69" t="s">
        <v>163</v>
      </c>
      <c r="N136" s="69" t="s">
        <v>120</v>
      </c>
      <c r="O136" s="69" t="s">
        <v>141</v>
      </c>
      <c r="P136" s="69" t="s">
        <v>120</v>
      </c>
      <c r="Q136" s="77" t="s">
        <v>164</v>
      </c>
      <c r="R136" s="69" t="s">
        <v>9</v>
      </c>
      <c r="S136" s="69" t="s">
        <v>10</v>
      </c>
      <c r="T136" s="69" t="s">
        <v>17</v>
      </c>
      <c r="U136" s="69"/>
      <c r="V136" s="69" t="s">
        <v>449</v>
      </c>
    </row>
    <row r="137" spans="1:22" s="11" customFormat="1" x14ac:dyDescent="0.2">
      <c r="A137" s="47"/>
      <c r="B137" s="30" t="s">
        <v>5</v>
      </c>
      <c r="C137" s="30" t="s">
        <v>5</v>
      </c>
      <c r="D137" s="12">
        <f>SUM(D138:D141)</f>
        <v>282862</v>
      </c>
      <c r="E137" s="13"/>
      <c r="F137" s="13"/>
      <c r="G137" s="13">
        <f t="shared" ref="G137" si="16">SUM(G138:G140)</f>
        <v>282862</v>
      </c>
      <c r="H137" s="13"/>
      <c r="I137" s="13"/>
      <c r="J137" s="69"/>
      <c r="K137" s="69"/>
      <c r="L137" s="69"/>
      <c r="M137" s="69"/>
      <c r="N137" s="69"/>
      <c r="O137" s="69"/>
      <c r="P137" s="69"/>
      <c r="Q137" s="77"/>
      <c r="R137" s="69"/>
      <c r="S137" s="69"/>
      <c r="T137" s="69"/>
      <c r="U137" s="69"/>
      <c r="V137" s="69"/>
    </row>
    <row r="138" spans="1:22" s="11" customFormat="1" x14ac:dyDescent="0.2">
      <c r="A138" s="47"/>
      <c r="B138" s="30" t="s">
        <v>0</v>
      </c>
      <c r="C138" s="30" t="s">
        <v>0</v>
      </c>
      <c r="D138" s="12">
        <f>E138+F138+G138+H138+I138</f>
        <v>0</v>
      </c>
      <c r="E138" s="13"/>
      <c r="F138" s="13"/>
      <c r="G138" s="13"/>
      <c r="H138" s="13"/>
      <c r="I138" s="13"/>
      <c r="J138" s="69"/>
      <c r="K138" s="69"/>
      <c r="L138" s="69"/>
      <c r="M138" s="69"/>
      <c r="N138" s="69"/>
      <c r="O138" s="69"/>
      <c r="P138" s="69"/>
      <c r="Q138" s="77"/>
      <c r="R138" s="69"/>
      <c r="S138" s="69"/>
      <c r="T138" s="69"/>
      <c r="U138" s="69"/>
      <c r="V138" s="69"/>
    </row>
    <row r="139" spans="1:22" s="11" customFormat="1" x14ac:dyDescent="0.2">
      <c r="A139" s="47"/>
      <c r="B139" s="30" t="s">
        <v>1</v>
      </c>
      <c r="C139" s="30" t="s">
        <v>1</v>
      </c>
      <c r="D139" s="12">
        <f>E139+F139+G139+H139+I139</f>
        <v>281447.69</v>
      </c>
      <c r="E139" s="13"/>
      <c r="F139" s="13"/>
      <c r="G139" s="13">
        <v>281447.69</v>
      </c>
      <c r="H139" s="13"/>
      <c r="I139" s="13"/>
      <c r="J139" s="69"/>
      <c r="K139" s="69"/>
      <c r="L139" s="69"/>
      <c r="M139" s="69"/>
      <c r="N139" s="69"/>
      <c r="O139" s="69"/>
      <c r="P139" s="69"/>
      <c r="Q139" s="77"/>
      <c r="R139" s="69"/>
      <c r="S139" s="69"/>
      <c r="T139" s="69"/>
      <c r="U139" s="69"/>
      <c r="V139" s="69"/>
    </row>
    <row r="140" spans="1:22" s="11" customFormat="1" x14ac:dyDescent="0.2">
      <c r="A140" s="47"/>
      <c r="B140" s="30" t="s">
        <v>2</v>
      </c>
      <c r="C140" s="30" t="s">
        <v>2</v>
      </c>
      <c r="D140" s="12">
        <f>E140+F140+G140+H140+I140</f>
        <v>1414.31</v>
      </c>
      <c r="E140" s="13"/>
      <c r="F140" s="13"/>
      <c r="G140" s="13">
        <v>1414.31</v>
      </c>
      <c r="H140" s="13"/>
      <c r="I140" s="13"/>
      <c r="J140" s="69"/>
      <c r="K140" s="69"/>
      <c r="L140" s="69"/>
      <c r="M140" s="69"/>
      <c r="N140" s="69"/>
      <c r="O140" s="69"/>
      <c r="P140" s="69"/>
      <c r="Q140" s="77"/>
      <c r="R140" s="69"/>
      <c r="S140" s="69"/>
      <c r="T140" s="69"/>
      <c r="U140" s="69"/>
      <c r="V140" s="69"/>
    </row>
    <row r="141" spans="1:22" s="11" customFormat="1" ht="21" customHeight="1" x14ac:dyDescent="0.2">
      <c r="A141" s="48"/>
      <c r="B141" s="30" t="s">
        <v>3</v>
      </c>
      <c r="C141" s="30" t="s">
        <v>3</v>
      </c>
      <c r="D141" s="12">
        <f>E141+F141+G141+H141+I141</f>
        <v>0</v>
      </c>
      <c r="E141" s="13"/>
      <c r="F141" s="13"/>
      <c r="G141" s="13"/>
      <c r="H141" s="13"/>
      <c r="I141" s="13"/>
      <c r="J141" s="69"/>
      <c r="K141" s="69"/>
      <c r="L141" s="69"/>
      <c r="M141" s="69"/>
      <c r="N141" s="69"/>
      <c r="O141" s="69"/>
      <c r="P141" s="69"/>
      <c r="Q141" s="77"/>
      <c r="R141" s="69"/>
      <c r="S141" s="69"/>
      <c r="T141" s="69"/>
      <c r="U141" s="69"/>
      <c r="V141" s="69"/>
    </row>
    <row r="142" spans="1:22" s="11" customFormat="1" x14ac:dyDescent="0.2">
      <c r="A142" s="46" t="s">
        <v>432</v>
      </c>
      <c r="B142" s="78" t="s">
        <v>141</v>
      </c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</row>
    <row r="143" spans="1:22" s="11" customFormat="1" x14ac:dyDescent="0.2">
      <c r="A143" s="47" t="s">
        <v>30</v>
      </c>
      <c r="B143" s="82" t="s">
        <v>145</v>
      </c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</row>
    <row r="144" spans="1:22" s="11" customFormat="1" ht="84" customHeight="1" x14ac:dyDescent="0.2">
      <c r="A144" s="47"/>
      <c r="B144" s="30" t="s">
        <v>668</v>
      </c>
      <c r="C144" s="30" t="s">
        <v>433</v>
      </c>
      <c r="D144" s="30"/>
      <c r="E144" s="30"/>
      <c r="F144" s="30"/>
      <c r="G144" s="30"/>
      <c r="H144" s="30"/>
      <c r="I144" s="30"/>
      <c r="J144" s="57" t="s">
        <v>66</v>
      </c>
      <c r="K144" s="57"/>
      <c r="L144" s="57" t="s">
        <v>62</v>
      </c>
      <c r="M144" s="57" t="s">
        <v>434</v>
      </c>
      <c r="N144" s="57" t="s">
        <v>435</v>
      </c>
      <c r="O144" s="57" t="s">
        <v>141</v>
      </c>
      <c r="P144" s="57" t="s">
        <v>435</v>
      </c>
      <c r="Q144" s="85">
        <v>340825.97976000002</v>
      </c>
      <c r="R144" s="57" t="s">
        <v>9</v>
      </c>
      <c r="S144" s="57" t="s">
        <v>10</v>
      </c>
      <c r="T144" s="57" t="s">
        <v>7</v>
      </c>
      <c r="U144" s="57"/>
      <c r="V144" s="57" t="s">
        <v>450</v>
      </c>
    </row>
    <row r="145" spans="1:22" s="11" customFormat="1" x14ac:dyDescent="0.2">
      <c r="A145" s="47"/>
      <c r="B145" s="59" t="s">
        <v>5</v>
      </c>
      <c r="C145" s="59" t="s">
        <v>5</v>
      </c>
      <c r="D145" s="9">
        <f>SUM(D146:D149)</f>
        <v>314845.13053000002</v>
      </c>
      <c r="E145" s="10">
        <f>SUM(E146:E149)</f>
        <v>314845.13053000002</v>
      </c>
      <c r="F145" s="10"/>
      <c r="G145" s="10"/>
      <c r="H145" s="10"/>
      <c r="I145" s="10"/>
      <c r="J145" s="57"/>
      <c r="K145" s="57"/>
      <c r="L145" s="57"/>
      <c r="M145" s="57"/>
      <c r="N145" s="57"/>
      <c r="O145" s="57"/>
      <c r="P145" s="57"/>
      <c r="Q145" s="85"/>
      <c r="R145" s="57"/>
      <c r="S145" s="57"/>
      <c r="T145" s="57"/>
      <c r="U145" s="57"/>
      <c r="V145" s="57"/>
    </row>
    <row r="146" spans="1:22" s="11" customFormat="1" x14ac:dyDescent="0.2">
      <c r="A146" s="47"/>
      <c r="B146" s="59" t="s">
        <v>0</v>
      </c>
      <c r="C146" s="59" t="s">
        <v>0</v>
      </c>
      <c r="D146" s="9">
        <f>E146+F146+G146+H146+I146</f>
        <v>197522.38</v>
      </c>
      <c r="E146" s="13">
        <v>197522.38</v>
      </c>
      <c r="F146" s="10"/>
      <c r="G146" s="10"/>
      <c r="H146" s="10"/>
      <c r="I146" s="10"/>
      <c r="J146" s="57"/>
      <c r="K146" s="57"/>
      <c r="L146" s="57"/>
      <c r="M146" s="57"/>
      <c r="N146" s="57"/>
      <c r="O146" s="57"/>
      <c r="P146" s="57"/>
      <c r="Q146" s="85"/>
      <c r="R146" s="57"/>
      <c r="S146" s="57"/>
      <c r="T146" s="57"/>
      <c r="U146" s="57"/>
      <c r="V146" s="57"/>
    </row>
    <row r="147" spans="1:22" s="11" customFormat="1" x14ac:dyDescent="0.2">
      <c r="A147" s="47"/>
      <c r="B147" s="59" t="s">
        <v>1</v>
      </c>
      <c r="C147" s="59" t="s">
        <v>1</v>
      </c>
      <c r="D147" s="9">
        <f>E147+F147+G147+H147+I147</f>
        <v>117322.75053</v>
      </c>
      <c r="E147" s="13">
        <f>117322.75+0.00053</f>
        <v>117322.75053</v>
      </c>
      <c r="F147" s="10"/>
      <c r="G147" s="10"/>
      <c r="H147" s="10"/>
      <c r="I147" s="10"/>
      <c r="J147" s="57"/>
      <c r="K147" s="57"/>
      <c r="L147" s="57"/>
      <c r="M147" s="57"/>
      <c r="N147" s="57"/>
      <c r="O147" s="57"/>
      <c r="P147" s="57"/>
      <c r="Q147" s="85"/>
      <c r="R147" s="57"/>
      <c r="S147" s="57"/>
      <c r="T147" s="57"/>
      <c r="U147" s="57"/>
      <c r="V147" s="57"/>
    </row>
    <row r="148" spans="1:22" s="11" customFormat="1" x14ac:dyDescent="0.2">
      <c r="A148" s="47"/>
      <c r="B148" s="59" t="s">
        <v>2</v>
      </c>
      <c r="C148" s="59" t="s">
        <v>2</v>
      </c>
      <c r="D148" s="9">
        <f>E148+F148+G148+H148+I148</f>
        <v>0</v>
      </c>
      <c r="E148" s="13"/>
      <c r="F148" s="10"/>
      <c r="G148" s="10"/>
      <c r="H148" s="10"/>
      <c r="I148" s="10"/>
      <c r="J148" s="57"/>
      <c r="K148" s="57"/>
      <c r="L148" s="57"/>
      <c r="M148" s="57"/>
      <c r="N148" s="57"/>
      <c r="O148" s="57"/>
      <c r="P148" s="57"/>
      <c r="Q148" s="85"/>
      <c r="R148" s="57"/>
      <c r="S148" s="57"/>
      <c r="T148" s="57"/>
      <c r="U148" s="57"/>
      <c r="V148" s="57"/>
    </row>
    <row r="149" spans="1:22" s="11" customFormat="1" ht="21" customHeight="1" x14ac:dyDescent="0.2">
      <c r="A149" s="48"/>
      <c r="B149" s="59" t="s">
        <v>3</v>
      </c>
      <c r="C149" s="59" t="s">
        <v>3</v>
      </c>
      <c r="D149" s="9">
        <f>E149+F149+G149+H149+I149</f>
        <v>0</v>
      </c>
      <c r="E149" s="10"/>
      <c r="F149" s="10"/>
      <c r="G149" s="10"/>
      <c r="H149" s="10"/>
      <c r="I149" s="10"/>
      <c r="J149" s="57"/>
      <c r="K149" s="57"/>
      <c r="L149" s="57"/>
      <c r="M149" s="57"/>
      <c r="N149" s="57"/>
      <c r="O149" s="57"/>
      <c r="P149" s="57"/>
      <c r="Q149" s="85"/>
      <c r="R149" s="57"/>
      <c r="S149" s="57"/>
      <c r="T149" s="57"/>
      <c r="U149" s="57"/>
      <c r="V149" s="57"/>
    </row>
    <row r="150" spans="1:22" s="11" customFormat="1" x14ac:dyDescent="0.2">
      <c r="A150" s="46" t="s">
        <v>440</v>
      </c>
      <c r="B150" s="78" t="s">
        <v>141</v>
      </c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</row>
    <row r="151" spans="1:22" s="11" customFormat="1" x14ac:dyDescent="0.2">
      <c r="A151" s="47" t="s">
        <v>30</v>
      </c>
      <c r="B151" s="82" t="s">
        <v>145</v>
      </c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</row>
    <row r="152" spans="1:22" s="11" customFormat="1" ht="99.95" customHeight="1" x14ac:dyDescent="0.2">
      <c r="A152" s="47"/>
      <c r="B152" s="59" t="s">
        <v>436</v>
      </c>
      <c r="C152" s="59" t="s">
        <v>436</v>
      </c>
      <c r="D152" s="59"/>
      <c r="E152" s="59"/>
      <c r="F152" s="59"/>
      <c r="G152" s="59"/>
      <c r="H152" s="59"/>
      <c r="I152" s="59"/>
      <c r="J152" s="57" t="s">
        <v>66</v>
      </c>
      <c r="K152" s="57"/>
      <c r="L152" s="57" t="s">
        <v>62</v>
      </c>
      <c r="M152" s="57" t="s">
        <v>437</v>
      </c>
      <c r="N152" s="57" t="s">
        <v>141</v>
      </c>
      <c r="O152" s="57" t="s">
        <v>141</v>
      </c>
      <c r="P152" s="57" t="s">
        <v>438</v>
      </c>
      <c r="Q152" s="85">
        <v>64560.63</v>
      </c>
      <c r="R152" s="57" t="s">
        <v>9</v>
      </c>
      <c r="S152" s="57" t="s">
        <v>439</v>
      </c>
      <c r="T152" s="57" t="s">
        <v>17</v>
      </c>
      <c r="U152" s="57"/>
      <c r="V152" s="57"/>
    </row>
    <row r="153" spans="1:22" s="11" customFormat="1" x14ac:dyDescent="0.2">
      <c r="A153" s="47"/>
      <c r="B153" s="59" t="s">
        <v>5</v>
      </c>
      <c r="C153" s="59" t="s">
        <v>5</v>
      </c>
      <c r="D153" s="9">
        <f>SUM(D154:D157)</f>
        <v>32643.389470000002</v>
      </c>
      <c r="E153" s="10">
        <f>SUM(E154:E157)</f>
        <v>32643.389470000002</v>
      </c>
      <c r="F153" s="10"/>
      <c r="G153" s="10"/>
      <c r="H153" s="10"/>
      <c r="I153" s="10"/>
      <c r="J153" s="57"/>
      <c r="K153" s="57"/>
      <c r="L153" s="57"/>
      <c r="M153" s="57"/>
      <c r="N153" s="57"/>
      <c r="O153" s="57"/>
      <c r="P153" s="57"/>
      <c r="Q153" s="85"/>
      <c r="R153" s="57"/>
      <c r="S153" s="57"/>
      <c r="T153" s="57"/>
      <c r="U153" s="57"/>
      <c r="V153" s="57"/>
    </row>
    <row r="154" spans="1:22" s="11" customFormat="1" x14ac:dyDescent="0.2">
      <c r="A154" s="47"/>
      <c r="B154" s="59" t="s">
        <v>0</v>
      </c>
      <c r="C154" s="59" t="s">
        <v>0</v>
      </c>
      <c r="D154" s="9">
        <f>E154+F154+G154+H154+I154</f>
        <v>31011.22</v>
      </c>
      <c r="E154" s="13">
        <v>31011.22</v>
      </c>
      <c r="F154" s="10"/>
      <c r="G154" s="10"/>
      <c r="H154" s="10"/>
      <c r="I154" s="10"/>
      <c r="J154" s="57"/>
      <c r="K154" s="57"/>
      <c r="L154" s="57"/>
      <c r="M154" s="57"/>
      <c r="N154" s="57"/>
      <c r="O154" s="57"/>
      <c r="P154" s="57"/>
      <c r="Q154" s="85"/>
      <c r="R154" s="57"/>
      <c r="S154" s="57"/>
      <c r="T154" s="57"/>
      <c r="U154" s="57"/>
      <c r="V154" s="57"/>
    </row>
    <row r="155" spans="1:22" s="11" customFormat="1" x14ac:dyDescent="0.2">
      <c r="A155" s="47"/>
      <c r="B155" s="59" t="s">
        <v>1</v>
      </c>
      <c r="C155" s="59" t="s">
        <v>1</v>
      </c>
      <c r="D155" s="9">
        <f>E155+F155+G155+H155+I155</f>
        <v>1632.16947</v>
      </c>
      <c r="E155" s="13">
        <f>1632.17-0.00053</f>
        <v>1632.16947</v>
      </c>
      <c r="F155" s="10"/>
      <c r="G155" s="10"/>
      <c r="H155" s="10"/>
      <c r="I155" s="10"/>
      <c r="J155" s="57"/>
      <c r="K155" s="57"/>
      <c r="L155" s="57"/>
      <c r="M155" s="57"/>
      <c r="N155" s="57"/>
      <c r="O155" s="57"/>
      <c r="P155" s="57"/>
      <c r="Q155" s="85"/>
      <c r="R155" s="57"/>
      <c r="S155" s="57"/>
      <c r="T155" s="57"/>
      <c r="U155" s="57"/>
      <c r="V155" s="57"/>
    </row>
    <row r="156" spans="1:22" s="11" customFormat="1" x14ac:dyDescent="0.2">
      <c r="A156" s="47"/>
      <c r="B156" s="59" t="s">
        <v>2</v>
      </c>
      <c r="C156" s="59" t="s">
        <v>2</v>
      </c>
      <c r="D156" s="9">
        <f>E156+F156+G156+H156+I156</f>
        <v>0</v>
      </c>
      <c r="E156" s="10"/>
      <c r="F156" s="10"/>
      <c r="G156" s="10"/>
      <c r="H156" s="10"/>
      <c r="I156" s="10"/>
      <c r="J156" s="57"/>
      <c r="K156" s="57"/>
      <c r="L156" s="57"/>
      <c r="M156" s="57"/>
      <c r="N156" s="57"/>
      <c r="O156" s="57"/>
      <c r="P156" s="57"/>
      <c r="Q156" s="85"/>
      <c r="R156" s="57"/>
      <c r="S156" s="57"/>
      <c r="T156" s="57"/>
      <c r="U156" s="57"/>
      <c r="V156" s="57"/>
    </row>
    <row r="157" spans="1:22" s="11" customFormat="1" ht="21" customHeight="1" x14ac:dyDescent="0.2">
      <c r="A157" s="48"/>
      <c r="B157" s="59" t="s">
        <v>3</v>
      </c>
      <c r="C157" s="59" t="s">
        <v>3</v>
      </c>
      <c r="D157" s="9">
        <f>E157+F157+G157+H157+I157</f>
        <v>0</v>
      </c>
      <c r="E157" s="10"/>
      <c r="F157" s="10"/>
      <c r="G157" s="10"/>
      <c r="H157" s="10"/>
      <c r="I157" s="10"/>
      <c r="J157" s="57"/>
      <c r="K157" s="57"/>
      <c r="L157" s="57"/>
      <c r="M157" s="57"/>
      <c r="N157" s="57"/>
      <c r="O157" s="57"/>
      <c r="P157" s="57"/>
      <c r="Q157" s="85"/>
      <c r="R157" s="57"/>
      <c r="S157" s="57"/>
      <c r="T157" s="57"/>
      <c r="U157" s="57"/>
      <c r="V157" s="57"/>
    </row>
    <row r="158" spans="1:22" s="11" customFormat="1" x14ac:dyDescent="0.2">
      <c r="A158" s="46" t="s">
        <v>524</v>
      </c>
      <c r="B158" s="24" t="s">
        <v>16</v>
      </c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5"/>
    </row>
    <row r="159" spans="1:22" s="11" customFormat="1" x14ac:dyDescent="0.2">
      <c r="A159" s="47"/>
      <c r="B159" s="82" t="s">
        <v>145</v>
      </c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</row>
    <row r="160" spans="1:22" s="11" customFormat="1" ht="99.95" customHeight="1" x14ac:dyDescent="0.2">
      <c r="A160" s="47"/>
      <c r="B160" s="54" t="s">
        <v>614</v>
      </c>
      <c r="C160" s="55" t="s">
        <v>155</v>
      </c>
      <c r="D160" s="55"/>
      <c r="E160" s="55"/>
      <c r="F160" s="55"/>
      <c r="G160" s="55"/>
      <c r="H160" s="55"/>
      <c r="I160" s="56"/>
      <c r="J160" s="69" t="s">
        <v>87</v>
      </c>
      <c r="K160" s="69" t="s">
        <v>66</v>
      </c>
      <c r="L160" s="69" t="s">
        <v>60</v>
      </c>
      <c r="M160" s="69" t="s">
        <v>113</v>
      </c>
      <c r="N160" s="69" t="s">
        <v>82</v>
      </c>
      <c r="O160" s="69" t="s">
        <v>141</v>
      </c>
      <c r="P160" s="69" t="s">
        <v>82</v>
      </c>
      <c r="Q160" s="77" t="s">
        <v>384</v>
      </c>
      <c r="R160" s="69" t="s">
        <v>11</v>
      </c>
      <c r="S160" s="69" t="s">
        <v>10</v>
      </c>
      <c r="T160" s="57" t="s">
        <v>171</v>
      </c>
      <c r="U160" s="57"/>
      <c r="V160" s="57"/>
    </row>
    <row r="161" spans="1:22" s="11" customFormat="1" x14ac:dyDescent="0.2">
      <c r="A161" s="47"/>
      <c r="B161" s="30" t="s">
        <v>5</v>
      </c>
      <c r="C161" s="30" t="s">
        <v>5</v>
      </c>
      <c r="D161" s="12">
        <f>SUM(D162:D165)</f>
        <v>157806.49716999999</v>
      </c>
      <c r="E161" s="13">
        <f t="shared" ref="E161" si="17">SUM(E162:E165)</f>
        <v>8600</v>
      </c>
      <c r="F161" s="13">
        <f t="shared" ref="F161:G161" si="18">SUM(F162:F164)</f>
        <v>61305.779999999984</v>
      </c>
      <c r="G161" s="13">
        <f t="shared" si="18"/>
        <v>87900.717170000004</v>
      </c>
      <c r="H161" s="13"/>
      <c r="I161" s="13"/>
      <c r="J161" s="69"/>
      <c r="K161" s="69"/>
      <c r="L161" s="69"/>
      <c r="M161" s="69"/>
      <c r="N161" s="69"/>
      <c r="O161" s="69"/>
      <c r="P161" s="69"/>
      <c r="Q161" s="77"/>
      <c r="R161" s="69"/>
      <c r="S161" s="69"/>
      <c r="T161" s="57"/>
      <c r="U161" s="57"/>
      <c r="V161" s="57"/>
    </row>
    <row r="162" spans="1:22" s="11" customFormat="1" x14ac:dyDescent="0.2">
      <c r="A162" s="47"/>
      <c r="B162" s="30" t="s">
        <v>0</v>
      </c>
      <c r="C162" s="30" t="s">
        <v>0</v>
      </c>
      <c r="D162" s="12">
        <f>E162+F162+G162+H162+I162</f>
        <v>87021.71</v>
      </c>
      <c r="E162" s="13">
        <f>0+124116.3-124116.3</f>
        <v>0</v>
      </c>
      <c r="F162" s="13">
        <f>0+113360.37-113360.37</f>
        <v>0</v>
      </c>
      <c r="G162" s="13">
        <f>0+87021.71</f>
        <v>87021.71</v>
      </c>
      <c r="H162" s="13"/>
      <c r="I162" s="13"/>
      <c r="J162" s="69"/>
      <c r="K162" s="69"/>
      <c r="L162" s="69"/>
      <c r="M162" s="69"/>
      <c r="N162" s="69"/>
      <c r="O162" s="69"/>
      <c r="P162" s="69"/>
      <c r="Q162" s="77"/>
      <c r="R162" s="69"/>
      <c r="S162" s="69"/>
      <c r="T162" s="57"/>
      <c r="U162" s="57"/>
      <c r="V162" s="57"/>
    </row>
    <row r="163" spans="1:22" s="11" customFormat="1" x14ac:dyDescent="0.2">
      <c r="A163" s="47"/>
      <c r="B163" s="30" t="s">
        <v>1</v>
      </c>
      <c r="C163" s="30" t="s">
        <v>1</v>
      </c>
      <c r="D163" s="12">
        <f>E163+F163+G163+H163+I163</f>
        <v>70784.787169999981</v>
      </c>
      <c r="E163" s="13">
        <f>0+28253.7-12253.7-7400</f>
        <v>8600</v>
      </c>
      <c r="F163" s="13">
        <f>0+181762.35424-120456.57424</f>
        <v>61305.779999999984</v>
      </c>
      <c r="G163" s="13">
        <f>0+879.00717</f>
        <v>879.00716999999997</v>
      </c>
      <c r="H163" s="13"/>
      <c r="I163" s="13"/>
      <c r="J163" s="69"/>
      <c r="K163" s="69"/>
      <c r="L163" s="69"/>
      <c r="M163" s="69"/>
      <c r="N163" s="69"/>
      <c r="O163" s="69"/>
      <c r="P163" s="69"/>
      <c r="Q163" s="77"/>
      <c r="R163" s="69"/>
      <c r="S163" s="69"/>
      <c r="T163" s="57"/>
      <c r="U163" s="57"/>
      <c r="V163" s="57"/>
    </row>
    <row r="164" spans="1:22" s="11" customFormat="1" x14ac:dyDescent="0.2">
      <c r="A164" s="47"/>
      <c r="B164" s="30" t="s">
        <v>2</v>
      </c>
      <c r="C164" s="30" t="s">
        <v>2</v>
      </c>
      <c r="D164" s="12">
        <f>E164+F164+G164+H164+I164</f>
        <v>0</v>
      </c>
      <c r="E164" s="13"/>
      <c r="F164" s="13"/>
      <c r="G164" s="13"/>
      <c r="H164" s="13"/>
      <c r="I164" s="13"/>
      <c r="J164" s="69"/>
      <c r="K164" s="69"/>
      <c r="L164" s="69"/>
      <c r="M164" s="69"/>
      <c r="N164" s="69"/>
      <c r="O164" s="69"/>
      <c r="P164" s="69"/>
      <c r="Q164" s="77"/>
      <c r="R164" s="69"/>
      <c r="S164" s="69"/>
      <c r="T164" s="57"/>
      <c r="U164" s="57"/>
      <c r="V164" s="57"/>
    </row>
    <row r="165" spans="1:22" s="11" customFormat="1" ht="21" customHeight="1" x14ac:dyDescent="0.2">
      <c r="A165" s="47"/>
      <c r="B165" s="30" t="s">
        <v>3</v>
      </c>
      <c r="C165" s="30" t="s">
        <v>3</v>
      </c>
      <c r="D165" s="12">
        <f>E165+F165+G165+H165+I165</f>
        <v>0</v>
      </c>
      <c r="E165" s="13"/>
      <c r="F165" s="13"/>
      <c r="G165" s="13"/>
      <c r="H165" s="13"/>
      <c r="I165" s="13"/>
      <c r="J165" s="69"/>
      <c r="K165" s="69"/>
      <c r="L165" s="69"/>
      <c r="M165" s="69"/>
      <c r="N165" s="69"/>
      <c r="O165" s="69"/>
      <c r="P165" s="69"/>
      <c r="Q165" s="77"/>
      <c r="R165" s="69"/>
      <c r="S165" s="69"/>
      <c r="T165" s="57"/>
      <c r="U165" s="57"/>
      <c r="V165" s="57"/>
    </row>
    <row r="166" spans="1:22" s="11" customFormat="1" x14ac:dyDescent="0.2">
      <c r="A166" s="46" t="s">
        <v>533</v>
      </c>
      <c r="B166" s="24" t="s">
        <v>16</v>
      </c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5"/>
    </row>
    <row r="167" spans="1:22" s="11" customFormat="1" x14ac:dyDescent="0.2">
      <c r="A167" s="47"/>
      <c r="B167" s="82" t="s">
        <v>145</v>
      </c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</row>
    <row r="168" spans="1:22" s="11" customFormat="1" ht="99.95" customHeight="1" x14ac:dyDescent="0.2">
      <c r="A168" s="47"/>
      <c r="B168" s="54" t="s">
        <v>534</v>
      </c>
      <c r="C168" s="55" t="s">
        <v>155</v>
      </c>
      <c r="D168" s="55"/>
      <c r="E168" s="55"/>
      <c r="F168" s="55"/>
      <c r="G168" s="55"/>
      <c r="H168" s="55"/>
      <c r="I168" s="56"/>
      <c r="J168" s="69" t="s">
        <v>117</v>
      </c>
      <c r="K168" s="69"/>
      <c r="L168" s="69" t="s">
        <v>60</v>
      </c>
      <c r="M168" s="69" t="s">
        <v>577</v>
      </c>
      <c r="N168" s="69" t="s">
        <v>82</v>
      </c>
      <c r="O168" s="69" t="s">
        <v>141</v>
      </c>
      <c r="P168" s="69" t="s">
        <v>82</v>
      </c>
      <c r="Q168" s="77" t="s">
        <v>618</v>
      </c>
      <c r="R168" s="57" t="s">
        <v>11</v>
      </c>
      <c r="S168" s="57" t="s">
        <v>14</v>
      </c>
      <c r="T168" s="57" t="s">
        <v>7</v>
      </c>
      <c r="U168" s="57"/>
      <c r="V168" s="57" t="s">
        <v>587</v>
      </c>
    </row>
    <row r="169" spans="1:22" s="11" customFormat="1" x14ac:dyDescent="0.2">
      <c r="A169" s="47"/>
      <c r="B169" s="30" t="s">
        <v>5</v>
      </c>
      <c r="C169" s="30" t="s">
        <v>5</v>
      </c>
      <c r="D169" s="12">
        <f>SUM(D170:D173)</f>
        <v>461550.40947999997</v>
      </c>
      <c r="E169" s="13">
        <f t="shared" ref="E169:F169" si="19">SUM(E170:E173)</f>
        <v>159166.22947999998</v>
      </c>
      <c r="F169" s="13">
        <f t="shared" si="19"/>
        <v>302384.18</v>
      </c>
      <c r="G169" s="13"/>
      <c r="H169" s="13"/>
      <c r="I169" s="13"/>
      <c r="J169" s="69"/>
      <c r="K169" s="69"/>
      <c r="L169" s="69"/>
      <c r="M169" s="69"/>
      <c r="N169" s="69"/>
      <c r="O169" s="69"/>
      <c r="P169" s="69"/>
      <c r="Q169" s="77"/>
      <c r="R169" s="57"/>
      <c r="S169" s="57"/>
      <c r="T169" s="57"/>
      <c r="U169" s="57"/>
      <c r="V169" s="57"/>
    </row>
    <row r="170" spans="1:22" s="11" customFormat="1" x14ac:dyDescent="0.2">
      <c r="A170" s="47"/>
      <c r="B170" s="30" t="s">
        <v>0</v>
      </c>
      <c r="C170" s="30" t="s">
        <v>0</v>
      </c>
      <c r="D170" s="12">
        <f>E170+F170+G170+H170+I170</f>
        <v>232024.47999999998</v>
      </c>
      <c r="E170" s="13">
        <f>0+142029.21</f>
        <v>142029.21</v>
      </c>
      <c r="F170" s="13">
        <f>0+89995.27</f>
        <v>89995.27</v>
      </c>
      <c r="G170" s="13"/>
      <c r="H170" s="13"/>
      <c r="I170" s="13"/>
      <c r="J170" s="69"/>
      <c r="K170" s="69"/>
      <c r="L170" s="69"/>
      <c r="M170" s="69"/>
      <c r="N170" s="69"/>
      <c r="O170" s="69"/>
      <c r="P170" s="69"/>
      <c r="Q170" s="77"/>
      <c r="R170" s="57"/>
      <c r="S170" s="57"/>
      <c r="T170" s="57"/>
      <c r="U170" s="57"/>
      <c r="V170" s="57"/>
    </row>
    <row r="171" spans="1:22" s="11" customFormat="1" x14ac:dyDescent="0.2">
      <c r="A171" s="47"/>
      <c r="B171" s="30" t="s">
        <v>1</v>
      </c>
      <c r="C171" s="30" t="s">
        <v>1</v>
      </c>
      <c r="D171" s="12">
        <f>E171+F171+G171+H171+I171</f>
        <v>229525.92947999999</v>
      </c>
      <c r="E171" s="13">
        <f>0+3500+350+12434.63948+852.38</f>
        <v>17137.019479999999</v>
      </c>
      <c r="F171" s="13">
        <f>0+212388.91</f>
        <v>212388.91</v>
      </c>
      <c r="G171" s="13"/>
      <c r="H171" s="13"/>
      <c r="I171" s="13"/>
      <c r="J171" s="69"/>
      <c r="K171" s="69"/>
      <c r="L171" s="69"/>
      <c r="M171" s="69"/>
      <c r="N171" s="69"/>
      <c r="O171" s="69"/>
      <c r="P171" s="69"/>
      <c r="Q171" s="77"/>
      <c r="R171" s="57"/>
      <c r="S171" s="57"/>
      <c r="T171" s="57"/>
      <c r="U171" s="57"/>
      <c r="V171" s="57"/>
    </row>
    <row r="172" spans="1:22" s="11" customFormat="1" x14ac:dyDescent="0.2">
      <c r="A172" s="47"/>
      <c r="B172" s="30" t="s">
        <v>2</v>
      </c>
      <c r="C172" s="30" t="s">
        <v>2</v>
      </c>
      <c r="D172" s="12">
        <f>E172+F172+G172+H172+I172</f>
        <v>0</v>
      </c>
      <c r="E172" s="13"/>
      <c r="F172" s="13"/>
      <c r="G172" s="13"/>
      <c r="H172" s="13"/>
      <c r="I172" s="13"/>
      <c r="J172" s="69"/>
      <c r="K172" s="69"/>
      <c r="L172" s="69"/>
      <c r="M172" s="69"/>
      <c r="N172" s="69"/>
      <c r="O172" s="69"/>
      <c r="P172" s="69"/>
      <c r="Q172" s="77"/>
      <c r="R172" s="57"/>
      <c r="S172" s="57"/>
      <c r="T172" s="57"/>
      <c r="U172" s="57"/>
      <c r="V172" s="57"/>
    </row>
    <row r="173" spans="1:22" s="11" customFormat="1" ht="21" customHeight="1" x14ac:dyDescent="0.2">
      <c r="A173" s="47"/>
      <c r="B173" s="30" t="s">
        <v>3</v>
      </c>
      <c r="C173" s="30" t="s">
        <v>3</v>
      </c>
      <c r="D173" s="12">
        <f>E173+F173+G173+H173+I173</f>
        <v>0</v>
      </c>
      <c r="E173" s="13"/>
      <c r="F173" s="13"/>
      <c r="G173" s="13"/>
      <c r="H173" s="13"/>
      <c r="I173" s="13"/>
      <c r="J173" s="69"/>
      <c r="K173" s="69"/>
      <c r="L173" s="69"/>
      <c r="M173" s="69"/>
      <c r="N173" s="69"/>
      <c r="O173" s="69"/>
      <c r="P173" s="69"/>
      <c r="Q173" s="77"/>
      <c r="R173" s="57"/>
      <c r="S173" s="57"/>
      <c r="T173" s="57"/>
      <c r="U173" s="57"/>
      <c r="V173" s="57"/>
    </row>
    <row r="174" spans="1:22" s="11" customFormat="1" x14ac:dyDescent="0.2">
      <c r="A174" s="46" t="s">
        <v>535</v>
      </c>
      <c r="B174" s="78" t="s">
        <v>141</v>
      </c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</row>
    <row r="175" spans="1:22" s="11" customFormat="1" x14ac:dyDescent="0.2">
      <c r="A175" s="47" t="s">
        <v>30</v>
      </c>
      <c r="B175" s="82" t="s">
        <v>145</v>
      </c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</row>
    <row r="176" spans="1:22" s="11" customFormat="1" ht="99.95" customHeight="1" x14ac:dyDescent="0.2">
      <c r="A176" s="47"/>
      <c r="B176" s="30" t="s">
        <v>669</v>
      </c>
      <c r="C176" s="30" t="s">
        <v>436</v>
      </c>
      <c r="D176" s="30"/>
      <c r="E176" s="30"/>
      <c r="F176" s="30"/>
      <c r="G176" s="30"/>
      <c r="H176" s="30"/>
      <c r="I176" s="30"/>
      <c r="J176" s="69" t="s">
        <v>117</v>
      </c>
      <c r="K176" s="69" t="s">
        <v>66</v>
      </c>
      <c r="L176" s="69" t="s">
        <v>62</v>
      </c>
      <c r="M176" s="69" t="s">
        <v>572</v>
      </c>
      <c r="N176" s="69" t="s">
        <v>120</v>
      </c>
      <c r="O176" s="69" t="s">
        <v>141</v>
      </c>
      <c r="P176" s="69" t="s">
        <v>120</v>
      </c>
      <c r="Q176" s="77" t="s">
        <v>384</v>
      </c>
      <c r="R176" s="69" t="s">
        <v>9</v>
      </c>
      <c r="S176" s="69" t="s">
        <v>10</v>
      </c>
      <c r="T176" s="69" t="s">
        <v>17</v>
      </c>
      <c r="U176" s="57"/>
      <c r="V176" s="57"/>
    </row>
    <row r="177" spans="1:22" s="11" customFormat="1" x14ac:dyDescent="0.2">
      <c r="A177" s="47"/>
      <c r="B177" s="30" t="s">
        <v>5</v>
      </c>
      <c r="C177" s="30" t="s">
        <v>5</v>
      </c>
      <c r="D177" s="12">
        <f>SUM(D178:D181)</f>
        <v>365953.16122999997</v>
      </c>
      <c r="E177" s="13">
        <f>SUM(E178:E181)</f>
        <v>107455.10837</v>
      </c>
      <c r="F177" s="13">
        <f>SUM(F178:F181)</f>
        <v>258498.05286</v>
      </c>
      <c r="G177" s="13"/>
      <c r="H177" s="13"/>
      <c r="I177" s="13"/>
      <c r="J177" s="69"/>
      <c r="K177" s="69"/>
      <c r="L177" s="69"/>
      <c r="M177" s="69"/>
      <c r="N177" s="69"/>
      <c r="O177" s="69"/>
      <c r="P177" s="69"/>
      <c r="Q177" s="77"/>
      <c r="R177" s="69"/>
      <c r="S177" s="69"/>
      <c r="T177" s="69"/>
      <c r="U177" s="57"/>
      <c r="V177" s="57"/>
    </row>
    <row r="178" spans="1:22" s="11" customFormat="1" x14ac:dyDescent="0.2">
      <c r="A178" s="47"/>
      <c r="B178" s="30" t="s">
        <v>0</v>
      </c>
      <c r="C178" s="30" t="s">
        <v>0</v>
      </c>
      <c r="D178" s="12">
        <f>E178+F178+G178+H178+I178</f>
        <v>187820.73</v>
      </c>
      <c r="E178" s="13">
        <f>0+99431.63</f>
        <v>99431.63</v>
      </c>
      <c r="F178" s="13">
        <f>0+88389.1</f>
        <v>88389.1</v>
      </c>
      <c r="G178" s="13"/>
      <c r="H178" s="13"/>
      <c r="I178" s="13"/>
      <c r="J178" s="69"/>
      <c r="K178" s="69"/>
      <c r="L178" s="69"/>
      <c r="M178" s="69"/>
      <c r="N178" s="69"/>
      <c r="O178" s="69"/>
      <c r="P178" s="69"/>
      <c r="Q178" s="77"/>
      <c r="R178" s="69"/>
      <c r="S178" s="69"/>
      <c r="T178" s="69"/>
      <c r="U178" s="57"/>
      <c r="V178" s="57"/>
    </row>
    <row r="179" spans="1:22" s="11" customFormat="1" x14ac:dyDescent="0.2">
      <c r="A179" s="47"/>
      <c r="B179" s="30" t="s">
        <v>1</v>
      </c>
      <c r="C179" s="30" t="s">
        <v>1</v>
      </c>
      <c r="D179" s="12">
        <f>E179+F179+G179+H179+I179</f>
        <v>177179.07489999998</v>
      </c>
      <c r="E179" s="13">
        <f>0+1004.3599+6514.415</f>
        <v>7518.7749000000003</v>
      </c>
      <c r="F179" s="13">
        <f>0+169660.3</f>
        <v>169660.3</v>
      </c>
      <c r="G179" s="13"/>
      <c r="H179" s="13"/>
      <c r="I179" s="13"/>
      <c r="J179" s="69"/>
      <c r="K179" s="69"/>
      <c r="L179" s="69"/>
      <c r="M179" s="69"/>
      <c r="N179" s="69"/>
      <c r="O179" s="69"/>
      <c r="P179" s="69"/>
      <c r="Q179" s="77"/>
      <c r="R179" s="69"/>
      <c r="S179" s="69"/>
      <c r="T179" s="69"/>
      <c r="U179" s="57"/>
      <c r="V179" s="57"/>
    </row>
    <row r="180" spans="1:22" s="11" customFormat="1" x14ac:dyDescent="0.2">
      <c r="A180" s="47"/>
      <c r="B180" s="30" t="s">
        <v>2</v>
      </c>
      <c r="C180" s="30" t="s">
        <v>2</v>
      </c>
      <c r="D180" s="12">
        <f>E180+F180+G180+H180+I180</f>
        <v>953.35632999999996</v>
      </c>
      <c r="E180" s="13">
        <f>0+504.70347</f>
        <v>504.70346999999998</v>
      </c>
      <c r="F180" s="13">
        <f>0+448.65286</f>
        <v>448.65285999999998</v>
      </c>
      <c r="G180" s="13"/>
      <c r="H180" s="13"/>
      <c r="I180" s="13"/>
      <c r="J180" s="69"/>
      <c r="K180" s="69"/>
      <c r="L180" s="69"/>
      <c r="M180" s="69"/>
      <c r="N180" s="69"/>
      <c r="O180" s="69"/>
      <c r="P180" s="69"/>
      <c r="Q180" s="77"/>
      <c r="R180" s="69"/>
      <c r="S180" s="69"/>
      <c r="T180" s="69"/>
      <c r="U180" s="57"/>
      <c r="V180" s="57"/>
    </row>
    <row r="181" spans="1:22" s="11" customFormat="1" ht="21" customHeight="1" x14ac:dyDescent="0.2">
      <c r="A181" s="48"/>
      <c r="B181" s="30" t="s">
        <v>3</v>
      </c>
      <c r="C181" s="30" t="s">
        <v>3</v>
      </c>
      <c r="D181" s="12">
        <f>E181+F181+G181+H181+I181</f>
        <v>0</v>
      </c>
      <c r="E181" s="13"/>
      <c r="F181" s="13"/>
      <c r="G181" s="13"/>
      <c r="H181" s="13"/>
      <c r="I181" s="13"/>
      <c r="J181" s="69"/>
      <c r="K181" s="69"/>
      <c r="L181" s="69"/>
      <c r="M181" s="69"/>
      <c r="N181" s="69"/>
      <c r="O181" s="69"/>
      <c r="P181" s="69"/>
      <c r="Q181" s="77"/>
      <c r="R181" s="69"/>
      <c r="S181" s="69"/>
      <c r="T181" s="69"/>
      <c r="U181" s="57"/>
      <c r="V181" s="57"/>
    </row>
    <row r="182" spans="1:22" s="11" customFormat="1" x14ac:dyDescent="0.2">
      <c r="A182" s="46" t="s">
        <v>536</v>
      </c>
      <c r="B182" s="78" t="s">
        <v>141</v>
      </c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</row>
    <row r="183" spans="1:22" s="11" customFormat="1" x14ac:dyDescent="0.2">
      <c r="A183" s="47" t="s">
        <v>30</v>
      </c>
      <c r="B183" s="82" t="s">
        <v>145</v>
      </c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</row>
    <row r="184" spans="1:22" s="11" customFormat="1" ht="99.6" customHeight="1" x14ac:dyDescent="0.2">
      <c r="A184" s="47"/>
      <c r="B184" s="30" t="s">
        <v>615</v>
      </c>
      <c r="C184" s="30" t="s">
        <v>436</v>
      </c>
      <c r="D184" s="30"/>
      <c r="E184" s="30"/>
      <c r="F184" s="30"/>
      <c r="G184" s="30"/>
      <c r="H184" s="30"/>
      <c r="I184" s="30"/>
      <c r="J184" s="69" t="s">
        <v>117</v>
      </c>
      <c r="K184" s="69" t="s">
        <v>66</v>
      </c>
      <c r="L184" s="69" t="s">
        <v>62</v>
      </c>
      <c r="M184" s="69" t="s">
        <v>571</v>
      </c>
      <c r="N184" s="69" t="s">
        <v>438</v>
      </c>
      <c r="O184" s="69" t="s">
        <v>141</v>
      </c>
      <c r="P184" s="69" t="s">
        <v>438</v>
      </c>
      <c r="Q184" s="77" t="s">
        <v>573</v>
      </c>
      <c r="R184" s="69" t="s">
        <v>9</v>
      </c>
      <c r="S184" s="69" t="s">
        <v>439</v>
      </c>
      <c r="T184" s="69" t="s">
        <v>17</v>
      </c>
      <c r="U184" s="57"/>
      <c r="V184" s="57"/>
    </row>
    <row r="185" spans="1:22" s="11" customFormat="1" x14ac:dyDescent="0.2">
      <c r="A185" s="47"/>
      <c r="B185" s="30" t="s">
        <v>5</v>
      </c>
      <c r="C185" s="30" t="s">
        <v>5</v>
      </c>
      <c r="D185" s="12">
        <f>SUM(D186:D189)</f>
        <v>421779.69605999999</v>
      </c>
      <c r="E185" s="13">
        <f>SUM(E186:E189)</f>
        <v>204646.45918999999</v>
      </c>
      <c r="F185" s="13">
        <f>SUM(F186:F189)</f>
        <v>217133.23686999999</v>
      </c>
      <c r="G185" s="13"/>
      <c r="H185" s="13"/>
      <c r="I185" s="13"/>
      <c r="J185" s="69"/>
      <c r="K185" s="69"/>
      <c r="L185" s="69"/>
      <c r="M185" s="69"/>
      <c r="N185" s="69"/>
      <c r="O185" s="69"/>
      <c r="P185" s="69"/>
      <c r="Q185" s="77"/>
      <c r="R185" s="69"/>
      <c r="S185" s="69"/>
      <c r="T185" s="69"/>
      <c r="U185" s="57"/>
      <c r="V185" s="57"/>
    </row>
    <row r="186" spans="1:22" s="11" customFormat="1" x14ac:dyDescent="0.2">
      <c r="A186" s="47"/>
      <c r="B186" s="30" t="s">
        <v>0</v>
      </c>
      <c r="C186" s="30" t="s">
        <v>0</v>
      </c>
      <c r="D186" s="12">
        <f>E186+F186+G186+H186+I186</f>
        <v>322903.46999999997</v>
      </c>
      <c r="E186" s="13">
        <f>0+208290.34-17912.91</f>
        <v>190377.43</v>
      </c>
      <c r="F186" s="13">
        <f>0+109160.94+23365.1</f>
        <v>132526.04</v>
      </c>
      <c r="G186" s="13"/>
      <c r="H186" s="13"/>
      <c r="I186" s="13"/>
      <c r="J186" s="69"/>
      <c r="K186" s="69"/>
      <c r="L186" s="69"/>
      <c r="M186" s="69"/>
      <c r="N186" s="69"/>
      <c r="O186" s="69"/>
      <c r="P186" s="69"/>
      <c r="Q186" s="77"/>
      <c r="R186" s="69"/>
      <c r="S186" s="69"/>
      <c r="T186" s="69"/>
      <c r="U186" s="57"/>
      <c r="V186" s="57"/>
    </row>
    <row r="187" spans="1:22" s="11" customFormat="1" x14ac:dyDescent="0.2">
      <c r="A187" s="47"/>
      <c r="B187" s="30" t="s">
        <v>1</v>
      </c>
      <c r="C187" s="30" t="s">
        <v>1</v>
      </c>
      <c r="D187" s="12">
        <f>E187+F187+G187+H187+I187</f>
        <v>97237.205349999989</v>
      </c>
      <c r="E187" s="13">
        <f>0+2103.94283+11198.75252</f>
        <v>13302.69535</v>
      </c>
      <c r="F187" s="13">
        <f>0+175866.84576-91932.33576</f>
        <v>83934.51</v>
      </c>
      <c r="G187" s="13"/>
      <c r="H187" s="13"/>
      <c r="I187" s="13"/>
      <c r="J187" s="69"/>
      <c r="K187" s="69"/>
      <c r="L187" s="69"/>
      <c r="M187" s="69"/>
      <c r="N187" s="69"/>
      <c r="O187" s="69"/>
      <c r="P187" s="69"/>
      <c r="Q187" s="77"/>
      <c r="R187" s="69"/>
      <c r="S187" s="69"/>
      <c r="T187" s="69"/>
      <c r="U187" s="57"/>
      <c r="V187" s="57"/>
    </row>
    <row r="188" spans="1:22" s="11" customFormat="1" x14ac:dyDescent="0.2">
      <c r="A188" s="47"/>
      <c r="B188" s="30" t="s">
        <v>2</v>
      </c>
      <c r="C188" s="30" t="s">
        <v>2</v>
      </c>
      <c r="D188" s="12">
        <f>E188+F188+G188+H188+I188</f>
        <v>1639.02071</v>
      </c>
      <c r="E188" s="13">
        <f>0+966.33384</f>
        <v>966.33384000000001</v>
      </c>
      <c r="F188" s="13">
        <f>0+672.68687</f>
        <v>672.68687</v>
      </c>
      <c r="G188" s="13"/>
      <c r="H188" s="13"/>
      <c r="I188" s="13"/>
      <c r="J188" s="69"/>
      <c r="K188" s="69"/>
      <c r="L188" s="69"/>
      <c r="M188" s="69"/>
      <c r="N188" s="69"/>
      <c r="O188" s="69"/>
      <c r="P188" s="69"/>
      <c r="Q188" s="77"/>
      <c r="R188" s="69"/>
      <c r="S188" s="69"/>
      <c r="T188" s="69"/>
      <c r="U188" s="57"/>
      <c r="V188" s="57"/>
    </row>
    <row r="189" spans="1:22" s="11" customFormat="1" ht="21" customHeight="1" x14ac:dyDescent="0.2">
      <c r="A189" s="48"/>
      <c r="B189" s="30" t="s">
        <v>3</v>
      </c>
      <c r="C189" s="30" t="s">
        <v>3</v>
      </c>
      <c r="D189" s="12">
        <f>E189+F189+G189+H189+I189</f>
        <v>0</v>
      </c>
      <c r="E189" s="13"/>
      <c r="F189" s="13"/>
      <c r="G189" s="13"/>
      <c r="H189" s="13"/>
      <c r="I189" s="13"/>
      <c r="J189" s="69"/>
      <c r="K189" s="69"/>
      <c r="L189" s="69"/>
      <c r="M189" s="69"/>
      <c r="N189" s="69"/>
      <c r="O189" s="69"/>
      <c r="P189" s="69"/>
      <c r="Q189" s="77"/>
      <c r="R189" s="69"/>
      <c r="S189" s="69"/>
      <c r="T189" s="69"/>
      <c r="U189" s="57"/>
      <c r="V189" s="57"/>
    </row>
    <row r="190" spans="1:22" s="11" customFormat="1" x14ac:dyDescent="0.2">
      <c r="A190" s="46" t="s">
        <v>537</v>
      </c>
      <c r="B190" s="78" t="s">
        <v>141</v>
      </c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</row>
    <row r="191" spans="1:22" s="11" customFormat="1" x14ac:dyDescent="0.2">
      <c r="A191" s="47" t="s">
        <v>30</v>
      </c>
      <c r="B191" s="82" t="s">
        <v>145</v>
      </c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</row>
    <row r="192" spans="1:22" s="11" customFormat="1" ht="99.95" customHeight="1" x14ac:dyDescent="0.2">
      <c r="A192" s="47"/>
      <c r="B192" s="30" t="s">
        <v>616</v>
      </c>
      <c r="C192" s="30" t="s">
        <v>436</v>
      </c>
      <c r="D192" s="30"/>
      <c r="E192" s="30"/>
      <c r="F192" s="30"/>
      <c r="G192" s="30"/>
      <c r="H192" s="30"/>
      <c r="I192" s="30"/>
      <c r="J192" s="69" t="s">
        <v>117</v>
      </c>
      <c r="K192" s="69" t="s">
        <v>66</v>
      </c>
      <c r="L192" s="69" t="s">
        <v>62</v>
      </c>
      <c r="M192" s="69" t="s">
        <v>113</v>
      </c>
      <c r="N192" s="69" t="s">
        <v>438</v>
      </c>
      <c r="O192" s="69" t="s">
        <v>141</v>
      </c>
      <c r="P192" s="69" t="s">
        <v>438</v>
      </c>
      <c r="Q192" s="77" t="s">
        <v>574</v>
      </c>
      <c r="R192" s="69" t="s">
        <v>9</v>
      </c>
      <c r="S192" s="69" t="s">
        <v>439</v>
      </c>
      <c r="T192" s="69" t="s">
        <v>17</v>
      </c>
      <c r="U192" s="69"/>
      <c r="V192" s="69"/>
    </row>
    <row r="193" spans="1:22" s="11" customFormat="1" x14ac:dyDescent="0.2">
      <c r="A193" s="47"/>
      <c r="B193" s="30" t="s">
        <v>5</v>
      </c>
      <c r="C193" s="30" t="s">
        <v>5</v>
      </c>
      <c r="D193" s="12">
        <f>SUM(D194:D197)</f>
        <v>345446.52312999999</v>
      </c>
      <c r="E193" s="13">
        <f>SUM(E194:E197)</f>
        <v>110666.52299</v>
      </c>
      <c r="F193" s="13">
        <f>SUM(F194:F197)</f>
        <v>234780.00013999999</v>
      </c>
      <c r="G193" s="13"/>
      <c r="H193" s="13"/>
      <c r="I193" s="13"/>
      <c r="J193" s="69"/>
      <c r="K193" s="69"/>
      <c r="L193" s="69"/>
      <c r="M193" s="69"/>
      <c r="N193" s="69"/>
      <c r="O193" s="69"/>
      <c r="P193" s="69"/>
      <c r="Q193" s="77"/>
      <c r="R193" s="69"/>
      <c r="S193" s="69"/>
      <c r="T193" s="69"/>
      <c r="U193" s="69"/>
      <c r="V193" s="69"/>
    </row>
    <row r="194" spans="1:22" s="11" customFormat="1" x14ac:dyDescent="0.2">
      <c r="A194" s="47"/>
      <c r="B194" s="30" t="s">
        <v>0</v>
      </c>
      <c r="C194" s="30" t="s">
        <v>0</v>
      </c>
      <c r="D194" s="12">
        <f>E194+F194+G194+H194+I194</f>
        <v>176597.82</v>
      </c>
      <c r="E194" s="13">
        <f>0+99115.73</f>
        <v>99115.73</v>
      </c>
      <c r="F194" s="13">
        <v>77482.09</v>
      </c>
      <c r="G194" s="13"/>
      <c r="H194" s="13"/>
      <c r="I194" s="13"/>
      <c r="J194" s="69"/>
      <c r="K194" s="69"/>
      <c r="L194" s="69"/>
      <c r="M194" s="69"/>
      <c r="N194" s="69"/>
      <c r="O194" s="69"/>
      <c r="P194" s="69"/>
      <c r="Q194" s="77"/>
      <c r="R194" s="69"/>
      <c r="S194" s="69"/>
      <c r="T194" s="69"/>
      <c r="U194" s="69"/>
      <c r="V194" s="69"/>
    </row>
    <row r="195" spans="1:22" s="11" customFormat="1" x14ac:dyDescent="0.2">
      <c r="A195" s="47"/>
      <c r="B195" s="30" t="s">
        <v>1</v>
      </c>
      <c r="C195" s="30" t="s">
        <v>1</v>
      </c>
      <c r="D195" s="12">
        <f>E195+F195+G195+H195+I195</f>
        <v>167952.31299000001</v>
      </c>
      <c r="E195" s="13">
        <f>1001.16899+10046.524</f>
        <v>11047.69299</v>
      </c>
      <c r="F195" s="13">
        <v>156904.62</v>
      </c>
      <c r="G195" s="13"/>
      <c r="H195" s="13"/>
      <c r="I195" s="13"/>
      <c r="J195" s="69"/>
      <c r="K195" s="69"/>
      <c r="L195" s="69"/>
      <c r="M195" s="69"/>
      <c r="N195" s="69"/>
      <c r="O195" s="69"/>
      <c r="P195" s="69"/>
      <c r="Q195" s="77"/>
      <c r="R195" s="69"/>
      <c r="S195" s="69"/>
      <c r="T195" s="69"/>
      <c r="U195" s="69"/>
      <c r="V195" s="69"/>
    </row>
    <row r="196" spans="1:22" s="11" customFormat="1" x14ac:dyDescent="0.2">
      <c r="A196" s="47"/>
      <c r="B196" s="30" t="s">
        <v>2</v>
      </c>
      <c r="C196" s="30" t="s">
        <v>2</v>
      </c>
      <c r="D196" s="12">
        <f>E196+F196+G196+H196+I196</f>
        <v>896.39013999999997</v>
      </c>
      <c r="E196" s="13">
        <f>0+503.1</f>
        <v>503.1</v>
      </c>
      <c r="F196" s="13">
        <f>0+393.29014</f>
        <v>393.29014000000001</v>
      </c>
      <c r="G196" s="13"/>
      <c r="H196" s="13"/>
      <c r="I196" s="13"/>
      <c r="J196" s="69"/>
      <c r="K196" s="69"/>
      <c r="L196" s="69"/>
      <c r="M196" s="69"/>
      <c r="N196" s="69"/>
      <c r="O196" s="69"/>
      <c r="P196" s="69"/>
      <c r="Q196" s="77"/>
      <c r="R196" s="69"/>
      <c r="S196" s="69"/>
      <c r="T196" s="69"/>
      <c r="U196" s="69"/>
      <c r="V196" s="69"/>
    </row>
    <row r="197" spans="1:22" s="11" customFormat="1" ht="21" customHeight="1" x14ac:dyDescent="0.2">
      <c r="A197" s="48"/>
      <c r="B197" s="30" t="s">
        <v>3</v>
      </c>
      <c r="C197" s="30" t="s">
        <v>3</v>
      </c>
      <c r="D197" s="12">
        <f>E197+F197+G197+H197+I197</f>
        <v>0</v>
      </c>
      <c r="E197" s="13"/>
      <c r="F197" s="13"/>
      <c r="G197" s="13"/>
      <c r="H197" s="13"/>
      <c r="I197" s="13"/>
      <c r="J197" s="69"/>
      <c r="K197" s="69"/>
      <c r="L197" s="69"/>
      <c r="M197" s="69"/>
      <c r="N197" s="69"/>
      <c r="O197" s="69"/>
      <c r="P197" s="69"/>
      <c r="Q197" s="77"/>
      <c r="R197" s="69"/>
      <c r="S197" s="69"/>
      <c r="T197" s="69"/>
      <c r="U197" s="69"/>
      <c r="V197" s="69"/>
    </row>
    <row r="198" spans="1:22" s="11" customFormat="1" x14ac:dyDescent="0.2">
      <c r="A198" s="46" t="s">
        <v>538</v>
      </c>
      <c r="B198" s="78" t="s">
        <v>141</v>
      </c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</row>
    <row r="199" spans="1:22" s="11" customFormat="1" x14ac:dyDescent="0.2">
      <c r="A199" s="47" t="s">
        <v>30</v>
      </c>
      <c r="B199" s="82" t="s">
        <v>145</v>
      </c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</row>
    <row r="200" spans="1:22" s="11" customFormat="1" ht="69.75" customHeight="1" x14ac:dyDescent="0.2">
      <c r="A200" s="47"/>
      <c r="B200" s="30" t="s">
        <v>617</v>
      </c>
      <c r="C200" s="30" t="s">
        <v>436</v>
      </c>
      <c r="D200" s="30"/>
      <c r="E200" s="30"/>
      <c r="F200" s="30"/>
      <c r="G200" s="30"/>
      <c r="H200" s="30"/>
      <c r="I200" s="30"/>
      <c r="J200" s="69" t="s">
        <v>87</v>
      </c>
      <c r="K200" s="69" t="s">
        <v>66</v>
      </c>
      <c r="L200" s="69" t="s">
        <v>62</v>
      </c>
      <c r="M200" s="69" t="s">
        <v>571</v>
      </c>
      <c r="N200" s="57" t="s">
        <v>575</v>
      </c>
      <c r="O200" s="57" t="s">
        <v>141</v>
      </c>
      <c r="P200" s="57" t="s">
        <v>575</v>
      </c>
      <c r="Q200" s="85" t="s">
        <v>576</v>
      </c>
      <c r="R200" s="57" t="s">
        <v>9</v>
      </c>
      <c r="S200" s="57" t="s">
        <v>127</v>
      </c>
      <c r="T200" s="57" t="s">
        <v>171</v>
      </c>
      <c r="U200" s="57"/>
      <c r="V200" s="57"/>
    </row>
    <row r="201" spans="1:22" s="11" customFormat="1" x14ac:dyDescent="0.2">
      <c r="A201" s="47"/>
      <c r="B201" s="30" t="s">
        <v>5</v>
      </c>
      <c r="C201" s="30" t="s">
        <v>5</v>
      </c>
      <c r="D201" s="12">
        <f>SUM(D202:D205)</f>
        <v>553049.53211999999</v>
      </c>
      <c r="E201" s="13"/>
      <c r="F201" s="13">
        <f>SUM(F202:F205)</f>
        <v>144460.734</v>
      </c>
      <c r="G201" s="13">
        <f>SUM(G202:G205)</f>
        <v>367400.93812000006</v>
      </c>
      <c r="H201" s="13"/>
      <c r="I201" s="13"/>
      <c r="J201" s="69"/>
      <c r="K201" s="69"/>
      <c r="L201" s="69"/>
      <c r="M201" s="69"/>
      <c r="N201" s="57"/>
      <c r="O201" s="57"/>
      <c r="P201" s="57"/>
      <c r="Q201" s="85"/>
      <c r="R201" s="57"/>
      <c r="S201" s="57"/>
      <c r="T201" s="57"/>
      <c r="U201" s="57"/>
      <c r="V201" s="57"/>
    </row>
    <row r="202" spans="1:22" s="11" customFormat="1" x14ac:dyDescent="0.2">
      <c r="A202" s="47"/>
      <c r="B202" s="30" t="s">
        <v>0</v>
      </c>
      <c r="C202" s="30" t="s">
        <v>0</v>
      </c>
      <c r="D202" s="12">
        <f>E202+F202+G202+H202+I202</f>
        <v>361926.39</v>
      </c>
      <c r="E202" s="13"/>
      <c r="F202" s="13"/>
      <c r="G202" s="13">
        <f>0+361926.39</f>
        <v>361926.39</v>
      </c>
      <c r="H202" s="13"/>
      <c r="I202" s="13"/>
      <c r="J202" s="69"/>
      <c r="K202" s="69"/>
      <c r="L202" s="69"/>
      <c r="M202" s="69"/>
      <c r="N202" s="57"/>
      <c r="O202" s="57"/>
      <c r="P202" s="57"/>
      <c r="Q202" s="85"/>
      <c r="R202" s="57"/>
      <c r="S202" s="57"/>
      <c r="T202" s="57"/>
      <c r="U202" s="57"/>
      <c r="V202" s="57"/>
    </row>
    <row r="203" spans="1:22" s="11" customFormat="1" x14ac:dyDescent="0.2">
      <c r="A203" s="47"/>
      <c r="B203" s="30" t="s">
        <v>1</v>
      </c>
      <c r="C203" s="30" t="s">
        <v>1</v>
      </c>
      <c r="D203" s="12">
        <f>E203+F203+G203+H203+I203</f>
        <v>188582.11211999998</v>
      </c>
      <c r="E203" s="13">
        <f>0+41187.86</f>
        <v>41187.86</v>
      </c>
      <c r="F203" s="13">
        <v>143738.43</v>
      </c>
      <c r="G203" s="13">
        <f>0+3655.82212</f>
        <v>3655.8221199999998</v>
      </c>
      <c r="H203" s="13"/>
      <c r="I203" s="13"/>
      <c r="J203" s="69"/>
      <c r="K203" s="69"/>
      <c r="L203" s="69"/>
      <c r="M203" s="69"/>
      <c r="N203" s="57"/>
      <c r="O203" s="57"/>
      <c r="P203" s="57"/>
      <c r="Q203" s="85"/>
      <c r="R203" s="57"/>
      <c r="S203" s="57"/>
      <c r="T203" s="57"/>
      <c r="U203" s="57"/>
      <c r="V203" s="57"/>
    </row>
    <row r="204" spans="1:22" s="11" customFormat="1" x14ac:dyDescent="0.2">
      <c r="A204" s="47"/>
      <c r="B204" s="30" t="s">
        <v>2</v>
      </c>
      <c r="C204" s="30" t="s">
        <v>2</v>
      </c>
      <c r="D204" s="12">
        <f>E204+F204+G204+H204+I204</f>
        <v>2541.0300000000002</v>
      </c>
      <c r="E204" s="13"/>
      <c r="F204" s="13">
        <f>0+722.304</f>
        <v>722.30399999999997</v>
      </c>
      <c r="G204" s="13">
        <f>0+1818.726</f>
        <v>1818.7260000000001</v>
      </c>
      <c r="H204" s="13"/>
      <c r="I204" s="13"/>
      <c r="J204" s="69"/>
      <c r="K204" s="69"/>
      <c r="L204" s="69"/>
      <c r="M204" s="69"/>
      <c r="N204" s="57"/>
      <c r="O204" s="57"/>
      <c r="P204" s="57"/>
      <c r="Q204" s="85"/>
      <c r="R204" s="57"/>
      <c r="S204" s="57"/>
      <c r="T204" s="57"/>
      <c r="U204" s="57"/>
      <c r="V204" s="57"/>
    </row>
    <row r="205" spans="1:22" s="11" customFormat="1" ht="21" customHeight="1" x14ac:dyDescent="0.2">
      <c r="A205" s="48"/>
      <c r="B205" s="30" t="s">
        <v>3</v>
      </c>
      <c r="C205" s="30" t="s">
        <v>3</v>
      </c>
      <c r="D205" s="12">
        <f>E205+F205+G205+H205+I205</f>
        <v>0</v>
      </c>
      <c r="E205" s="13"/>
      <c r="F205" s="13"/>
      <c r="G205" s="13"/>
      <c r="H205" s="13"/>
      <c r="I205" s="13"/>
      <c r="J205" s="69"/>
      <c r="K205" s="69"/>
      <c r="L205" s="69"/>
      <c r="M205" s="69"/>
      <c r="N205" s="57"/>
      <c r="O205" s="57"/>
      <c r="P205" s="57"/>
      <c r="Q205" s="85"/>
      <c r="R205" s="57"/>
      <c r="S205" s="57"/>
      <c r="T205" s="57"/>
      <c r="U205" s="57"/>
      <c r="V205" s="57"/>
    </row>
    <row r="206" spans="1:22" x14ac:dyDescent="0.2">
      <c r="A206" s="46" t="s">
        <v>539</v>
      </c>
      <c r="B206" s="78" t="s">
        <v>141</v>
      </c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</row>
    <row r="207" spans="1:22" x14ac:dyDescent="0.2">
      <c r="A207" s="47" t="s">
        <v>30</v>
      </c>
      <c r="B207" s="26" t="s">
        <v>569</v>
      </c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</row>
    <row r="208" spans="1:22" ht="48" customHeight="1" x14ac:dyDescent="0.2">
      <c r="A208" s="47"/>
      <c r="B208" s="30" t="s">
        <v>570</v>
      </c>
      <c r="C208" s="30" t="s">
        <v>502</v>
      </c>
      <c r="D208" s="30"/>
      <c r="E208" s="30"/>
      <c r="F208" s="30"/>
      <c r="G208" s="30"/>
      <c r="H208" s="30"/>
      <c r="I208" s="30"/>
      <c r="J208" s="69" t="s">
        <v>66</v>
      </c>
      <c r="K208" s="69"/>
      <c r="L208" s="69" t="s">
        <v>203</v>
      </c>
      <c r="M208" s="69" t="s">
        <v>525</v>
      </c>
      <c r="N208" s="69" t="s">
        <v>526</v>
      </c>
      <c r="O208" s="69" t="s">
        <v>141</v>
      </c>
      <c r="P208" s="69" t="s">
        <v>526</v>
      </c>
      <c r="Q208" s="77"/>
      <c r="R208" s="69" t="s">
        <v>11</v>
      </c>
      <c r="S208" s="69" t="s">
        <v>527</v>
      </c>
      <c r="T208" s="69" t="s">
        <v>7</v>
      </c>
      <c r="U208" s="69"/>
      <c r="V208" s="69" t="s">
        <v>528</v>
      </c>
    </row>
    <row r="209" spans="1:22" x14ac:dyDescent="0.2">
      <c r="A209" s="47"/>
      <c r="B209" s="30" t="s">
        <v>5</v>
      </c>
      <c r="C209" s="30" t="s">
        <v>5</v>
      </c>
      <c r="D209" s="12">
        <f>SUM(D210:D214)</f>
        <v>2877.41896</v>
      </c>
      <c r="E209" s="13">
        <f>SUM(E210:E214)</f>
        <v>2877.41896</v>
      </c>
      <c r="F209" s="13"/>
      <c r="G209" s="13"/>
      <c r="H209" s="13"/>
      <c r="I209" s="13"/>
      <c r="J209" s="69"/>
      <c r="K209" s="69"/>
      <c r="L209" s="69"/>
      <c r="M209" s="69"/>
      <c r="N209" s="69"/>
      <c r="O209" s="69"/>
      <c r="P209" s="69"/>
      <c r="Q209" s="77"/>
      <c r="R209" s="69"/>
      <c r="S209" s="69"/>
      <c r="T209" s="69"/>
      <c r="U209" s="69"/>
      <c r="V209" s="69"/>
    </row>
    <row r="210" spans="1:22" x14ac:dyDescent="0.2">
      <c r="A210" s="47"/>
      <c r="B210" s="30" t="s">
        <v>0</v>
      </c>
      <c r="C210" s="30" t="s">
        <v>0</v>
      </c>
      <c r="D210" s="12">
        <f>E210+F210+G210+H210+I210</f>
        <v>0</v>
      </c>
      <c r="E210" s="13"/>
      <c r="F210" s="13"/>
      <c r="G210" s="13"/>
      <c r="H210" s="13"/>
      <c r="I210" s="13"/>
      <c r="J210" s="69"/>
      <c r="K210" s="69"/>
      <c r="L210" s="69"/>
      <c r="M210" s="69"/>
      <c r="N210" s="69"/>
      <c r="O210" s="69"/>
      <c r="P210" s="69"/>
      <c r="Q210" s="77"/>
      <c r="R210" s="69"/>
      <c r="S210" s="69"/>
      <c r="T210" s="69"/>
      <c r="U210" s="69"/>
      <c r="V210" s="69"/>
    </row>
    <row r="211" spans="1:22" x14ac:dyDescent="0.2">
      <c r="A211" s="47"/>
      <c r="B211" s="30" t="s">
        <v>1</v>
      </c>
      <c r="C211" s="30" t="s">
        <v>1</v>
      </c>
      <c r="D211" s="12">
        <f>E211+F211+G211+H211+I211</f>
        <v>0</v>
      </c>
      <c r="E211" s="13"/>
      <c r="F211" s="13"/>
      <c r="G211" s="13"/>
      <c r="H211" s="13"/>
      <c r="I211" s="13"/>
      <c r="J211" s="69"/>
      <c r="K211" s="69"/>
      <c r="L211" s="69"/>
      <c r="M211" s="69"/>
      <c r="N211" s="69"/>
      <c r="O211" s="69"/>
      <c r="P211" s="69"/>
      <c r="Q211" s="77"/>
      <c r="R211" s="69"/>
      <c r="S211" s="69"/>
      <c r="T211" s="69"/>
      <c r="U211" s="69"/>
      <c r="V211" s="69"/>
    </row>
    <row r="212" spans="1:22" ht="41.1" customHeight="1" x14ac:dyDescent="0.2">
      <c r="A212" s="47"/>
      <c r="B212" s="27" t="s">
        <v>514</v>
      </c>
      <c r="C212" s="29"/>
      <c r="D212" s="12">
        <f>E212+F212+G212+H212+I212</f>
        <v>2877.41896</v>
      </c>
      <c r="E212" s="13">
        <v>2877.41896</v>
      </c>
      <c r="F212" s="13"/>
      <c r="G212" s="13"/>
      <c r="H212" s="13"/>
      <c r="I212" s="13"/>
      <c r="J212" s="69"/>
      <c r="K212" s="69"/>
      <c r="L212" s="69"/>
      <c r="M212" s="69"/>
      <c r="N212" s="69"/>
      <c r="O212" s="69"/>
      <c r="P212" s="69"/>
      <c r="Q212" s="77"/>
      <c r="R212" s="69"/>
      <c r="S212" s="69"/>
      <c r="T212" s="69"/>
      <c r="U212" s="69"/>
      <c r="V212" s="69"/>
    </row>
    <row r="213" spans="1:22" x14ac:dyDescent="0.2">
      <c r="A213" s="47"/>
      <c r="B213" s="30" t="s">
        <v>2</v>
      </c>
      <c r="C213" s="30" t="s">
        <v>2</v>
      </c>
      <c r="D213" s="12">
        <f>E213+F213+G213+H213+I213</f>
        <v>0</v>
      </c>
      <c r="E213" s="13"/>
      <c r="F213" s="13"/>
      <c r="G213" s="13"/>
      <c r="H213" s="13"/>
      <c r="I213" s="13"/>
      <c r="J213" s="69"/>
      <c r="K213" s="69"/>
      <c r="L213" s="69"/>
      <c r="M213" s="69"/>
      <c r="N213" s="69"/>
      <c r="O213" s="69"/>
      <c r="P213" s="69"/>
      <c r="Q213" s="77"/>
      <c r="R213" s="69"/>
      <c r="S213" s="69"/>
      <c r="T213" s="69"/>
      <c r="U213" s="69"/>
      <c r="V213" s="69"/>
    </row>
    <row r="214" spans="1:22" ht="15.75" customHeight="1" x14ac:dyDescent="0.2">
      <c r="A214" s="48"/>
      <c r="B214" s="30" t="s">
        <v>3</v>
      </c>
      <c r="C214" s="30" t="s">
        <v>3</v>
      </c>
      <c r="D214" s="12">
        <f>E214+F214+G214+H214+I214</f>
        <v>0</v>
      </c>
      <c r="E214" s="13"/>
      <c r="F214" s="13"/>
      <c r="G214" s="13"/>
      <c r="H214" s="13"/>
      <c r="I214" s="13"/>
      <c r="J214" s="69"/>
      <c r="K214" s="69"/>
      <c r="L214" s="69"/>
      <c r="M214" s="69"/>
      <c r="N214" s="69"/>
      <c r="O214" s="69"/>
      <c r="P214" s="69"/>
      <c r="Q214" s="77"/>
      <c r="R214" s="69"/>
      <c r="S214" s="69"/>
      <c r="T214" s="69"/>
      <c r="U214" s="69"/>
      <c r="V214" s="69"/>
    </row>
    <row r="215" spans="1:22" ht="15.75" customHeight="1" x14ac:dyDescent="0.2">
      <c r="A215" s="46" t="s">
        <v>622</v>
      </c>
      <c r="B215" s="24" t="s">
        <v>16</v>
      </c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5"/>
    </row>
    <row r="216" spans="1:22" ht="15.75" customHeight="1" x14ac:dyDescent="0.2">
      <c r="A216" s="47"/>
      <c r="B216" s="26" t="s">
        <v>145</v>
      </c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</row>
    <row r="217" spans="1:22" ht="42" customHeight="1" x14ac:dyDescent="0.2">
      <c r="A217" s="47"/>
      <c r="B217" s="27" t="s">
        <v>621</v>
      </c>
      <c r="C217" s="28"/>
      <c r="D217" s="28"/>
      <c r="E217" s="28"/>
      <c r="F217" s="28"/>
      <c r="G217" s="28"/>
      <c r="H217" s="28"/>
      <c r="I217" s="29"/>
      <c r="J217" s="43" t="s">
        <v>623</v>
      </c>
      <c r="K217" s="43"/>
      <c r="L217" s="43" t="s">
        <v>60</v>
      </c>
      <c r="M217" s="43" t="s">
        <v>624</v>
      </c>
      <c r="N217" s="43" t="s">
        <v>82</v>
      </c>
      <c r="O217" s="43" t="s">
        <v>141</v>
      </c>
      <c r="P217" s="43" t="s">
        <v>82</v>
      </c>
      <c r="Q217" s="63" t="s">
        <v>625</v>
      </c>
      <c r="R217" s="43" t="s">
        <v>11</v>
      </c>
      <c r="S217" s="43" t="s">
        <v>112</v>
      </c>
      <c r="T217" s="43"/>
      <c r="U217" s="43"/>
      <c r="V217" s="43" t="s">
        <v>626</v>
      </c>
    </row>
    <row r="218" spans="1:22" ht="15.75" customHeight="1" x14ac:dyDescent="0.2">
      <c r="A218" s="47"/>
      <c r="B218" s="30" t="s">
        <v>5</v>
      </c>
      <c r="C218" s="30" t="s">
        <v>5</v>
      </c>
      <c r="D218" s="12">
        <f>SUM(D219:D222)</f>
        <v>4488.6379999999999</v>
      </c>
      <c r="E218" s="12">
        <f>SUM(E219:E222)</f>
        <v>4488.6379999999999</v>
      </c>
      <c r="F218" s="13"/>
      <c r="G218" s="13"/>
      <c r="H218" s="13"/>
      <c r="I218" s="13"/>
      <c r="J218" s="44"/>
      <c r="K218" s="44"/>
      <c r="L218" s="44"/>
      <c r="M218" s="44"/>
      <c r="N218" s="44"/>
      <c r="O218" s="44"/>
      <c r="P218" s="44"/>
      <c r="Q218" s="64"/>
      <c r="R218" s="44"/>
      <c r="S218" s="44"/>
      <c r="T218" s="44"/>
      <c r="U218" s="44"/>
      <c r="V218" s="44"/>
    </row>
    <row r="219" spans="1:22" ht="15.75" customHeight="1" x14ac:dyDescent="0.2">
      <c r="A219" s="47"/>
      <c r="B219" s="30" t="s">
        <v>0</v>
      </c>
      <c r="C219" s="30" t="s">
        <v>0</v>
      </c>
      <c r="D219" s="12">
        <f>SUM(E219:I219)</f>
        <v>0</v>
      </c>
      <c r="E219" s="13"/>
      <c r="F219" s="13"/>
      <c r="G219" s="13"/>
      <c r="H219" s="13"/>
      <c r="I219" s="13"/>
      <c r="J219" s="44"/>
      <c r="K219" s="44"/>
      <c r="L219" s="44"/>
      <c r="M219" s="44"/>
      <c r="N219" s="44"/>
      <c r="O219" s="44"/>
      <c r="P219" s="44"/>
      <c r="Q219" s="64"/>
      <c r="R219" s="44"/>
      <c r="S219" s="44"/>
      <c r="T219" s="44"/>
      <c r="U219" s="44"/>
      <c r="V219" s="44"/>
    </row>
    <row r="220" spans="1:22" ht="15.75" customHeight="1" x14ac:dyDescent="0.2">
      <c r="A220" s="47"/>
      <c r="B220" s="30" t="s">
        <v>1</v>
      </c>
      <c r="C220" s="30" t="s">
        <v>1</v>
      </c>
      <c r="D220" s="12">
        <f>SUM(E220:I220)</f>
        <v>4488.6379999999999</v>
      </c>
      <c r="E220" s="13">
        <f>0+4488.638</f>
        <v>4488.6379999999999</v>
      </c>
      <c r="F220" s="13"/>
      <c r="G220" s="13"/>
      <c r="H220" s="13"/>
      <c r="I220" s="13"/>
      <c r="J220" s="44"/>
      <c r="K220" s="44"/>
      <c r="L220" s="44"/>
      <c r="M220" s="44"/>
      <c r="N220" s="44"/>
      <c r="O220" s="44"/>
      <c r="P220" s="44"/>
      <c r="Q220" s="64"/>
      <c r="R220" s="44"/>
      <c r="S220" s="44"/>
      <c r="T220" s="44"/>
      <c r="U220" s="44"/>
      <c r="V220" s="44"/>
    </row>
    <row r="221" spans="1:22" ht="15.75" customHeight="1" x14ac:dyDescent="0.2">
      <c r="A221" s="47"/>
      <c r="B221" s="30" t="s">
        <v>2</v>
      </c>
      <c r="C221" s="30" t="s">
        <v>2</v>
      </c>
      <c r="D221" s="12">
        <f t="shared" ref="D221:D222" si="20">SUM(E221:I221)</f>
        <v>0</v>
      </c>
      <c r="E221" s="13"/>
      <c r="F221" s="13"/>
      <c r="G221" s="13"/>
      <c r="H221" s="13"/>
      <c r="I221" s="13"/>
      <c r="J221" s="44"/>
      <c r="K221" s="44"/>
      <c r="L221" s="44"/>
      <c r="M221" s="44"/>
      <c r="N221" s="44"/>
      <c r="O221" s="44"/>
      <c r="P221" s="44"/>
      <c r="Q221" s="64"/>
      <c r="R221" s="44"/>
      <c r="S221" s="44"/>
      <c r="T221" s="44"/>
      <c r="U221" s="44"/>
      <c r="V221" s="44"/>
    </row>
    <row r="222" spans="1:22" ht="15.75" customHeight="1" x14ac:dyDescent="0.2">
      <c r="A222" s="48"/>
      <c r="B222" s="30" t="s">
        <v>3</v>
      </c>
      <c r="C222" s="30" t="s">
        <v>3</v>
      </c>
      <c r="D222" s="12">
        <f t="shared" si="20"/>
        <v>0</v>
      </c>
      <c r="E222" s="13"/>
      <c r="F222" s="13"/>
      <c r="G222" s="13"/>
      <c r="H222" s="13"/>
      <c r="I222" s="13"/>
      <c r="J222" s="45"/>
      <c r="K222" s="45"/>
      <c r="L222" s="45"/>
      <c r="M222" s="45"/>
      <c r="N222" s="45"/>
      <c r="O222" s="45"/>
      <c r="P222" s="45"/>
      <c r="Q222" s="65"/>
      <c r="R222" s="45"/>
      <c r="S222" s="45"/>
      <c r="T222" s="45"/>
      <c r="U222" s="45"/>
      <c r="V222" s="45"/>
    </row>
    <row r="223" spans="1:22" ht="15.75" customHeight="1" x14ac:dyDescent="0.2">
      <c r="A223" s="46" t="s">
        <v>676</v>
      </c>
      <c r="B223" s="24" t="s">
        <v>16</v>
      </c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5"/>
    </row>
    <row r="224" spans="1:22" ht="15.75" customHeight="1" x14ac:dyDescent="0.2">
      <c r="A224" s="47"/>
      <c r="B224" s="26" t="s">
        <v>145</v>
      </c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</row>
    <row r="225" spans="1:22" ht="45.75" customHeight="1" x14ac:dyDescent="0.2">
      <c r="A225" s="47"/>
      <c r="B225" s="27" t="s">
        <v>677</v>
      </c>
      <c r="C225" s="28"/>
      <c r="D225" s="28"/>
      <c r="E225" s="28"/>
      <c r="F225" s="28"/>
      <c r="G225" s="28"/>
      <c r="H225" s="28"/>
      <c r="I225" s="29"/>
      <c r="J225" s="43" t="s">
        <v>701</v>
      </c>
      <c r="K225" s="43" t="s">
        <v>702</v>
      </c>
      <c r="L225" s="43" t="s">
        <v>60</v>
      </c>
      <c r="M225" s="43" t="s">
        <v>703</v>
      </c>
      <c r="N225" s="43" t="s">
        <v>82</v>
      </c>
      <c r="O225" s="43" t="s">
        <v>141</v>
      </c>
      <c r="P225" s="43" t="s">
        <v>82</v>
      </c>
      <c r="Q225" s="43" t="s">
        <v>704</v>
      </c>
      <c r="R225" s="43" t="s">
        <v>11</v>
      </c>
      <c r="S225" s="43" t="s">
        <v>115</v>
      </c>
      <c r="T225" s="43" t="s">
        <v>705</v>
      </c>
      <c r="U225" s="43"/>
      <c r="V225" s="43" t="s">
        <v>706</v>
      </c>
    </row>
    <row r="226" spans="1:22" ht="15.75" customHeight="1" x14ac:dyDescent="0.2">
      <c r="A226" s="47"/>
      <c r="B226" s="30" t="s">
        <v>5</v>
      </c>
      <c r="C226" s="30" t="s">
        <v>5</v>
      </c>
      <c r="D226" s="12">
        <f>SUM(D227:D230)</f>
        <v>15675</v>
      </c>
      <c r="E226" s="12">
        <f>SUM(E227:E230)</f>
        <v>15675</v>
      </c>
      <c r="F226" s="13"/>
      <c r="G226" s="13"/>
      <c r="H226" s="13"/>
      <c r="I226" s="13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</row>
    <row r="227" spans="1:22" ht="15.75" customHeight="1" x14ac:dyDescent="0.2">
      <c r="A227" s="47"/>
      <c r="B227" s="30" t="s">
        <v>0</v>
      </c>
      <c r="C227" s="30" t="s">
        <v>0</v>
      </c>
      <c r="D227" s="12">
        <f>SUM(E227:I227)</f>
        <v>0</v>
      </c>
      <c r="E227" s="13"/>
      <c r="F227" s="13"/>
      <c r="G227" s="13"/>
      <c r="H227" s="13"/>
      <c r="I227" s="13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</row>
    <row r="228" spans="1:22" ht="15.75" customHeight="1" x14ac:dyDescent="0.2">
      <c r="A228" s="47"/>
      <c r="B228" s="30" t="s">
        <v>1</v>
      </c>
      <c r="C228" s="30" t="s">
        <v>1</v>
      </c>
      <c r="D228" s="12">
        <f t="shared" ref="D228:D230" si="21">SUM(E228:I228)</f>
        <v>15675</v>
      </c>
      <c r="E228" s="13">
        <f>0+15675</f>
        <v>15675</v>
      </c>
      <c r="F228" s="13"/>
      <c r="G228" s="13"/>
      <c r="H228" s="13"/>
      <c r="I228" s="13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</row>
    <row r="229" spans="1:22" ht="15.75" customHeight="1" x14ac:dyDescent="0.2">
      <c r="A229" s="47"/>
      <c r="B229" s="30" t="s">
        <v>2</v>
      </c>
      <c r="C229" s="30" t="s">
        <v>2</v>
      </c>
      <c r="D229" s="12">
        <f t="shared" si="21"/>
        <v>0</v>
      </c>
      <c r="E229" s="13"/>
      <c r="F229" s="13"/>
      <c r="G229" s="13"/>
      <c r="H229" s="13"/>
      <c r="I229" s="13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</row>
    <row r="230" spans="1:22" ht="15.75" customHeight="1" x14ac:dyDescent="0.2">
      <c r="A230" s="48"/>
      <c r="B230" s="30" t="s">
        <v>3</v>
      </c>
      <c r="C230" s="30" t="s">
        <v>3</v>
      </c>
      <c r="D230" s="12">
        <f t="shared" si="21"/>
        <v>0</v>
      </c>
      <c r="E230" s="13"/>
      <c r="F230" s="13"/>
      <c r="G230" s="13"/>
      <c r="H230" s="13"/>
      <c r="I230" s="13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</row>
    <row r="231" spans="1:22" x14ac:dyDescent="0.2">
      <c r="A231" s="31" t="s">
        <v>33</v>
      </c>
      <c r="B231" s="75" t="s">
        <v>92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</row>
    <row r="232" spans="1:22" x14ac:dyDescent="0.2">
      <c r="A232" s="32"/>
      <c r="B232" s="76" t="s">
        <v>5</v>
      </c>
      <c r="C232" s="76"/>
      <c r="D232" s="14">
        <f>SUM(D233:D236)</f>
        <v>335514.51519999997</v>
      </c>
      <c r="E232" s="14">
        <f t="shared" ref="E232:I232" si="22">SUM(E233:E236)</f>
        <v>251973.51519999997</v>
      </c>
      <c r="F232" s="14">
        <f t="shared" si="22"/>
        <v>83541</v>
      </c>
      <c r="G232" s="14">
        <f t="shared" si="22"/>
        <v>0</v>
      </c>
      <c r="H232" s="14">
        <f t="shared" si="22"/>
        <v>0</v>
      </c>
      <c r="I232" s="14">
        <f t="shared" si="22"/>
        <v>0</v>
      </c>
      <c r="J232" s="34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6"/>
    </row>
    <row r="233" spans="1:22" x14ac:dyDescent="0.2">
      <c r="A233" s="32"/>
      <c r="B233" s="76" t="s">
        <v>0</v>
      </c>
      <c r="C233" s="76"/>
      <c r="D233" s="14">
        <f>E233+F233+G233+H233+I233</f>
        <v>0</v>
      </c>
      <c r="E233" s="14">
        <f t="shared" ref="E233" si="23">E241+E249+E257</f>
        <v>0</v>
      </c>
      <c r="F233" s="14">
        <f t="shared" ref="F233:I233" si="24">F241+F249+F257</f>
        <v>0</v>
      </c>
      <c r="G233" s="14">
        <f t="shared" si="24"/>
        <v>0</v>
      </c>
      <c r="H233" s="14">
        <f t="shared" si="24"/>
        <v>0</v>
      </c>
      <c r="I233" s="14">
        <f t="shared" si="24"/>
        <v>0</v>
      </c>
      <c r="J233" s="37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9"/>
    </row>
    <row r="234" spans="1:22" x14ac:dyDescent="0.2">
      <c r="A234" s="32"/>
      <c r="B234" s="76" t="s">
        <v>1</v>
      </c>
      <c r="C234" s="76"/>
      <c r="D234" s="14">
        <f>E234+F234+G234+H234+I234</f>
        <v>334998.68319999997</v>
      </c>
      <c r="E234" s="14">
        <f t="shared" ref="E234:I234" si="25">E242+E250+E258</f>
        <v>251457.68319999997</v>
      </c>
      <c r="F234" s="14">
        <f t="shared" si="25"/>
        <v>83541</v>
      </c>
      <c r="G234" s="14">
        <f t="shared" si="25"/>
        <v>0</v>
      </c>
      <c r="H234" s="14">
        <f t="shared" si="25"/>
        <v>0</v>
      </c>
      <c r="I234" s="14">
        <f t="shared" si="25"/>
        <v>0</v>
      </c>
      <c r="J234" s="37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9"/>
    </row>
    <row r="235" spans="1:22" x14ac:dyDescent="0.2">
      <c r="A235" s="32"/>
      <c r="B235" s="76" t="s">
        <v>2</v>
      </c>
      <c r="C235" s="76"/>
      <c r="D235" s="14">
        <f>E235+F235+G235+H235+I235</f>
        <v>515.83199999999999</v>
      </c>
      <c r="E235" s="14">
        <f t="shared" ref="E235:I235" si="26">E243+E251+E259</f>
        <v>515.83199999999999</v>
      </c>
      <c r="F235" s="14">
        <f t="shared" si="26"/>
        <v>0</v>
      </c>
      <c r="G235" s="14">
        <f t="shared" si="26"/>
        <v>0</v>
      </c>
      <c r="H235" s="14">
        <f t="shared" si="26"/>
        <v>0</v>
      </c>
      <c r="I235" s="14">
        <f t="shared" si="26"/>
        <v>0</v>
      </c>
      <c r="J235" s="37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9"/>
    </row>
    <row r="236" spans="1:22" s="11" customFormat="1" ht="21" customHeight="1" x14ac:dyDescent="0.2">
      <c r="A236" s="33"/>
      <c r="B236" s="76" t="s">
        <v>3</v>
      </c>
      <c r="C236" s="76"/>
      <c r="D236" s="14">
        <f>E236+F236+G236+H236+I236</f>
        <v>0</v>
      </c>
      <c r="E236" s="14">
        <f t="shared" ref="E236:I236" si="27">E244+E252+E260</f>
        <v>0</v>
      </c>
      <c r="F236" s="14">
        <f t="shared" si="27"/>
        <v>0</v>
      </c>
      <c r="G236" s="14">
        <f t="shared" si="27"/>
        <v>0</v>
      </c>
      <c r="H236" s="14">
        <f t="shared" si="27"/>
        <v>0</v>
      </c>
      <c r="I236" s="14">
        <f t="shared" si="27"/>
        <v>0</v>
      </c>
      <c r="J236" s="40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2"/>
    </row>
    <row r="237" spans="1:22" s="11" customFormat="1" x14ac:dyDescent="0.2">
      <c r="A237" s="46" t="s">
        <v>38</v>
      </c>
      <c r="B237" s="24" t="s">
        <v>16</v>
      </c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5"/>
    </row>
    <row r="238" spans="1:22" s="11" customFormat="1" x14ac:dyDescent="0.2">
      <c r="A238" s="47" t="s">
        <v>30</v>
      </c>
      <c r="B238" s="82" t="s">
        <v>165</v>
      </c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</row>
    <row r="239" spans="1:22" s="11" customFormat="1" ht="99.95" customHeight="1" x14ac:dyDescent="0.2">
      <c r="A239" s="47"/>
      <c r="B239" s="60" t="s">
        <v>77</v>
      </c>
      <c r="C239" s="61" t="s">
        <v>77</v>
      </c>
      <c r="D239" s="61"/>
      <c r="E239" s="61"/>
      <c r="F239" s="61"/>
      <c r="G239" s="61"/>
      <c r="H239" s="61"/>
      <c r="I239" s="62"/>
      <c r="J239" s="57" t="s">
        <v>166</v>
      </c>
      <c r="K239" s="57"/>
      <c r="L239" s="57" t="s">
        <v>60</v>
      </c>
      <c r="M239" s="57" t="s">
        <v>67</v>
      </c>
      <c r="N239" s="57" t="s">
        <v>82</v>
      </c>
      <c r="O239" s="57" t="s">
        <v>68</v>
      </c>
      <c r="P239" s="57" t="s">
        <v>82</v>
      </c>
      <c r="Q239" s="85" t="s">
        <v>388</v>
      </c>
      <c r="R239" s="57" t="s">
        <v>11</v>
      </c>
      <c r="S239" s="57" t="s">
        <v>10</v>
      </c>
      <c r="T239" s="57" t="s">
        <v>7</v>
      </c>
      <c r="U239" s="57"/>
      <c r="V239" s="57" t="s">
        <v>451</v>
      </c>
    </row>
    <row r="240" spans="1:22" s="11" customFormat="1" x14ac:dyDescent="0.2">
      <c r="A240" s="47"/>
      <c r="B240" s="59" t="s">
        <v>5</v>
      </c>
      <c r="C240" s="59" t="s">
        <v>5</v>
      </c>
      <c r="D240" s="9">
        <f>SUM(D241:D244)</f>
        <v>116688.95319999999</v>
      </c>
      <c r="E240" s="10">
        <f>SUM(E241:E244)</f>
        <v>116688.95319999999</v>
      </c>
      <c r="F240" s="10"/>
      <c r="G240" s="10"/>
      <c r="H240" s="10"/>
      <c r="I240" s="10"/>
      <c r="J240" s="57"/>
      <c r="K240" s="57"/>
      <c r="L240" s="57"/>
      <c r="M240" s="57"/>
      <c r="N240" s="57"/>
      <c r="O240" s="57"/>
      <c r="P240" s="57"/>
      <c r="Q240" s="85"/>
      <c r="R240" s="57"/>
      <c r="S240" s="57"/>
      <c r="T240" s="57"/>
      <c r="U240" s="57"/>
      <c r="V240" s="57"/>
    </row>
    <row r="241" spans="1:22" s="11" customFormat="1" x14ac:dyDescent="0.2">
      <c r="A241" s="47"/>
      <c r="B241" s="59" t="s">
        <v>0</v>
      </c>
      <c r="C241" s="59" t="s">
        <v>0</v>
      </c>
      <c r="D241" s="9">
        <f>E241+F241+G241+H241+I241</f>
        <v>0</v>
      </c>
      <c r="E241" s="10"/>
      <c r="F241" s="10"/>
      <c r="G241" s="10"/>
      <c r="H241" s="10"/>
      <c r="I241" s="10"/>
      <c r="J241" s="57"/>
      <c r="K241" s="57"/>
      <c r="L241" s="57"/>
      <c r="M241" s="57"/>
      <c r="N241" s="57"/>
      <c r="O241" s="57"/>
      <c r="P241" s="57"/>
      <c r="Q241" s="85"/>
      <c r="R241" s="57"/>
      <c r="S241" s="57"/>
      <c r="T241" s="57"/>
      <c r="U241" s="57"/>
      <c r="V241" s="57"/>
    </row>
    <row r="242" spans="1:22" s="11" customFormat="1" x14ac:dyDescent="0.2">
      <c r="A242" s="47"/>
      <c r="B242" s="59" t="s">
        <v>1</v>
      </c>
      <c r="C242" s="59" t="s">
        <v>1</v>
      </c>
      <c r="D242" s="9">
        <f>E242+F242+G242+H242+I242</f>
        <v>116688.95319999999</v>
      </c>
      <c r="E242" s="13">
        <f>110268.18+6420.7732</f>
        <v>116688.95319999999</v>
      </c>
      <c r="F242" s="10"/>
      <c r="G242" s="10"/>
      <c r="H242" s="10"/>
      <c r="I242" s="10"/>
      <c r="J242" s="57"/>
      <c r="K242" s="57"/>
      <c r="L242" s="57"/>
      <c r="M242" s="57"/>
      <c r="N242" s="57"/>
      <c r="O242" s="57"/>
      <c r="P242" s="57"/>
      <c r="Q242" s="85"/>
      <c r="R242" s="57"/>
      <c r="S242" s="57"/>
      <c r="T242" s="57"/>
      <c r="U242" s="57"/>
      <c r="V242" s="57"/>
    </row>
    <row r="243" spans="1:22" x14ac:dyDescent="0.2">
      <c r="A243" s="47"/>
      <c r="B243" s="59" t="s">
        <v>2</v>
      </c>
      <c r="C243" s="59" t="s">
        <v>2</v>
      </c>
      <c r="D243" s="9">
        <f>E243+F243+G243+H243+I243</f>
        <v>0</v>
      </c>
      <c r="E243" s="10"/>
      <c r="F243" s="10"/>
      <c r="G243" s="10"/>
      <c r="H243" s="10"/>
      <c r="I243" s="10"/>
      <c r="J243" s="57"/>
      <c r="K243" s="57"/>
      <c r="L243" s="57"/>
      <c r="M243" s="57"/>
      <c r="N243" s="57"/>
      <c r="O243" s="57"/>
      <c r="P243" s="57"/>
      <c r="Q243" s="85"/>
      <c r="R243" s="57"/>
      <c r="S243" s="57"/>
      <c r="T243" s="57"/>
      <c r="U243" s="57"/>
      <c r="V243" s="57"/>
    </row>
    <row r="244" spans="1:22" s="11" customFormat="1" ht="21" customHeight="1" x14ac:dyDescent="0.2">
      <c r="A244" s="48"/>
      <c r="B244" s="59" t="s">
        <v>3</v>
      </c>
      <c r="C244" s="59" t="s">
        <v>3</v>
      </c>
      <c r="D244" s="9">
        <f>E244+F244+G244+H244+I244</f>
        <v>0</v>
      </c>
      <c r="E244" s="10"/>
      <c r="F244" s="10"/>
      <c r="G244" s="10"/>
      <c r="H244" s="10"/>
      <c r="I244" s="10"/>
      <c r="J244" s="57"/>
      <c r="K244" s="57"/>
      <c r="L244" s="57"/>
      <c r="M244" s="57"/>
      <c r="N244" s="57"/>
      <c r="O244" s="57"/>
      <c r="P244" s="57"/>
      <c r="Q244" s="85"/>
      <c r="R244" s="57"/>
      <c r="S244" s="57"/>
      <c r="T244" s="57"/>
      <c r="U244" s="57"/>
      <c r="V244" s="57"/>
    </row>
    <row r="245" spans="1:22" s="11" customFormat="1" x14ac:dyDescent="0.2">
      <c r="A245" s="46" t="s">
        <v>105</v>
      </c>
      <c r="B245" s="24" t="s">
        <v>16</v>
      </c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5"/>
    </row>
    <row r="246" spans="1:22" s="11" customFormat="1" x14ac:dyDescent="0.2">
      <c r="A246" s="47" t="s">
        <v>30</v>
      </c>
      <c r="B246" s="82" t="s">
        <v>165</v>
      </c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</row>
    <row r="247" spans="1:22" s="11" customFormat="1" ht="99.95" customHeight="1" x14ac:dyDescent="0.2">
      <c r="A247" s="47"/>
      <c r="B247" s="60" t="s">
        <v>116</v>
      </c>
      <c r="C247" s="61" t="s">
        <v>116</v>
      </c>
      <c r="D247" s="61"/>
      <c r="E247" s="61"/>
      <c r="F247" s="61"/>
      <c r="G247" s="61"/>
      <c r="H247" s="61"/>
      <c r="I247" s="62"/>
      <c r="J247" s="57" t="s">
        <v>117</v>
      </c>
      <c r="K247" s="57"/>
      <c r="L247" s="57" t="s">
        <v>62</v>
      </c>
      <c r="M247" s="57" t="s">
        <v>488</v>
      </c>
      <c r="N247" s="57" t="s">
        <v>120</v>
      </c>
      <c r="O247" s="57" t="s">
        <v>167</v>
      </c>
      <c r="P247" s="57" t="s">
        <v>167</v>
      </c>
      <c r="Q247" s="85" t="s">
        <v>489</v>
      </c>
      <c r="R247" s="57" t="s">
        <v>9</v>
      </c>
      <c r="S247" s="57" t="s">
        <v>10</v>
      </c>
      <c r="T247" s="57" t="s">
        <v>7</v>
      </c>
      <c r="U247" s="57"/>
      <c r="V247" s="57" t="s">
        <v>452</v>
      </c>
    </row>
    <row r="248" spans="1:22" s="11" customFormat="1" x14ac:dyDescent="0.2">
      <c r="A248" s="47"/>
      <c r="B248" s="59" t="s">
        <v>5</v>
      </c>
      <c r="C248" s="59" t="s">
        <v>5</v>
      </c>
      <c r="D248" s="9">
        <f>SUM(D249:D252)</f>
        <v>51583.202000000005</v>
      </c>
      <c r="E248" s="10">
        <f t="shared" ref="E248" si="28">SUM(E249:E252)</f>
        <v>51583.202000000005</v>
      </c>
      <c r="F248" s="10"/>
      <c r="G248" s="10"/>
      <c r="H248" s="10"/>
      <c r="I248" s="10"/>
      <c r="J248" s="57"/>
      <c r="K248" s="57"/>
      <c r="L248" s="57"/>
      <c r="M248" s="57"/>
      <c r="N248" s="57"/>
      <c r="O248" s="57"/>
      <c r="P248" s="57"/>
      <c r="Q248" s="85"/>
      <c r="R248" s="57"/>
      <c r="S248" s="57"/>
      <c r="T248" s="57"/>
      <c r="U248" s="57"/>
      <c r="V248" s="57"/>
    </row>
    <row r="249" spans="1:22" s="11" customFormat="1" x14ac:dyDescent="0.2">
      <c r="A249" s="47"/>
      <c r="B249" s="59" t="s">
        <v>0</v>
      </c>
      <c r="C249" s="59" t="s">
        <v>0</v>
      </c>
      <c r="D249" s="9">
        <f>E249+F249+G249+H249+I249</f>
        <v>0</v>
      </c>
      <c r="E249" s="10"/>
      <c r="F249" s="10"/>
      <c r="G249" s="10"/>
      <c r="H249" s="10"/>
      <c r="I249" s="10"/>
      <c r="J249" s="57"/>
      <c r="K249" s="57"/>
      <c r="L249" s="57"/>
      <c r="M249" s="57"/>
      <c r="N249" s="57"/>
      <c r="O249" s="57"/>
      <c r="P249" s="57"/>
      <c r="Q249" s="85"/>
      <c r="R249" s="57"/>
      <c r="S249" s="57"/>
      <c r="T249" s="57"/>
      <c r="U249" s="57"/>
      <c r="V249" s="57"/>
    </row>
    <row r="250" spans="1:22" s="11" customFormat="1" x14ac:dyDescent="0.2">
      <c r="A250" s="47"/>
      <c r="B250" s="59" t="s">
        <v>1</v>
      </c>
      <c r="C250" s="59" t="s">
        <v>1</v>
      </c>
      <c r="D250" s="9">
        <f>E250+F250+G250+H250+I250</f>
        <v>51067.37</v>
      </c>
      <c r="E250" s="13">
        <v>51067.37</v>
      </c>
      <c r="F250" s="10"/>
      <c r="G250" s="10"/>
      <c r="H250" s="10"/>
      <c r="I250" s="10"/>
      <c r="J250" s="57"/>
      <c r="K250" s="57"/>
      <c r="L250" s="57"/>
      <c r="M250" s="57"/>
      <c r="N250" s="57"/>
      <c r="O250" s="57"/>
      <c r="P250" s="57"/>
      <c r="Q250" s="85"/>
      <c r="R250" s="57"/>
      <c r="S250" s="57"/>
      <c r="T250" s="57"/>
      <c r="U250" s="57"/>
      <c r="V250" s="57"/>
    </row>
    <row r="251" spans="1:22" s="11" customFormat="1" x14ac:dyDescent="0.2">
      <c r="A251" s="47"/>
      <c r="B251" s="59" t="s">
        <v>2</v>
      </c>
      <c r="C251" s="59" t="s">
        <v>2</v>
      </c>
      <c r="D251" s="9">
        <f>E251+F251+G251+H251+I251</f>
        <v>515.83199999999999</v>
      </c>
      <c r="E251" s="10">
        <v>515.83199999999999</v>
      </c>
      <c r="F251" s="10"/>
      <c r="G251" s="10"/>
      <c r="H251" s="10"/>
      <c r="I251" s="10"/>
      <c r="J251" s="57"/>
      <c r="K251" s="57"/>
      <c r="L251" s="57"/>
      <c r="M251" s="57"/>
      <c r="N251" s="57"/>
      <c r="O251" s="57"/>
      <c r="P251" s="57"/>
      <c r="Q251" s="85"/>
      <c r="R251" s="57"/>
      <c r="S251" s="57"/>
      <c r="T251" s="57"/>
      <c r="U251" s="57"/>
      <c r="V251" s="57"/>
    </row>
    <row r="252" spans="1:22" s="11" customFormat="1" ht="21" customHeight="1" x14ac:dyDescent="0.2">
      <c r="A252" s="48"/>
      <c r="B252" s="59" t="s">
        <v>3</v>
      </c>
      <c r="C252" s="59" t="s">
        <v>3</v>
      </c>
      <c r="D252" s="9">
        <f>E252+F252+G252+H252+I252</f>
        <v>0</v>
      </c>
      <c r="E252" s="10"/>
      <c r="F252" s="10"/>
      <c r="G252" s="10"/>
      <c r="H252" s="10"/>
      <c r="I252" s="10"/>
      <c r="J252" s="57"/>
      <c r="K252" s="57"/>
      <c r="L252" s="57"/>
      <c r="M252" s="57"/>
      <c r="N252" s="57"/>
      <c r="O252" s="57"/>
      <c r="P252" s="57"/>
      <c r="Q252" s="85"/>
      <c r="R252" s="57"/>
      <c r="S252" s="57"/>
      <c r="T252" s="57"/>
      <c r="U252" s="57"/>
      <c r="V252" s="57"/>
    </row>
    <row r="253" spans="1:22" s="11" customFormat="1" x14ac:dyDescent="0.2">
      <c r="A253" s="46" t="s">
        <v>199</v>
      </c>
      <c r="B253" s="24" t="s">
        <v>16</v>
      </c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5"/>
    </row>
    <row r="254" spans="1:22" s="11" customFormat="1" x14ac:dyDescent="0.2">
      <c r="A254" s="47" t="s">
        <v>30</v>
      </c>
      <c r="B254" s="82" t="s">
        <v>165</v>
      </c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</row>
    <row r="255" spans="1:22" s="11" customFormat="1" ht="53.25" customHeight="1" x14ac:dyDescent="0.2">
      <c r="A255" s="47"/>
      <c r="B255" s="60" t="s">
        <v>168</v>
      </c>
      <c r="C255" s="61" t="s">
        <v>168</v>
      </c>
      <c r="D255" s="61"/>
      <c r="E255" s="61"/>
      <c r="F255" s="61"/>
      <c r="G255" s="61"/>
      <c r="H255" s="61"/>
      <c r="I255" s="62"/>
      <c r="J255" s="57" t="s">
        <v>117</v>
      </c>
      <c r="K255" s="57"/>
      <c r="L255" s="57" t="s">
        <v>60</v>
      </c>
      <c r="M255" s="57"/>
      <c r="N255" s="57" t="s">
        <v>82</v>
      </c>
      <c r="O255" s="57" t="s">
        <v>68</v>
      </c>
      <c r="P255" s="57" t="s">
        <v>82</v>
      </c>
      <c r="Q255" s="85" t="s">
        <v>490</v>
      </c>
      <c r="R255" s="57" t="s">
        <v>11</v>
      </c>
      <c r="S255" s="57" t="s">
        <v>169</v>
      </c>
      <c r="T255" s="57" t="s">
        <v>17</v>
      </c>
      <c r="U255" s="57"/>
      <c r="V255" s="57" t="s">
        <v>453</v>
      </c>
    </row>
    <row r="256" spans="1:22" s="11" customFormat="1" x14ac:dyDescent="0.2">
      <c r="A256" s="47"/>
      <c r="B256" s="59" t="s">
        <v>5</v>
      </c>
      <c r="C256" s="59" t="s">
        <v>5</v>
      </c>
      <c r="D256" s="9">
        <f>SUM(D257:D260)</f>
        <v>167242.35999999999</v>
      </c>
      <c r="E256" s="10">
        <f t="shared" ref="E256" si="29">SUM(E257:E260)</f>
        <v>83701.36</v>
      </c>
      <c r="F256" s="10">
        <f t="shared" ref="F256" si="30">SUM(F257:F260)</f>
        <v>83541</v>
      </c>
      <c r="G256" s="10"/>
      <c r="H256" s="10"/>
      <c r="I256" s="10"/>
      <c r="J256" s="57"/>
      <c r="K256" s="57"/>
      <c r="L256" s="57"/>
      <c r="M256" s="57"/>
      <c r="N256" s="57"/>
      <c r="O256" s="57"/>
      <c r="P256" s="57"/>
      <c r="Q256" s="85"/>
      <c r="R256" s="57"/>
      <c r="S256" s="57"/>
      <c r="T256" s="57"/>
      <c r="U256" s="57"/>
      <c r="V256" s="57"/>
    </row>
    <row r="257" spans="1:22" s="11" customFormat="1" x14ac:dyDescent="0.2">
      <c r="A257" s="47"/>
      <c r="B257" s="59" t="s">
        <v>0</v>
      </c>
      <c r="C257" s="59" t="s">
        <v>0</v>
      </c>
      <c r="D257" s="9">
        <f>E257+F257+G257+H257+I257</f>
        <v>0</v>
      </c>
      <c r="E257" s="10"/>
      <c r="F257" s="10"/>
      <c r="G257" s="10"/>
      <c r="H257" s="10"/>
      <c r="I257" s="10"/>
      <c r="J257" s="57"/>
      <c r="K257" s="57"/>
      <c r="L257" s="57"/>
      <c r="M257" s="57"/>
      <c r="N257" s="57"/>
      <c r="O257" s="57"/>
      <c r="P257" s="57"/>
      <c r="Q257" s="85"/>
      <c r="R257" s="57"/>
      <c r="S257" s="57"/>
      <c r="T257" s="57"/>
      <c r="U257" s="57"/>
      <c r="V257" s="57"/>
    </row>
    <row r="258" spans="1:22" s="11" customFormat="1" x14ac:dyDescent="0.2">
      <c r="A258" s="47"/>
      <c r="B258" s="59" t="s">
        <v>1</v>
      </c>
      <c r="C258" s="59" t="s">
        <v>1</v>
      </c>
      <c r="D258" s="9">
        <f>E258+F258+G258+H258+I258</f>
        <v>167242.35999999999</v>
      </c>
      <c r="E258" s="13">
        <v>83701.36</v>
      </c>
      <c r="F258" s="10">
        <v>83541</v>
      </c>
      <c r="G258" s="10"/>
      <c r="H258" s="10"/>
      <c r="I258" s="10"/>
      <c r="J258" s="57"/>
      <c r="K258" s="57"/>
      <c r="L258" s="57"/>
      <c r="M258" s="57"/>
      <c r="N258" s="57"/>
      <c r="O258" s="57"/>
      <c r="P258" s="57"/>
      <c r="Q258" s="85"/>
      <c r="R258" s="57"/>
      <c r="S258" s="57"/>
      <c r="T258" s="57"/>
      <c r="U258" s="57"/>
      <c r="V258" s="57"/>
    </row>
    <row r="259" spans="1:22" s="11" customFormat="1" x14ac:dyDescent="0.2">
      <c r="A259" s="47"/>
      <c r="B259" s="59" t="s">
        <v>2</v>
      </c>
      <c r="C259" s="59" t="s">
        <v>2</v>
      </c>
      <c r="D259" s="9">
        <f>E259+F259+G259+H259+I259</f>
        <v>0</v>
      </c>
      <c r="E259" s="10"/>
      <c r="F259" s="10"/>
      <c r="G259" s="10"/>
      <c r="H259" s="10"/>
      <c r="I259" s="10"/>
      <c r="J259" s="57"/>
      <c r="K259" s="57"/>
      <c r="L259" s="57"/>
      <c r="M259" s="57"/>
      <c r="N259" s="57"/>
      <c r="O259" s="57"/>
      <c r="P259" s="57"/>
      <c r="Q259" s="85"/>
      <c r="R259" s="57"/>
      <c r="S259" s="57"/>
      <c r="T259" s="57"/>
      <c r="U259" s="57"/>
      <c r="V259" s="57"/>
    </row>
    <row r="260" spans="1:22" s="11" customFormat="1" ht="21" customHeight="1" x14ac:dyDescent="0.2">
      <c r="A260" s="48"/>
      <c r="B260" s="59" t="s">
        <v>3</v>
      </c>
      <c r="C260" s="59" t="s">
        <v>3</v>
      </c>
      <c r="D260" s="9">
        <f>E260+F260+G260+H260+I260</f>
        <v>0</v>
      </c>
      <c r="E260" s="10"/>
      <c r="F260" s="10"/>
      <c r="G260" s="10"/>
      <c r="H260" s="10"/>
      <c r="I260" s="10"/>
      <c r="J260" s="57"/>
      <c r="K260" s="57"/>
      <c r="L260" s="57"/>
      <c r="M260" s="57"/>
      <c r="N260" s="57"/>
      <c r="O260" s="57"/>
      <c r="P260" s="57"/>
      <c r="Q260" s="85"/>
      <c r="R260" s="57"/>
      <c r="S260" s="57"/>
      <c r="T260" s="57"/>
      <c r="U260" s="57"/>
      <c r="V260" s="57"/>
    </row>
    <row r="261" spans="1:22" s="11" customFormat="1" x14ac:dyDescent="0.2">
      <c r="A261" s="31" t="s">
        <v>39</v>
      </c>
      <c r="B261" s="75" t="s">
        <v>90</v>
      </c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</row>
    <row r="262" spans="1:22" s="11" customFormat="1" ht="15" customHeight="1" x14ac:dyDescent="0.2">
      <c r="A262" s="32"/>
      <c r="B262" s="76" t="s">
        <v>5</v>
      </c>
      <c r="C262" s="76"/>
      <c r="D262" s="14">
        <f>SUM(D263:D267)</f>
        <v>302257.88868999999</v>
      </c>
      <c r="E262" s="14">
        <f>SUM(E263:E267)</f>
        <v>302257.88868999999</v>
      </c>
      <c r="F262" s="14">
        <f t="shared" ref="F262:I262" si="31">SUM(F263:F267)</f>
        <v>0</v>
      </c>
      <c r="G262" s="14">
        <f t="shared" si="31"/>
        <v>0</v>
      </c>
      <c r="H262" s="14">
        <f t="shared" si="31"/>
        <v>0</v>
      </c>
      <c r="I262" s="14">
        <f t="shared" si="31"/>
        <v>0</v>
      </c>
      <c r="J262" s="34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6"/>
    </row>
    <row r="263" spans="1:22" s="11" customFormat="1" ht="15" customHeight="1" x14ac:dyDescent="0.2">
      <c r="A263" s="32"/>
      <c r="B263" s="76" t="s">
        <v>0</v>
      </c>
      <c r="C263" s="76"/>
      <c r="D263" s="14">
        <f>E263+F263+G263+H263+I263</f>
        <v>0</v>
      </c>
      <c r="E263" s="14">
        <f t="shared" ref="E263:I263" si="32">E272</f>
        <v>0</v>
      </c>
      <c r="F263" s="14">
        <f t="shared" si="32"/>
        <v>0</v>
      </c>
      <c r="G263" s="14">
        <f t="shared" si="32"/>
        <v>0</v>
      </c>
      <c r="H263" s="14">
        <f t="shared" si="32"/>
        <v>0</v>
      </c>
      <c r="I263" s="14">
        <f t="shared" si="32"/>
        <v>0</v>
      </c>
      <c r="J263" s="37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9"/>
    </row>
    <row r="264" spans="1:22" s="11" customFormat="1" ht="15" customHeight="1" x14ac:dyDescent="0.2">
      <c r="A264" s="32"/>
      <c r="B264" s="76" t="s">
        <v>1</v>
      </c>
      <c r="C264" s="76"/>
      <c r="D264" s="14">
        <f>E264+F264+G264+H264+I264</f>
        <v>183929.88868999999</v>
      </c>
      <c r="E264" s="14">
        <f>E273</f>
        <v>183929.88868999999</v>
      </c>
      <c r="F264" s="14">
        <f t="shared" ref="F264:I264" si="33">F273</f>
        <v>0</v>
      </c>
      <c r="G264" s="14">
        <f t="shared" si="33"/>
        <v>0</v>
      </c>
      <c r="H264" s="14">
        <f t="shared" si="33"/>
        <v>0</v>
      </c>
      <c r="I264" s="14">
        <f t="shared" si="33"/>
        <v>0</v>
      </c>
      <c r="J264" s="37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9"/>
    </row>
    <row r="265" spans="1:22" s="11" customFormat="1" ht="15" customHeight="1" x14ac:dyDescent="0.2">
      <c r="A265" s="32"/>
      <c r="B265" s="76" t="s">
        <v>2</v>
      </c>
      <c r="C265" s="76"/>
      <c r="D265" s="14">
        <f>E265+F265+G265+H265+I265</f>
        <v>0</v>
      </c>
      <c r="E265" s="14">
        <f t="shared" ref="E265:I265" si="34">E274</f>
        <v>0</v>
      </c>
      <c r="F265" s="14">
        <f t="shared" si="34"/>
        <v>0</v>
      </c>
      <c r="G265" s="14">
        <f t="shared" si="34"/>
        <v>0</v>
      </c>
      <c r="H265" s="14">
        <f t="shared" si="34"/>
        <v>0</v>
      </c>
      <c r="I265" s="14">
        <f t="shared" si="34"/>
        <v>0</v>
      </c>
      <c r="J265" s="37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9"/>
    </row>
    <row r="266" spans="1:22" s="11" customFormat="1" ht="21" customHeight="1" x14ac:dyDescent="0.2">
      <c r="A266" s="32"/>
      <c r="B266" s="76" t="s">
        <v>3</v>
      </c>
      <c r="C266" s="76"/>
      <c r="D266" s="14">
        <f>E266+F266+G266+H266+I266</f>
        <v>0</v>
      </c>
      <c r="E266" s="14">
        <f t="shared" ref="E266:I267" si="35">E275</f>
        <v>0</v>
      </c>
      <c r="F266" s="14">
        <f t="shared" si="35"/>
        <v>0</v>
      </c>
      <c r="G266" s="14">
        <f t="shared" si="35"/>
        <v>0</v>
      </c>
      <c r="H266" s="14">
        <f t="shared" si="35"/>
        <v>0</v>
      </c>
      <c r="I266" s="14">
        <f t="shared" si="35"/>
        <v>0</v>
      </c>
      <c r="J266" s="40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2"/>
    </row>
    <row r="267" spans="1:22" s="11" customFormat="1" ht="27.75" customHeight="1" x14ac:dyDescent="0.2">
      <c r="A267" s="33"/>
      <c r="B267" s="76" t="s">
        <v>725</v>
      </c>
      <c r="C267" s="76"/>
      <c r="D267" s="14">
        <f>E267+F267+G267+H267+I267</f>
        <v>118328</v>
      </c>
      <c r="E267" s="14">
        <f t="shared" si="35"/>
        <v>118328</v>
      </c>
      <c r="F267" s="14">
        <f t="shared" si="35"/>
        <v>0</v>
      </c>
      <c r="G267" s="14">
        <f t="shared" si="35"/>
        <v>0</v>
      </c>
      <c r="H267" s="14">
        <f t="shared" si="35"/>
        <v>0</v>
      </c>
      <c r="I267" s="14">
        <f t="shared" si="35"/>
        <v>0</v>
      </c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20"/>
    </row>
    <row r="268" spans="1:22" s="11" customFormat="1" x14ac:dyDescent="0.2">
      <c r="A268" s="46" t="s">
        <v>40</v>
      </c>
      <c r="B268" s="24" t="s">
        <v>16</v>
      </c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5"/>
    </row>
    <row r="269" spans="1:22" s="11" customFormat="1" ht="15" customHeight="1" x14ac:dyDescent="0.2">
      <c r="A269" s="47"/>
      <c r="B269" s="82" t="s">
        <v>170</v>
      </c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</row>
    <row r="270" spans="1:22" s="11" customFormat="1" ht="66" customHeight="1" x14ac:dyDescent="0.2">
      <c r="A270" s="47"/>
      <c r="B270" s="60" t="s">
        <v>172</v>
      </c>
      <c r="C270" s="61" t="s">
        <v>172</v>
      </c>
      <c r="D270" s="61"/>
      <c r="E270" s="61"/>
      <c r="F270" s="61"/>
      <c r="G270" s="61"/>
      <c r="H270" s="61"/>
      <c r="I270" s="62"/>
      <c r="J270" s="57" t="s">
        <v>66</v>
      </c>
      <c r="K270" s="57"/>
      <c r="L270" s="57" t="s">
        <v>60</v>
      </c>
      <c r="M270" s="57" t="s">
        <v>173</v>
      </c>
      <c r="N270" s="57" t="s">
        <v>82</v>
      </c>
      <c r="O270" s="57" t="s">
        <v>25</v>
      </c>
      <c r="P270" s="57" t="s">
        <v>82</v>
      </c>
      <c r="Q270" s="85" t="s">
        <v>389</v>
      </c>
      <c r="R270" s="57" t="s">
        <v>11</v>
      </c>
      <c r="S270" s="57" t="s">
        <v>12</v>
      </c>
      <c r="T270" s="57" t="s">
        <v>7</v>
      </c>
      <c r="U270" s="57"/>
      <c r="V270" s="57" t="s">
        <v>454</v>
      </c>
    </row>
    <row r="271" spans="1:22" s="11" customFormat="1" ht="15" customHeight="1" x14ac:dyDescent="0.2">
      <c r="A271" s="47"/>
      <c r="B271" s="59" t="s">
        <v>5</v>
      </c>
      <c r="C271" s="59" t="s">
        <v>5</v>
      </c>
      <c r="D271" s="9">
        <f>SUM(D272:D276)</f>
        <v>302257.88868999999</v>
      </c>
      <c r="E271" s="10">
        <f>SUM(E272:E276)</f>
        <v>302257.88868999999</v>
      </c>
      <c r="F271" s="10"/>
      <c r="G271" s="10"/>
      <c r="H271" s="10"/>
      <c r="I271" s="10"/>
      <c r="J271" s="57"/>
      <c r="K271" s="57"/>
      <c r="L271" s="57"/>
      <c r="M271" s="57"/>
      <c r="N271" s="57"/>
      <c r="O271" s="57"/>
      <c r="P271" s="57"/>
      <c r="Q271" s="85"/>
      <c r="R271" s="57"/>
      <c r="S271" s="57"/>
      <c r="T271" s="57"/>
      <c r="U271" s="57"/>
      <c r="V271" s="57"/>
    </row>
    <row r="272" spans="1:22" s="11" customFormat="1" ht="15" customHeight="1" x14ac:dyDescent="0.2">
      <c r="A272" s="47"/>
      <c r="B272" s="59" t="s">
        <v>0</v>
      </c>
      <c r="C272" s="59" t="s">
        <v>0</v>
      </c>
      <c r="D272" s="9">
        <f>E272+F272+G272+H272+I272</f>
        <v>0</v>
      </c>
      <c r="E272" s="10"/>
      <c r="F272" s="10"/>
      <c r="G272" s="10"/>
      <c r="H272" s="10"/>
      <c r="I272" s="10"/>
      <c r="J272" s="57"/>
      <c r="K272" s="57"/>
      <c r="L272" s="57"/>
      <c r="M272" s="57"/>
      <c r="N272" s="57"/>
      <c r="O272" s="57"/>
      <c r="P272" s="57"/>
      <c r="Q272" s="85"/>
      <c r="R272" s="57"/>
      <c r="S272" s="57"/>
      <c r="T272" s="57"/>
      <c r="U272" s="57"/>
      <c r="V272" s="57"/>
    </row>
    <row r="273" spans="1:22" s="11" customFormat="1" ht="15" customHeight="1" x14ac:dyDescent="0.2">
      <c r="A273" s="47"/>
      <c r="B273" s="30" t="s">
        <v>1</v>
      </c>
      <c r="C273" s="30" t="s">
        <v>1</v>
      </c>
      <c r="D273" s="9">
        <f>E273+F273+G273+H273+I273</f>
        <v>183929.88868999999</v>
      </c>
      <c r="E273" s="13">
        <f>123458+207471.88869-14500-132500</f>
        <v>183929.88868999999</v>
      </c>
      <c r="F273" s="10"/>
      <c r="G273" s="10"/>
      <c r="H273" s="10"/>
      <c r="I273" s="10"/>
      <c r="J273" s="57"/>
      <c r="K273" s="57"/>
      <c r="L273" s="57"/>
      <c r="M273" s="57"/>
      <c r="N273" s="57"/>
      <c r="O273" s="57"/>
      <c r="P273" s="57"/>
      <c r="Q273" s="85"/>
      <c r="R273" s="57"/>
      <c r="S273" s="57"/>
      <c r="T273" s="57"/>
      <c r="U273" s="57"/>
      <c r="V273" s="57"/>
    </row>
    <row r="274" spans="1:22" s="11" customFormat="1" ht="15" customHeight="1" x14ac:dyDescent="0.2">
      <c r="A274" s="47"/>
      <c r="B274" s="59" t="s">
        <v>2</v>
      </c>
      <c r="C274" s="59" t="s">
        <v>2</v>
      </c>
      <c r="D274" s="9">
        <f>E274+F274+G274+H274+I274</f>
        <v>0</v>
      </c>
      <c r="E274" s="13"/>
      <c r="F274" s="10"/>
      <c r="G274" s="10"/>
      <c r="H274" s="10"/>
      <c r="I274" s="10"/>
      <c r="J274" s="57"/>
      <c r="K274" s="57"/>
      <c r="L274" s="57"/>
      <c r="M274" s="57"/>
      <c r="N274" s="57"/>
      <c r="O274" s="57"/>
      <c r="P274" s="57"/>
      <c r="Q274" s="85"/>
      <c r="R274" s="57"/>
      <c r="S274" s="57"/>
      <c r="T274" s="57"/>
      <c r="U274" s="57"/>
      <c r="V274" s="57"/>
    </row>
    <row r="275" spans="1:22" s="11" customFormat="1" ht="17.25" customHeight="1" x14ac:dyDescent="0.2">
      <c r="A275" s="47"/>
      <c r="B275" s="59" t="s">
        <v>3</v>
      </c>
      <c r="C275" s="59" t="s">
        <v>3</v>
      </c>
      <c r="D275" s="9">
        <f>E275+F275+G275+H275+I275</f>
        <v>0</v>
      </c>
      <c r="E275" s="13"/>
      <c r="F275" s="10"/>
      <c r="G275" s="10"/>
      <c r="H275" s="10"/>
      <c r="I275" s="10"/>
      <c r="J275" s="57"/>
      <c r="K275" s="57"/>
      <c r="L275" s="57"/>
      <c r="M275" s="57"/>
      <c r="N275" s="57"/>
      <c r="O275" s="57"/>
      <c r="P275" s="57"/>
      <c r="Q275" s="85"/>
      <c r="R275" s="57"/>
      <c r="S275" s="57"/>
      <c r="T275" s="57"/>
      <c r="U275" s="57"/>
      <c r="V275" s="57"/>
    </row>
    <row r="276" spans="1:22" s="11" customFormat="1" ht="27.75" customHeight="1" x14ac:dyDescent="0.2">
      <c r="A276" s="48"/>
      <c r="B276" s="95" t="s">
        <v>725</v>
      </c>
      <c r="C276" s="96"/>
      <c r="D276" s="12">
        <f>E276+F276+G276+H276+I276</f>
        <v>118328</v>
      </c>
      <c r="E276" s="13">
        <v>118328</v>
      </c>
      <c r="F276" s="10"/>
      <c r="G276" s="10"/>
      <c r="H276" s="10"/>
      <c r="I276" s="10"/>
      <c r="J276" s="21"/>
      <c r="K276" s="21"/>
      <c r="L276" s="21"/>
      <c r="M276" s="21"/>
      <c r="N276" s="21"/>
      <c r="O276" s="21"/>
      <c r="P276" s="21"/>
      <c r="Q276" s="22"/>
      <c r="R276" s="21"/>
      <c r="S276" s="21"/>
      <c r="T276" s="21"/>
      <c r="U276" s="21"/>
      <c r="V276" s="21"/>
    </row>
    <row r="277" spans="1:22" s="11" customFormat="1" x14ac:dyDescent="0.2">
      <c r="A277" s="31" t="s">
        <v>41</v>
      </c>
      <c r="B277" s="75" t="s">
        <v>93</v>
      </c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</row>
    <row r="278" spans="1:22" s="11" customFormat="1" x14ac:dyDescent="0.2">
      <c r="A278" s="32"/>
      <c r="B278" s="76" t="s">
        <v>5</v>
      </c>
      <c r="C278" s="76"/>
      <c r="D278" s="14">
        <f>SUM(D279:D282)</f>
        <v>1440307.60176</v>
      </c>
      <c r="E278" s="14">
        <f>SUM(E279:E282)</f>
        <v>541247.98968</v>
      </c>
      <c r="F278" s="14">
        <f t="shared" ref="F278:I278" si="36">SUM(F279:F282)</f>
        <v>694433.61207999999</v>
      </c>
      <c r="G278" s="14">
        <f t="shared" si="36"/>
        <v>204626</v>
      </c>
      <c r="H278" s="14">
        <f t="shared" si="36"/>
        <v>0</v>
      </c>
      <c r="I278" s="14">
        <f t="shared" si="36"/>
        <v>0</v>
      </c>
      <c r="J278" s="34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6"/>
    </row>
    <row r="279" spans="1:22" s="11" customFormat="1" x14ac:dyDescent="0.2">
      <c r="A279" s="32"/>
      <c r="B279" s="76" t="s">
        <v>0</v>
      </c>
      <c r="C279" s="76"/>
      <c r="D279" s="14">
        <f>E279+F279+G279+H279+I279</f>
        <v>906422</v>
      </c>
      <c r="E279" s="14">
        <f>E287+E295+E303+E311+E319+E327</f>
        <v>380000</v>
      </c>
      <c r="F279" s="14">
        <f t="shared" ref="F279:I279" si="37">F287+F295+F303+F311+F319+F327</f>
        <v>332500</v>
      </c>
      <c r="G279" s="14">
        <f t="shared" si="37"/>
        <v>193922</v>
      </c>
      <c r="H279" s="14">
        <f t="shared" si="37"/>
        <v>0</v>
      </c>
      <c r="I279" s="14">
        <f t="shared" si="37"/>
        <v>0</v>
      </c>
      <c r="J279" s="37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9"/>
    </row>
    <row r="280" spans="1:22" s="11" customFormat="1" x14ac:dyDescent="0.2">
      <c r="A280" s="32"/>
      <c r="B280" s="76" t="s">
        <v>1</v>
      </c>
      <c r="C280" s="76"/>
      <c r="D280" s="14">
        <f>E280+F280+G280+H280+I280</f>
        <v>533885.60175999999</v>
      </c>
      <c r="E280" s="14">
        <f t="shared" ref="E280:I282" si="38">E288+E296+E304+E312+E320+E328</f>
        <v>161247.98968</v>
      </c>
      <c r="F280" s="14">
        <f t="shared" si="38"/>
        <v>361933.61207999999</v>
      </c>
      <c r="G280" s="14">
        <f t="shared" si="38"/>
        <v>10704</v>
      </c>
      <c r="H280" s="14">
        <f t="shared" si="38"/>
        <v>0</v>
      </c>
      <c r="I280" s="14">
        <f t="shared" si="38"/>
        <v>0</v>
      </c>
      <c r="J280" s="37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9"/>
    </row>
    <row r="281" spans="1:22" s="11" customFormat="1" x14ac:dyDescent="0.2">
      <c r="A281" s="32"/>
      <c r="B281" s="76" t="s">
        <v>2</v>
      </c>
      <c r="C281" s="76"/>
      <c r="D281" s="14">
        <f>E281+F281+G281+H281+I281</f>
        <v>0</v>
      </c>
      <c r="E281" s="14">
        <f t="shared" si="38"/>
        <v>0</v>
      </c>
      <c r="F281" s="14">
        <f t="shared" si="38"/>
        <v>0</v>
      </c>
      <c r="G281" s="14">
        <f t="shared" si="38"/>
        <v>0</v>
      </c>
      <c r="H281" s="14">
        <f t="shared" si="38"/>
        <v>0</v>
      </c>
      <c r="I281" s="14">
        <f t="shared" si="38"/>
        <v>0</v>
      </c>
      <c r="J281" s="37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9"/>
    </row>
    <row r="282" spans="1:22" s="11" customFormat="1" ht="21" customHeight="1" x14ac:dyDescent="0.2">
      <c r="A282" s="33"/>
      <c r="B282" s="76" t="s">
        <v>3</v>
      </c>
      <c r="C282" s="76"/>
      <c r="D282" s="14">
        <f>E282+F282+G282+H282+I282</f>
        <v>0</v>
      </c>
      <c r="E282" s="14">
        <f t="shared" si="38"/>
        <v>0</v>
      </c>
      <c r="F282" s="14">
        <f t="shared" si="38"/>
        <v>0</v>
      </c>
      <c r="G282" s="14">
        <f t="shared" si="38"/>
        <v>0</v>
      </c>
      <c r="H282" s="14">
        <f t="shared" si="38"/>
        <v>0</v>
      </c>
      <c r="I282" s="14">
        <f t="shared" si="38"/>
        <v>0</v>
      </c>
      <c r="J282" s="40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2"/>
    </row>
    <row r="283" spans="1:22" s="11" customFormat="1" x14ac:dyDescent="0.2">
      <c r="A283" s="46" t="s">
        <v>42</v>
      </c>
      <c r="B283" s="24" t="s">
        <v>16</v>
      </c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5"/>
    </row>
    <row r="284" spans="1:22" s="11" customFormat="1" x14ac:dyDescent="0.2">
      <c r="A284" s="47" t="s">
        <v>30</v>
      </c>
      <c r="B284" s="82" t="s">
        <v>174</v>
      </c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</row>
    <row r="285" spans="1:22" s="11" customFormat="1" ht="75" customHeight="1" x14ac:dyDescent="0.2">
      <c r="A285" s="47"/>
      <c r="B285" s="60" t="s">
        <v>175</v>
      </c>
      <c r="C285" s="61" t="s">
        <v>175</v>
      </c>
      <c r="D285" s="61"/>
      <c r="E285" s="61"/>
      <c r="F285" s="61"/>
      <c r="G285" s="61"/>
      <c r="H285" s="61"/>
      <c r="I285" s="62"/>
      <c r="J285" s="57" t="s">
        <v>176</v>
      </c>
      <c r="K285" s="57"/>
      <c r="L285" s="57" t="s">
        <v>60</v>
      </c>
      <c r="M285" s="57" t="s">
        <v>589</v>
      </c>
      <c r="N285" s="57" t="s">
        <v>82</v>
      </c>
      <c r="O285" s="57" t="s">
        <v>133</v>
      </c>
      <c r="P285" s="57" t="s">
        <v>82</v>
      </c>
      <c r="Q285" s="85" t="s">
        <v>177</v>
      </c>
      <c r="R285" s="57" t="s">
        <v>11</v>
      </c>
      <c r="S285" s="57" t="s">
        <v>10</v>
      </c>
      <c r="T285" s="57" t="s">
        <v>7</v>
      </c>
      <c r="U285" s="57"/>
      <c r="V285" s="57" t="s">
        <v>455</v>
      </c>
    </row>
    <row r="286" spans="1:22" s="11" customFormat="1" x14ac:dyDescent="0.2">
      <c r="A286" s="47"/>
      <c r="B286" s="59" t="s">
        <v>5</v>
      </c>
      <c r="C286" s="59" t="s">
        <v>5</v>
      </c>
      <c r="D286" s="9">
        <f>SUM(D287:D290)</f>
        <v>327800</v>
      </c>
      <c r="E286" s="10">
        <f t="shared" ref="E286" si="39">SUM(E287:E290)</f>
        <v>225400</v>
      </c>
      <c r="F286" s="10">
        <f t="shared" ref="F286" si="40">SUM(F287:F290)</f>
        <v>102400</v>
      </c>
      <c r="G286" s="10"/>
      <c r="H286" s="10"/>
      <c r="I286" s="10"/>
      <c r="J286" s="57"/>
      <c r="K286" s="57"/>
      <c r="L286" s="57"/>
      <c r="M286" s="57"/>
      <c r="N286" s="57"/>
      <c r="O286" s="57"/>
      <c r="P286" s="57"/>
      <c r="Q286" s="85"/>
      <c r="R286" s="57"/>
      <c r="S286" s="57"/>
      <c r="T286" s="57"/>
      <c r="U286" s="57"/>
      <c r="V286" s="57"/>
    </row>
    <row r="287" spans="1:22" s="11" customFormat="1" x14ac:dyDescent="0.2">
      <c r="A287" s="47"/>
      <c r="B287" s="59" t="s">
        <v>0</v>
      </c>
      <c r="C287" s="59" t="s">
        <v>0</v>
      </c>
      <c r="D287" s="9">
        <f>E287+F287+G287+H287+I287</f>
        <v>190000</v>
      </c>
      <c r="E287" s="13">
        <v>190000</v>
      </c>
      <c r="F287" s="10"/>
      <c r="G287" s="10"/>
      <c r="H287" s="10"/>
      <c r="I287" s="10"/>
      <c r="J287" s="57"/>
      <c r="K287" s="57"/>
      <c r="L287" s="57"/>
      <c r="M287" s="57"/>
      <c r="N287" s="57"/>
      <c r="O287" s="57"/>
      <c r="P287" s="57"/>
      <c r="Q287" s="85"/>
      <c r="R287" s="57"/>
      <c r="S287" s="57"/>
      <c r="T287" s="57"/>
      <c r="U287" s="57"/>
      <c r="V287" s="57"/>
    </row>
    <row r="288" spans="1:22" s="11" customFormat="1" x14ac:dyDescent="0.2">
      <c r="A288" s="47"/>
      <c r="B288" s="59" t="s">
        <v>1</v>
      </c>
      <c r="C288" s="59" t="s">
        <v>1</v>
      </c>
      <c r="D288" s="9">
        <f>E288+F288+G288+H288+I288</f>
        <v>137800</v>
      </c>
      <c r="E288" s="13">
        <v>35400</v>
      </c>
      <c r="F288" s="10">
        <v>102400</v>
      </c>
      <c r="G288" s="10"/>
      <c r="H288" s="10"/>
      <c r="I288" s="10"/>
      <c r="J288" s="57"/>
      <c r="K288" s="57"/>
      <c r="L288" s="57"/>
      <c r="M288" s="57"/>
      <c r="N288" s="57"/>
      <c r="O288" s="57"/>
      <c r="P288" s="57"/>
      <c r="Q288" s="85"/>
      <c r="R288" s="57"/>
      <c r="S288" s="57"/>
      <c r="T288" s="57"/>
      <c r="U288" s="57"/>
      <c r="V288" s="57"/>
    </row>
    <row r="289" spans="1:22" s="11" customFormat="1" x14ac:dyDescent="0.2">
      <c r="A289" s="47"/>
      <c r="B289" s="59" t="s">
        <v>2</v>
      </c>
      <c r="C289" s="59" t="s">
        <v>2</v>
      </c>
      <c r="D289" s="9">
        <f>E289+F289+G289+H289+I289</f>
        <v>0</v>
      </c>
      <c r="E289" s="10"/>
      <c r="F289" s="10"/>
      <c r="G289" s="10"/>
      <c r="H289" s="10"/>
      <c r="I289" s="10"/>
      <c r="J289" s="57"/>
      <c r="K289" s="57"/>
      <c r="L289" s="57"/>
      <c r="M289" s="57"/>
      <c r="N289" s="57"/>
      <c r="O289" s="57"/>
      <c r="P289" s="57"/>
      <c r="Q289" s="85"/>
      <c r="R289" s="57"/>
      <c r="S289" s="57"/>
      <c r="T289" s="57"/>
      <c r="U289" s="57"/>
      <c r="V289" s="57"/>
    </row>
    <row r="290" spans="1:22" s="11" customFormat="1" ht="21" customHeight="1" x14ac:dyDescent="0.2">
      <c r="A290" s="48"/>
      <c r="B290" s="59" t="s">
        <v>3</v>
      </c>
      <c r="C290" s="59" t="s">
        <v>3</v>
      </c>
      <c r="D290" s="9">
        <f>E290+F290+G290+H290+I290</f>
        <v>0</v>
      </c>
      <c r="E290" s="10"/>
      <c r="F290" s="10"/>
      <c r="G290" s="10"/>
      <c r="H290" s="10"/>
      <c r="I290" s="10"/>
      <c r="J290" s="57"/>
      <c r="K290" s="57"/>
      <c r="L290" s="57"/>
      <c r="M290" s="57"/>
      <c r="N290" s="57"/>
      <c r="O290" s="57"/>
      <c r="P290" s="57"/>
      <c r="Q290" s="85"/>
      <c r="R290" s="57"/>
      <c r="S290" s="57"/>
      <c r="T290" s="57"/>
      <c r="U290" s="57"/>
      <c r="V290" s="57"/>
    </row>
    <row r="291" spans="1:22" s="11" customFormat="1" x14ac:dyDescent="0.2">
      <c r="A291" s="46" t="s">
        <v>43</v>
      </c>
      <c r="B291" s="24" t="s">
        <v>133</v>
      </c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5"/>
    </row>
    <row r="292" spans="1:22" s="11" customFormat="1" x14ac:dyDescent="0.2">
      <c r="A292" s="47" t="s">
        <v>30</v>
      </c>
      <c r="B292" s="82" t="s">
        <v>174</v>
      </c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</row>
    <row r="293" spans="1:22" s="11" customFormat="1" ht="75.75" customHeight="1" x14ac:dyDescent="0.2">
      <c r="A293" s="47"/>
      <c r="B293" s="54" t="s">
        <v>529</v>
      </c>
      <c r="C293" s="55" t="s">
        <v>200</v>
      </c>
      <c r="D293" s="55"/>
      <c r="E293" s="55"/>
      <c r="F293" s="55"/>
      <c r="G293" s="55"/>
      <c r="H293" s="55"/>
      <c r="I293" s="56"/>
      <c r="J293" s="57" t="s">
        <v>117</v>
      </c>
      <c r="K293" s="57"/>
      <c r="L293" s="69" t="s">
        <v>203</v>
      </c>
      <c r="M293" s="57" t="s">
        <v>287</v>
      </c>
      <c r="N293" s="57" t="s">
        <v>201</v>
      </c>
      <c r="O293" s="57" t="s">
        <v>133</v>
      </c>
      <c r="P293" s="57" t="s">
        <v>201</v>
      </c>
      <c r="Q293" s="85" t="s">
        <v>384</v>
      </c>
      <c r="R293" s="57" t="s">
        <v>11</v>
      </c>
      <c r="S293" s="57" t="s">
        <v>10</v>
      </c>
      <c r="T293" s="57" t="s">
        <v>171</v>
      </c>
      <c r="U293" s="57"/>
      <c r="V293" s="57"/>
    </row>
    <row r="294" spans="1:22" s="11" customFormat="1" x14ac:dyDescent="0.2">
      <c r="A294" s="47"/>
      <c r="B294" s="59" t="s">
        <v>5</v>
      </c>
      <c r="C294" s="59" t="s">
        <v>5</v>
      </c>
      <c r="D294" s="9">
        <f>SUM(D295:D298)</f>
        <v>15000</v>
      </c>
      <c r="E294" s="10">
        <f>SUM(E295:E298)</f>
        <v>15000</v>
      </c>
      <c r="F294" s="10"/>
      <c r="G294" s="10"/>
      <c r="H294" s="10"/>
      <c r="I294" s="10"/>
      <c r="J294" s="57"/>
      <c r="K294" s="57"/>
      <c r="L294" s="69"/>
      <c r="M294" s="57"/>
      <c r="N294" s="57"/>
      <c r="O294" s="57"/>
      <c r="P294" s="57"/>
      <c r="Q294" s="85"/>
      <c r="R294" s="57"/>
      <c r="S294" s="57"/>
      <c r="T294" s="57"/>
      <c r="U294" s="57"/>
      <c r="V294" s="57"/>
    </row>
    <row r="295" spans="1:22" s="11" customFormat="1" x14ac:dyDescent="0.2">
      <c r="A295" s="47"/>
      <c r="B295" s="59" t="s">
        <v>0</v>
      </c>
      <c r="C295" s="59" t="s">
        <v>0</v>
      </c>
      <c r="D295" s="9">
        <f>E295+F295+G295+H295+I295</f>
        <v>0</v>
      </c>
      <c r="E295" s="10"/>
      <c r="F295" s="10"/>
      <c r="G295" s="10"/>
      <c r="H295" s="10"/>
      <c r="I295" s="10"/>
      <c r="J295" s="57"/>
      <c r="K295" s="57"/>
      <c r="L295" s="69"/>
      <c r="M295" s="57"/>
      <c r="N295" s="57"/>
      <c r="O295" s="57"/>
      <c r="P295" s="57"/>
      <c r="Q295" s="85"/>
      <c r="R295" s="57"/>
      <c r="S295" s="57"/>
      <c r="T295" s="57"/>
      <c r="U295" s="57"/>
      <c r="V295" s="57"/>
    </row>
    <row r="296" spans="1:22" s="11" customFormat="1" x14ac:dyDescent="0.2">
      <c r="A296" s="47"/>
      <c r="B296" s="59" t="s">
        <v>1</v>
      </c>
      <c r="C296" s="59" t="s">
        <v>1</v>
      </c>
      <c r="D296" s="9">
        <f>E296+F296+G296+H296+I296</f>
        <v>15000</v>
      </c>
      <c r="E296" s="13">
        <f>2000+13000</f>
        <v>15000</v>
      </c>
      <c r="F296" s="10"/>
      <c r="G296" s="10"/>
      <c r="H296" s="10"/>
      <c r="I296" s="10"/>
      <c r="J296" s="57"/>
      <c r="K296" s="57"/>
      <c r="L296" s="69"/>
      <c r="M296" s="57"/>
      <c r="N296" s="57"/>
      <c r="O296" s="57"/>
      <c r="P296" s="57"/>
      <c r="Q296" s="85"/>
      <c r="R296" s="57"/>
      <c r="S296" s="57"/>
      <c r="T296" s="57"/>
      <c r="U296" s="57"/>
      <c r="V296" s="57"/>
    </row>
    <row r="297" spans="1:22" s="11" customFormat="1" x14ac:dyDescent="0.2">
      <c r="A297" s="47"/>
      <c r="B297" s="59" t="s">
        <v>2</v>
      </c>
      <c r="C297" s="59" t="s">
        <v>2</v>
      </c>
      <c r="D297" s="9">
        <f>E297+F297+G297+H297+I297</f>
        <v>0</v>
      </c>
      <c r="E297" s="10"/>
      <c r="F297" s="10"/>
      <c r="G297" s="10"/>
      <c r="H297" s="10"/>
      <c r="I297" s="10"/>
      <c r="J297" s="57"/>
      <c r="K297" s="57"/>
      <c r="L297" s="69"/>
      <c r="M297" s="57"/>
      <c r="N297" s="57"/>
      <c r="O297" s="57"/>
      <c r="P297" s="57"/>
      <c r="Q297" s="85"/>
      <c r="R297" s="57"/>
      <c r="S297" s="57"/>
      <c r="T297" s="57"/>
      <c r="U297" s="57"/>
      <c r="V297" s="57"/>
    </row>
    <row r="298" spans="1:22" s="11" customFormat="1" ht="21" customHeight="1" x14ac:dyDescent="0.2">
      <c r="A298" s="48"/>
      <c r="B298" s="59" t="s">
        <v>3</v>
      </c>
      <c r="C298" s="59" t="s">
        <v>3</v>
      </c>
      <c r="D298" s="9">
        <f>E298+F298+G298+H298+I298</f>
        <v>0</v>
      </c>
      <c r="E298" s="10"/>
      <c r="F298" s="10"/>
      <c r="G298" s="10"/>
      <c r="H298" s="10"/>
      <c r="I298" s="10"/>
      <c r="J298" s="57"/>
      <c r="K298" s="57"/>
      <c r="L298" s="69"/>
      <c r="M298" s="57"/>
      <c r="N298" s="57"/>
      <c r="O298" s="57"/>
      <c r="P298" s="57"/>
      <c r="Q298" s="85"/>
      <c r="R298" s="57"/>
      <c r="S298" s="57"/>
      <c r="T298" s="57"/>
      <c r="U298" s="57"/>
      <c r="V298" s="57"/>
    </row>
    <row r="299" spans="1:22" s="11" customFormat="1" x14ac:dyDescent="0.2">
      <c r="A299" s="46" t="s">
        <v>416</v>
      </c>
      <c r="B299" s="24" t="s">
        <v>16</v>
      </c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5"/>
    </row>
    <row r="300" spans="1:22" s="11" customFormat="1" x14ac:dyDescent="0.2">
      <c r="A300" s="47" t="s">
        <v>30</v>
      </c>
      <c r="B300" s="82" t="s">
        <v>174</v>
      </c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</row>
    <row r="301" spans="1:22" s="11" customFormat="1" ht="86.25" customHeight="1" x14ac:dyDescent="0.2">
      <c r="A301" s="47"/>
      <c r="B301" s="60" t="s">
        <v>417</v>
      </c>
      <c r="C301" s="61" t="s">
        <v>417</v>
      </c>
      <c r="D301" s="61"/>
      <c r="E301" s="61"/>
      <c r="F301" s="61"/>
      <c r="G301" s="61"/>
      <c r="H301" s="61"/>
      <c r="I301" s="62"/>
      <c r="J301" s="57" t="s">
        <v>87</v>
      </c>
      <c r="K301" s="57"/>
      <c r="L301" s="57" t="s">
        <v>60</v>
      </c>
      <c r="M301" s="57" t="s">
        <v>414</v>
      </c>
      <c r="N301" s="57" t="s">
        <v>82</v>
      </c>
      <c r="O301" s="57" t="s">
        <v>133</v>
      </c>
      <c r="P301" s="57" t="s">
        <v>82</v>
      </c>
      <c r="Q301" s="85" t="s">
        <v>415</v>
      </c>
      <c r="R301" s="57" t="s">
        <v>11</v>
      </c>
      <c r="S301" s="57" t="s">
        <v>10</v>
      </c>
      <c r="T301" s="57" t="s">
        <v>17</v>
      </c>
      <c r="U301" s="57"/>
      <c r="V301" s="57" t="s">
        <v>456</v>
      </c>
    </row>
    <row r="302" spans="1:22" s="11" customFormat="1" x14ac:dyDescent="0.2">
      <c r="A302" s="47"/>
      <c r="B302" s="59" t="s">
        <v>5</v>
      </c>
      <c r="C302" s="59" t="s">
        <v>5</v>
      </c>
      <c r="D302" s="9">
        <f>SUM(D303:D306)</f>
        <v>820973.98968</v>
      </c>
      <c r="E302" s="10">
        <f>SUM(E303:E306)</f>
        <v>266347.98968</v>
      </c>
      <c r="F302" s="10">
        <f t="shared" ref="F302:G302" si="41">SUM(F303:F306)</f>
        <v>350000</v>
      </c>
      <c r="G302" s="10">
        <f t="shared" si="41"/>
        <v>204626</v>
      </c>
      <c r="H302" s="10"/>
      <c r="I302" s="10"/>
      <c r="J302" s="57"/>
      <c r="K302" s="57"/>
      <c r="L302" s="57"/>
      <c r="M302" s="57"/>
      <c r="N302" s="57"/>
      <c r="O302" s="57"/>
      <c r="P302" s="57"/>
      <c r="Q302" s="85"/>
      <c r="R302" s="57"/>
      <c r="S302" s="57"/>
      <c r="T302" s="57"/>
      <c r="U302" s="57"/>
      <c r="V302" s="57"/>
    </row>
    <row r="303" spans="1:22" s="11" customFormat="1" x14ac:dyDescent="0.2">
      <c r="A303" s="47"/>
      <c r="B303" s="59" t="s">
        <v>0</v>
      </c>
      <c r="C303" s="59" t="s">
        <v>0</v>
      </c>
      <c r="D303" s="9">
        <f>E303+F303+G303+H303+I303</f>
        <v>716422</v>
      </c>
      <c r="E303" s="13">
        <f>0+190000</f>
        <v>190000</v>
      </c>
      <c r="F303" s="10">
        <f>0+332500</f>
        <v>332500</v>
      </c>
      <c r="G303" s="10">
        <f>0+193922</f>
        <v>193922</v>
      </c>
      <c r="H303" s="10"/>
      <c r="I303" s="10"/>
      <c r="J303" s="57"/>
      <c r="K303" s="57"/>
      <c r="L303" s="57"/>
      <c r="M303" s="57"/>
      <c r="N303" s="57"/>
      <c r="O303" s="57"/>
      <c r="P303" s="57"/>
      <c r="Q303" s="85"/>
      <c r="R303" s="57"/>
      <c r="S303" s="57"/>
      <c r="T303" s="57"/>
      <c r="U303" s="57"/>
      <c r="V303" s="57"/>
    </row>
    <row r="304" spans="1:22" s="11" customFormat="1" x14ac:dyDescent="0.2">
      <c r="A304" s="47"/>
      <c r="B304" s="30" t="s">
        <v>1</v>
      </c>
      <c r="C304" s="30" t="s">
        <v>1</v>
      </c>
      <c r="D304" s="9">
        <f>E304+F304+G304+H304+I304</f>
        <v>104551.98968</v>
      </c>
      <c r="E304" s="13">
        <f>10000+1938.40968+64409.58</f>
        <v>76347.989679999999</v>
      </c>
      <c r="F304" s="10">
        <v>17500</v>
      </c>
      <c r="G304" s="10">
        <v>10704</v>
      </c>
      <c r="H304" s="10"/>
      <c r="I304" s="10"/>
      <c r="J304" s="57"/>
      <c r="K304" s="57"/>
      <c r="L304" s="57"/>
      <c r="M304" s="57"/>
      <c r="N304" s="57"/>
      <c r="O304" s="57"/>
      <c r="P304" s="57"/>
      <c r="Q304" s="85"/>
      <c r="R304" s="57"/>
      <c r="S304" s="57"/>
      <c r="T304" s="57"/>
      <c r="U304" s="57"/>
      <c r="V304" s="57"/>
    </row>
    <row r="305" spans="1:22" s="11" customFormat="1" x14ac:dyDescent="0.2">
      <c r="A305" s="47"/>
      <c r="B305" s="59" t="s">
        <v>2</v>
      </c>
      <c r="C305" s="59" t="s">
        <v>2</v>
      </c>
      <c r="D305" s="9">
        <f>E305+F305+G305+H305+I305</f>
        <v>0</v>
      </c>
      <c r="E305" s="10"/>
      <c r="F305" s="10"/>
      <c r="G305" s="10"/>
      <c r="H305" s="10"/>
      <c r="I305" s="10"/>
      <c r="J305" s="57"/>
      <c r="K305" s="57"/>
      <c r="L305" s="57"/>
      <c r="M305" s="57"/>
      <c r="N305" s="57"/>
      <c r="O305" s="57"/>
      <c r="P305" s="57"/>
      <c r="Q305" s="85"/>
      <c r="R305" s="57"/>
      <c r="S305" s="57"/>
      <c r="T305" s="57"/>
      <c r="U305" s="57"/>
      <c r="V305" s="57"/>
    </row>
    <row r="306" spans="1:22" s="11" customFormat="1" ht="21" customHeight="1" x14ac:dyDescent="0.2">
      <c r="A306" s="48"/>
      <c r="B306" s="59" t="s">
        <v>3</v>
      </c>
      <c r="C306" s="59" t="s">
        <v>3</v>
      </c>
      <c r="D306" s="9">
        <f>E306+F306+G306+H306+I306</f>
        <v>0</v>
      </c>
      <c r="E306" s="10"/>
      <c r="F306" s="10"/>
      <c r="G306" s="10"/>
      <c r="H306" s="10"/>
      <c r="I306" s="10"/>
      <c r="J306" s="57"/>
      <c r="K306" s="57"/>
      <c r="L306" s="57"/>
      <c r="M306" s="57"/>
      <c r="N306" s="57"/>
      <c r="O306" s="57"/>
      <c r="P306" s="57"/>
      <c r="Q306" s="85"/>
      <c r="R306" s="57"/>
      <c r="S306" s="57"/>
      <c r="T306" s="57"/>
      <c r="U306" s="57"/>
      <c r="V306" s="57"/>
    </row>
    <row r="307" spans="1:22" s="11" customFormat="1" x14ac:dyDescent="0.2">
      <c r="A307" s="46" t="s">
        <v>581</v>
      </c>
      <c r="B307" s="24" t="s">
        <v>133</v>
      </c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5"/>
    </row>
    <row r="308" spans="1:22" s="11" customFormat="1" x14ac:dyDescent="0.2">
      <c r="A308" s="47" t="s">
        <v>30</v>
      </c>
      <c r="B308" s="82" t="s">
        <v>174</v>
      </c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</row>
    <row r="309" spans="1:22" s="11" customFormat="1" ht="73.5" customHeight="1" x14ac:dyDescent="0.2">
      <c r="A309" s="47"/>
      <c r="B309" s="54" t="s">
        <v>540</v>
      </c>
      <c r="C309" s="55" t="s">
        <v>200</v>
      </c>
      <c r="D309" s="55"/>
      <c r="E309" s="55"/>
      <c r="F309" s="55"/>
      <c r="G309" s="55"/>
      <c r="H309" s="55"/>
      <c r="I309" s="56"/>
      <c r="J309" s="69" t="s">
        <v>66</v>
      </c>
      <c r="K309" s="57"/>
      <c r="L309" s="69" t="s">
        <v>203</v>
      </c>
      <c r="M309" s="57" t="s">
        <v>287</v>
      </c>
      <c r="N309" s="57" t="s">
        <v>201</v>
      </c>
      <c r="O309" s="57" t="s">
        <v>133</v>
      </c>
      <c r="P309" s="57" t="s">
        <v>201</v>
      </c>
      <c r="Q309" s="85" t="s">
        <v>384</v>
      </c>
      <c r="R309" s="57" t="s">
        <v>11</v>
      </c>
      <c r="S309" s="57" t="s">
        <v>10</v>
      </c>
      <c r="T309" s="57" t="s">
        <v>171</v>
      </c>
      <c r="U309" s="57"/>
      <c r="V309" s="57"/>
    </row>
    <row r="310" spans="1:22" s="11" customFormat="1" x14ac:dyDescent="0.2">
      <c r="A310" s="47"/>
      <c r="B310" s="59" t="s">
        <v>5</v>
      </c>
      <c r="C310" s="59" t="s">
        <v>5</v>
      </c>
      <c r="D310" s="9">
        <f>SUM(D311:D314)</f>
        <v>3400</v>
      </c>
      <c r="E310" s="10">
        <f>SUM(E311:E314)</f>
        <v>3400</v>
      </c>
      <c r="F310" s="10"/>
      <c r="G310" s="10"/>
      <c r="H310" s="10"/>
      <c r="I310" s="10"/>
      <c r="J310" s="69"/>
      <c r="K310" s="57"/>
      <c r="L310" s="69"/>
      <c r="M310" s="57"/>
      <c r="N310" s="57"/>
      <c r="O310" s="57"/>
      <c r="P310" s="57"/>
      <c r="Q310" s="85"/>
      <c r="R310" s="57"/>
      <c r="S310" s="57"/>
      <c r="T310" s="57"/>
      <c r="U310" s="57"/>
      <c r="V310" s="57"/>
    </row>
    <row r="311" spans="1:22" s="11" customFormat="1" x14ac:dyDescent="0.2">
      <c r="A311" s="47"/>
      <c r="B311" s="59" t="s">
        <v>0</v>
      </c>
      <c r="C311" s="59" t="s">
        <v>0</v>
      </c>
      <c r="D311" s="9">
        <f>E311+F311+G311+H311+I311</f>
        <v>0</v>
      </c>
      <c r="E311" s="10"/>
      <c r="F311" s="10"/>
      <c r="G311" s="10"/>
      <c r="H311" s="10"/>
      <c r="I311" s="10"/>
      <c r="J311" s="69"/>
      <c r="K311" s="57"/>
      <c r="L311" s="69"/>
      <c r="M311" s="57"/>
      <c r="N311" s="57"/>
      <c r="O311" s="57"/>
      <c r="P311" s="57"/>
      <c r="Q311" s="85"/>
      <c r="R311" s="57"/>
      <c r="S311" s="57"/>
      <c r="T311" s="57"/>
      <c r="U311" s="57"/>
      <c r="V311" s="57"/>
    </row>
    <row r="312" spans="1:22" s="11" customFormat="1" x14ac:dyDescent="0.2">
      <c r="A312" s="47"/>
      <c r="B312" s="30" t="s">
        <v>1</v>
      </c>
      <c r="C312" s="30" t="s">
        <v>1</v>
      </c>
      <c r="D312" s="9">
        <f>E312+F312+G312+H312+I312</f>
        <v>3400</v>
      </c>
      <c r="E312" s="13">
        <f>0+20000-16600</f>
        <v>3400</v>
      </c>
      <c r="F312" s="10"/>
      <c r="G312" s="10"/>
      <c r="H312" s="10"/>
      <c r="I312" s="10"/>
      <c r="J312" s="69"/>
      <c r="K312" s="57"/>
      <c r="L312" s="69"/>
      <c r="M312" s="57"/>
      <c r="N312" s="57"/>
      <c r="O312" s="57"/>
      <c r="P312" s="57"/>
      <c r="Q312" s="85"/>
      <c r="R312" s="57"/>
      <c r="S312" s="57"/>
      <c r="T312" s="57"/>
      <c r="U312" s="57"/>
      <c r="V312" s="57"/>
    </row>
    <row r="313" spans="1:22" s="11" customFormat="1" x14ac:dyDescent="0.2">
      <c r="A313" s="47"/>
      <c r="B313" s="59" t="s">
        <v>2</v>
      </c>
      <c r="C313" s="59" t="s">
        <v>2</v>
      </c>
      <c r="D313" s="9">
        <f>E313+F313+G313+H313+I313</f>
        <v>0</v>
      </c>
      <c r="E313" s="10"/>
      <c r="F313" s="10"/>
      <c r="G313" s="10"/>
      <c r="H313" s="10"/>
      <c r="I313" s="10"/>
      <c r="J313" s="69"/>
      <c r="K313" s="57"/>
      <c r="L313" s="69"/>
      <c r="M313" s="57"/>
      <c r="N313" s="57"/>
      <c r="O313" s="57"/>
      <c r="P313" s="57"/>
      <c r="Q313" s="85"/>
      <c r="R313" s="57"/>
      <c r="S313" s="57"/>
      <c r="T313" s="57"/>
      <c r="U313" s="57"/>
      <c r="V313" s="57"/>
    </row>
    <row r="314" spans="1:22" s="11" customFormat="1" ht="21" customHeight="1" x14ac:dyDescent="0.2">
      <c r="A314" s="48"/>
      <c r="B314" s="59" t="s">
        <v>3</v>
      </c>
      <c r="C314" s="59" t="s">
        <v>3</v>
      </c>
      <c r="D314" s="9">
        <f>E314+F314+G314+H314+I314</f>
        <v>0</v>
      </c>
      <c r="E314" s="10"/>
      <c r="F314" s="10"/>
      <c r="G314" s="10"/>
      <c r="H314" s="10"/>
      <c r="I314" s="10"/>
      <c r="J314" s="69"/>
      <c r="K314" s="57"/>
      <c r="L314" s="69"/>
      <c r="M314" s="57"/>
      <c r="N314" s="57"/>
      <c r="O314" s="57"/>
      <c r="P314" s="57"/>
      <c r="Q314" s="85"/>
      <c r="R314" s="57"/>
      <c r="S314" s="57"/>
      <c r="T314" s="57"/>
      <c r="U314" s="57"/>
      <c r="V314" s="57"/>
    </row>
    <row r="315" spans="1:22" s="11" customFormat="1" ht="15" customHeight="1" x14ac:dyDescent="0.2">
      <c r="A315" s="46" t="s">
        <v>671</v>
      </c>
      <c r="B315" s="24" t="s">
        <v>16</v>
      </c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5"/>
    </row>
    <row r="316" spans="1:22" s="11" customFormat="1" ht="16.5" customHeight="1" x14ac:dyDescent="0.2">
      <c r="A316" s="47"/>
      <c r="B316" s="82" t="s">
        <v>174</v>
      </c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</row>
    <row r="317" spans="1:22" s="11" customFormat="1" ht="31.5" customHeight="1" x14ac:dyDescent="0.2">
      <c r="A317" s="47"/>
      <c r="B317" s="27" t="s">
        <v>672</v>
      </c>
      <c r="C317" s="28"/>
      <c r="D317" s="28"/>
      <c r="E317" s="28"/>
      <c r="F317" s="28"/>
      <c r="G317" s="28"/>
      <c r="H317" s="28"/>
      <c r="I317" s="29"/>
      <c r="J317" s="43"/>
      <c r="K317" s="43" t="s">
        <v>629</v>
      </c>
      <c r="L317" s="43" t="s">
        <v>60</v>
      </c>
      <c r="M317" s="43" t="s">
        <v>673</v>
      </c>
      <c r="N317" s="43" t="s">
        <v>82</v>
      </c>
      <c r="O317" s="43" t="s">
        <v>133</v>
      </c>
      <c r="P317" s="43" t="s">
        <v>82</v>
      </c>
      <c r="Q317" s="43"/>
      <c r="R317" s="43" t="s">
        <v>11</v>
      </c>
      <c r="S317" s="43" t="s">
        <v>674</v>
      </c>
      <c r="T317" s="43" t="s">
        <v>171</v>
      </c>
      <c r="U317" s="43"/>
      <c r="V317" s="43"/>
    </row>
    <row r="318" spans="1:22" s="11" customFormat="1" ht="16.5" customHeight="1" x14ac:dyDescent="0.2">
      <c r="A318" s="47"/>
      <c r="B318" s="30" t="s">
        <v>5</v>
      </c>
      <c r="C318" s="30" t="s">
        <v>5</v>
      </c>
      <c r="D318" s="12">
        <f>SUM(D319:D322)</f>
        <v>14500</v>
      </c>
      <c r="E318" s="12">
        <f>SUM(E319:E322)</f>
        <v>14500</v>
      </c>
      <c r="F318" s="13"/>
      <c r="G318" s="13"/>
      <c r="H318" s="13"/>
      <c r="I318" s="13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</row>
    <row r="319" spans="1:22" s="11" customFormat="1" ht="16.5" customHeight="1" x14ac:dyDescent="0.2">
      <c r="A319" s="47"/>
      <c r="B319" s="30" t="s">
        <v>0</v>
      </c>
      <c r="C319" s="30" t="s">
        <v>0</v>
      </c>
      <c r="D319" s="12">
        <f>SUM(E319:I319)</f>
        <v>0</v>
      </c>
      <c r="E319" s="13"/>
      <c r="F319" s="13"/>
      <c r="G319" s="13"/>
      <c r="H319" s="13"/>
      <c r="I319" s="13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</row>
    <row r="320" spans="1:22" s="11" customFormat="1" ht="15" customHeight="1" x14ac:dyDescent="0.2">
      <c r="A320" s="47"/>
      <c r="B320" s="30" t="s">
        <v>1</v>
      </c>
      <c r="C320" s="30" t="s">
        <v>1</v>
      </c>
      <c r="D320" s="12">
        <f t="shared" ref="D320:D322" si="42">SUM(E320:I320)</f>
        <v>14500</v>
      </c>
      <c r="E320" s="13">
        <f>0+14500</f>
        <v>14500</v>
      </c>
      <c r="F320" s="13"/>
      <c r="G320" s="13"/>
      <c r="H320" s="13"/>
      <c r="I320" s="13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</row>
    <row r="321" spans="1:22" s="11" customFormat="1" ht="16.5" customHeight="1" x14ac:dyDescent="0.2">
      <c r="A321" s="47"/>
      <c r="B321" s="30" t="s">
        <v>2</v>
      </c>
      <c r="C321" s="30" t="s">
        <v>2</v>
      </c>
      <c r="D321" s="12">
        <f t="shared" si="42"/>
        <v>0</v>
      </c>
      <c r="E321" s="13"/>
      <c r="F321" s="13"/>
      <c r="G321" s="13"/>
      <c r="H321" s="13"/>
      <c r="I321" s="13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</row>
    <row r="322" spans="1:22" s="11" customFormat="1" ht="17.25" customHeight="1" x14ac:dyDescent="0.2">
      <c r="A322" s="48"/>
      <c r="B322" s="30" t="s">
        <v>3</v>
      </c>
      <c r="C322" s="30" t="s">
        <v>3</v>
      </c>
      <c r="D322" s="12">
        <f t="shared" si="42"/>
        <v>0</v>
      </c>
      <c r="E322" s="13"/>
      <c r="F322" s="13"/>
      <c r="G322" s="13"/>
      <c r="H322" s="13"/>
      <c r="I322" s="13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</row>
    <row r="323" spans="1:22" s="11" customFormat="1" ht="17.25" customHeight="1" x14ac:dyDescent="0.2">
      <c r="A323" s="46" t="s">
        <v>718</v>
      </c>
      <c r="B323" s="24" t="s">
        <v>16</v>
      </c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5"/>
    </row>
    <row r="324" spans="1:22" s="11" customFormat="1" ht="17.25" customHeight="1" x14ac:dyDescent="0.2">
      <c r="A324" s="47"/>
      <c r="B324" s="82" t="s">
        <v>174</v>
      </c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</row>
    <row r="325" spans="1:22" s="11" customFormat="1" ht="51.75" customHeight="1" x14ac:dyDescent="0.2">
      <c r="A325" s="47"/>
      <c r="B325" s="27" t="s">
        <v>719</v>
      </c>
      <c r="C325" s="28"/>
      <c r="D325" s="28"/>
      <c r="E325" s="28"/>
      <c r="F325" s="28"/>
      <c r="G325" s="28"/>
      <c r="H325" s="28"/>
      <c r="I325" s="29"/>
      <c r="J325" s="43" t="s">
        <v>720</v>
      </c>
      <c r="K325" s="43"/>
      <c r="L325" s="43" t="s">
        <v>203</v>
      </c>
      <c r="M325" s="69" t="s">
        <v>721</v>
      </c>
      <c r="N325" s="69" t="s">
        <v>722</v>
      </c>
      <c r="O325" s="69" t="s">
        <v>133</v>
      </c>
      <c r="P325" s="69" t="s">
        <v>722</v>
      </c>
      <c r="Q325" s="77" t="s">
        <v>723</v>
      </c>
      <c r="R325" s="69" t="s">
        <v>11</v>
      </c>
      <c r="S325" s="69" t="s">
        <v>12</v>
      </c>
      <c r="T325" s="69" t="s">
        <v>17</v>
      </c>
      <c r="U325" s="69"/>
      <c r="V325" s="69" t="s">
        <v>724</v>
      </c>
    </row>
    <row r="326" spans="1:22" s="11" customFormat="1" ht="14.25" customHeight="1" x14ac:dyDescent="0.2">
      <c r="A326" s="47"/>
      <c r="B326" s="30" t="s">
        <v>5</v>
      </c>
      <c r="C326" s="30" t="s">
        <v>5</v>
      </c>
      <c r="D326" s="12">
        <f>SUM(D327:D330)</f>
        <v>258633.61207999999</v>
      </c>
      <c r="E326" s="12">
        <f t="shared" ref="E326:F326" si="43">SUM(E327:E330)</f>
        <v>16600</v>
      </c>
      <c r="F326" s="12">
        <f t="shared" si="43"/>
        <v>242033.61207999999</v>
      </c>
      <c r="G326" s="13"/>
      <c r="H326" s="13"/>
      <c r="I326" s="13"/>
      <c r="J326" s="44"/>
      <c r="K326" s="44"/>
      <c r="L326" s="44"/>
      <c r="M326" s="69"/>
      <c r="N326" s="69"/>
      <c r="O326" s="69"/>
      <c r="P326" s="69"/>
      <c r="Q326" s="77"/>
      <c r="R326" s="69"/>
      <c r="S326" s="69"/>
      <c r="T326" s="69"/>
      <c r="U326" s="69"/>
      <c r="V326" s="69"/>
    </row>
    <row r="327" spans="1:22" s="11" customFormat="1" ht="15" customHeight="1" x14ac:dyDescent="0.2">
      <c r="A327" s="47"/>
      <c r="B327" s="30" t="s">
        <v>0</v>
      </c>
      <c r="C327" s="30" t="s">
        <v>0</v>
      </c>
      <c r="D327" s="12">
        <f>SUM(E327:I327)</f>
        <v>0</v>
      </c>
      <c r="E327" s="13"/>
      <c r="F327" s="13"/>
      <c r="G327" s="13"/>
      <c r="H327" s="13"/>
      <c r="I327" s="13"/>
      <c r="J327" s="44"/>
      <c r="K327" s="44"/>
      <c r="L327" s="44"/>
      <c r="M327" s="69"/>
      <c r="N327" s="69"/>
      <c r="O327" s="69"/>
      <c r="P327" s="69"/>
      <c r="Q327" s="77"/>
      <c r="R327" s="69"/>
      <c r="S327" s="69"/>
      <c r="T327" s="69"/>
      <c r="U327" s="69"/>
      <c r="V327" s="69"/>
    </row>
    <row r="328" spans="1:22" s="11" customFormat="1" ht="15" customHeight="1" x14ac:dyDescent="0.2">
      <c r="A328" s="47"/>
      <c r="B328" s="30" t="s">
        <v>1</v>
      </c>
      <c r="C328" s="30" t="s">
        <v>1</v>
      </c>
      <c r="D328" s="12">
        <f t="shared" ref="D328:D330" si="44">SUM(E328:I328)</f>
        <v>258633.61207999999</v>
      </c>
      <c r="E328" s="13">
        <f>0+16600</f>
        <v>16600</v>
      </c>
      <c r="F328" s="13">
        <f>0+242033.61208</f>
        <v>242033.61207999999</v>
      </c>
      <c r="G328" s="13"/>
      <c r="H328" s="13"/>
      <c r="I328" s="13"/>
      <c r="J328" s="44"/>
      <c r="K328" s="44"/>
      <c r="L328" s="44"/>
      <c r="M328" s="69"/>
      <c r="N328" s="69"/>
      <c r="O328" s="69"/>
      <c r="P328" s="69"/>
      <c r="Q328" s="77"/>
      <c r="R328" s="69"/>
      <c r="S328" s="69"/>
      <c r="T328" s="69"/>
      <c r="U328" s="69"/>
      <c r="V328" s="69"/>
    </row>
    <row r="329" spans="1:22" s="11" customFormat="1" ht="14.25" customHeight="1" x14ac:dyDescent="0.2">
      <c r="A329" s="47"/>
      <c r="B329" s="30" t="s">
        <v>2</v>
      </c>
      <c r="C329" s="30" t="s">
        <v>2</v>
      </c>
      <c r="D329" s="12">
        <f t="shared" si="44"/>
        <v>0</v>
      </c>
      <c r="E329" s="13"/>
      <c r="F329" s="13"/>
      <c r="G329" s="13"/>
      <c r="H329" s="13"/>
      <c r="I329" s="13"/>
      <c r="J329" s="44"/>
      <c r="K329" s="44"/>
      <c r="L329" s="44"/>
      <c r="M329" s="69"/>
      <c r="N329" s="69"/>
      <c r="O329" s="69"/>
      <c r="P329" s="69"/>
      <c r="Q329" s="77"/>
      <c r="R329" s="69"/>
      <c r="S329" s="69"/>
      <c r="T329" s="69"/>
      <c r="U329" s="69"/>
      <c r="V329" s="69"/>
    </row>
    <row r="330" spans="1:22" s="11" customFormat="1" ht="14.25" customHeight="1" x14ac:dyDescent="0.2">
      <c r="A330" s="48"/>
      <c r="B330" s="30" t="s">
        <v>3</v>
      </c>
      <c r="C330" s="30" t="s">
        <v>3</v>
      </c>
      <c r="D330" s="12">
        <f t="shared" si="44"/>
        <v>0</v>
      </c>
      <c r="E330" s="13"/>
      <c r="F330" s="13"/>
      <c r="G330" s="13"/>
      <c r="H330" s="13"/>
      <c r="I330" s="13"/>
      <c r="J330" s="45"/>
      <c r="K330" s="45"/>
      <c r="L330" s="45"/>
      <c r="M330" s="69"/>
      <c r="N330" s="69"/>
      <c r="O330" s="69"/>
      <c r="P330" s="69"/>
      <c r="Q330" s="77"/>
      <c r="R330" s="69"/>
      <c r="S330" s="69"/>
      <c r="T330" s="69"/>
      <c r="U330" s="69"/>
      <c r="V330" s="69"/>
    </row>
    <row r="331" spans="1:22" s="11" customFormat="1" x14ac:dyDescent="0.2">
      <c r="A331" s="31" t="s">
        <v>52</v>
      </c>
      <c r="B331" s="75" t="s">
        <v>96</v>
      </c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</row>
    <row r="332" spans="1:22" s="11" customFormat="1" x14ac:dyDescent="0.2">
      <c r="A332" s="32"/>
      <c r="B332" s="76" t="s">
        <v>5</v>
      </c>
      <c r="C332" s="76"/>
      <c r="D332" s="14">
        <f>SUM(D333:D336)</f>
        <v>326472.58796999999</v>
      </c>
      <c r="E332" s="14">
        <f>E340+E348+E372</f>
        <v>1950</v>
      </c>
      <c r="F332" s="14">
        <f>F340+F348+F372</f>
        <v>160120.59999999998</v>
      </c>
      <c r="G332" s="14">
        <f>G340+G348+G372</f>
        <v>135584</v>
      </c>
      <c r="H332" s="14">
        <f>H340+H348+H372</f>
        <v>0</v>
      </c>
      <c r="I332" s="14">
        <f>I340+I348+I372</f>
        <v>0</v>
      </c>
      <c r="J332" s="34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6"/>
    </row>
    <row r="333" spans="1:22" s="11" customFormat="1" x14ac:dyDescent="0.2">
      <c r="A333" s="32"/>
      <c r="B333" s="76" t="s">
        <v>0</v>
      </c>
      <c r="C333" s="76"/>
      <c r="D333" s="14">
        <f>E333+F333+G333+H333+I333</f>
        <v>265704.59999999998</v>
      </c>
      <c r="E333" s="14">
        <f t="shared" ref="E333:I336" si="45">E341+E349+E373+E381+E389+E357+E365</f>
        <v>0</v>
      </c>
      <c r="F333" s="14">
        <f t="shared" si="45"/>
        <v>130120.59999999999</v>
      </c>
      <c r="G333" s="14">
        <f t="shared" si="45"/>
        <v>135584</v>
      </c>
      <c r="H333" s="14">
        <f t="shared" si="45"/>
        <v>0</v>
      </c>
      <c r="I333" s="14">
        <f t="shared" si="45"/>
        <v>0</v>
      </c>
      <c r="J333" s="37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9"/>
    </row>
    <row r="334" spans="1:22" s="11" customFormat="1" x14ac:dyDescent="0.2">
      <c r="A334" s="32"/>
      <c r="B334" s="76" t="s">
        <v>1</v>
      </c>
      <c r="C334" s="76"/>
      <c r="D334" s="14">
        <f>E334+F334+G334+H334+I334</f>
        <v>60767.987970000002</v>
      </c>
      <c r="E334" s="14">
        <f t="shared" si="45"/>
        <v>30767.987969999998</v>
      </c>
      <c r="F334" s="14">
        <f t="shared" si="45"/>
        <v>30000</v>
      </c>
      <c r="G334" s="14">
        <f t="shared" si="45"/>
        <v>0</v>
      </c>
      <c r="H334" s="14">
        <f t="shared" si="45"/>
        <v>0</v>
      </c>
      <c r="I334" s="14">
        <f t="shared" si="45"/>
        <v>0</v>
      </c>
      <c r="J334" s="37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9"/>
    </row>
    <row r="335" spans="1:22" s="11" customFormat="1" x14ac:dyDescent="0.2">
      <c r="A335" s="32"/>
      <c r="B335" s="76" t="s">
        <v>2</v>
      </c>
      <c r="C335" s="76"/>
      <c r="D335" s="14">
        <f>E335+F335+G335+H335+I335</f>
        <v>0</v>
      </c>
      <c r="E335" s="14">
        <f t="shared" si="45"/>
        <v>0</v>
      </c>
      <c r="F335" s="14">
        <f t="shared" si="45"/>
        <v>0</v>
      </c>
      <c r="G335" s="14">
        <f t="shared" si="45"/>
        <v>0</v>
      </c>
      <c r="H335" s="14">
        <f t="shared" si="45"/>
        <v>0</v>
      </c>
      <c r="I335" s="14">
        <f t="shared" si="45"/>
        <v>0</v>
      </c>
      <c r="J335" s="37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9"/>
    </row>
    <row r="336" spans="1:22" s="11" customFormat="1" ht="21" customHeight="1" x14ac:dyDescent="0.2">
      <c r="A336" s="33"/>
      <c r="B336" s="76" t="s">
        <v>3</v>
      </c>
      <c r="C336" s="76"/>
      <c r="D336" s="14">
        <f>E336+F336+G336+H336+I336</f>
        <v>0</v>
      </c>
      <c r="E336" s="14">
        <f t="shared" si="45"/>
        <v>0</v>
      </c>
      <c r="F336" s="14">
        <f t="shared" si="45"/>
        <v>0</v>
      </c>
      <c r="G336" s="14">
        <f t="shared" si="45"/>
        <v>0</v>
      </c>
      <c r="H336" s="14">
        <f t="shared" si="45"/>
        <v>0</v>
      </c>
      <c r="I336" s="14">
        <f t="shared" si="45"/>
        <v>0</v>
      </c>
      <c r="J336" s="40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2"/>
    </row>
    <row r="337" spans="1:22" s="11" customFormat="1" x14ac:dyDescent="0.2">
      <c r="A337" s="46" t="s">
        <v>53</v>
      </c>
      <c r="B337" s="24" t="s">
        <v>21</v>
      </c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5"/>
    </row>
    <row r="338" spans="1:22" s="11" customFormat="1" x14ac:dyDescent="0.2">
      <c r="A338" s="47" t="s">
        <v>30</v>
      </c>
      <c r="B338" s="82" t="s">
        <v>202</v>
      </c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</row>
    <row r="339" spans="1:22" s="11" customFormat="1" ht="54.75" customHeight="1" x14ac:dyDescent="0.2">
      <c r="A339" s="47"/>
      <c r="B339" s="54" t="s">
        <v>363</v>
      </c>
      <c r="C339" s="55" t="s">
        <v>363</v>
      </c>
      <c r="D339" s="55"/>
      <c r="E339" s="55"/>
      <c r="F339" s="55"/>
      <c r="G339" s="55"/>
      <c r="H339" s="55"/>
      <c r="I339" s="56"/>
      <c r="J339" s="69" t="s">
        <v>364</v>
      </c>
      <c r="K339" s="69"/>
      <c r="L339" s="69" t="s">
        <v>203</v>
      </c>
      <c r="M339" s="69"/>
      <c r="N339" s="69" t="s">
        <v>135</v>
      </c>
      <c r="O339" s="69" t="s">
        <v>21</v>
      </c>
      <c r="P339" s="69" t="s">
        <v>135</v>
      </c>
      <c r="Q339" s="77" t="s">
        <v>365</v>
      </c>
      <c r="R339" s="69" t="s">
        <v>11</v>
      </c>
      <c r="S339" s="69" t="s">
        <v>15</v>
      </c>
      <c r="T339" s="69" t="s">
        <v>17</v>
      </c>
      <c r="U339" s="69"/>
      <c r="V339" s="69" t="s">
        <v>457</v>
      </c>
    </row>
    <row r="340" spans="1:22" s="11" customFormat="1" x14ac:dyDescent="0.2">
      <c r="A340" s="47"/>
      <c r="B340" s="30" t="s">
        <v>5</v>
      </c>
      <c r="C340" s="30" t="s">
        <v>5</v>
      </c>
      <c r="D340" s="12">
        <f>SUM(D341:D344)</f>
        <v>350</v>
      </c>
      <c r="E340" s="13">
        <f>SUM(E341:E344)</f>
        <v>350</v>
      </c>
      <c r="F340" s="13"/>
      <c r="G340" s="13"/>
      <c r="H340" s="13"/>
      <c r="I340" s="13"/>
      <c r="J340" s="69"/>
      <c r="K340" s="69"/>
      <c r="L340" s="69"/>
      <c r="M340" s="69"/>
      <c r="N340" s="69"/>
      <c r="O340" s="69"/>
      <c r="P340" s="69"/>
      <c r="Q340" s="77"/>
      <c r="R340" s="69"/>
      <c r="S340" s="69"/>
      <c r="T340" s="69"/>
      <c r="U340" s="69"/>
      <c r="V340" s="69"/>
    </row>
    <row r="341" spans="1:22" s="11" customFormat="1" x14ac:dyDescent="0.2">
      <c r="A341" s="47"/>
      <c r="B341" s="30" t="s">
        <v>0</v>
      </c>
      <c r="C341" s="30" t="s">
        <v>0</v>
      </c>
      <c r="D341" s="12">
        <f>E341+F341+G341+H341+I341</f>
        <v>0</v>
      </c>
      <c r="E341" s="13"/>
      <c r="F341" s="13"/>
      <c r="G341" s="13"/>
      <c r="H341" s="13"/>
      <c r="I341" s="13"/>
      <c r="J341" s="69"/>
      <c r="K341" s="69"/>
      <c r="L341" s="69"/>
      <c r="M341" s="69"/>
      <c r="N341" s="69"/>
      <c r="O341" s="69"/>
      <c r="P341" s="69"/>
      <c r="Q341" s="77"/>
      <c r="R341" s="69"/>
      <c r="S341" s="69"/>
      <c r="T341" s="69"/>
      <c r="U341" s="69"/>
      <c r="V341" s="69"/>
    </row>
    <row r="342" spans="1:22" s="11" customFormat="1" x14ac:dyDescent="0.2">
      <c r="A342" s="47"/>
      <c r="B342" s="30" t="s">
        <v>1</v>
      </c>
      <c r="C342" s="30" t="s">
        <v>1</v>
      </c>
      <c r="D342" s="12">
        <f>E342+F342+G342+H342+I342</f>
        <v>350</v>
      </c>
      <c r="E342" s="13">
        <f>4681.72-4331.72</f>
        <v>350</v>
      </c>
      <c r="F342" s="13"/>
      <c r="G342" s="13"/>
      <c r="H342" s="13"/>
      <c r="I342" s="13"/>
      <c r="J342" s="69"/>
      <c r="K342" s="69"/>
      <c r="L342" s="69"/>
      <c r="M342" s="69"/>
      <c r="N342" s="69"/>
      <c r="O342" s="69"/>
      <c r="P342" s="69"/>
      <c r="Q342" s="77"/>
      <c r="R342" s="69"/>
      <c r="S342" s="69"/>
      <c r="T342" s="69"/>
      <c r="U342" s="69"/>
      <c r="V342" s="69"/>
    </row>
    <row r="343" spans="1:22" s="11" customFormat="1" x14ac:dyDescent="0.2">
      <c r="A343" s="47"/>
      <c r="B343" s="30" t="s">
        <v>2</v>
      </c>
      <c r="C343" s="30" t="s">
        <v>2</v>
      </c>
      <c r="D343" s="12">
        <f>E343+F343+G343+H343+I343</f>
        <v>0</v>
      </c>
      <c r="E343" s="13"/>
      <c r="F343" s="13"/>
      <c r="G343" s="13"/>
      <c r="H343" s="13"/>
      <c r="I343" s="13"/>
      <c r="J343" s="69"/>
      <c r="K343" s="69"/>
      <c r="L343" s="69"/>
      <c r="M343" s="69"/>
      <c r="N343" s="69"/>
      <c r="O343" s="69"/>
      <c r="P343" s="69"/>
      <c r="Q343" s="77"/>
      <c r="R343" s="69"/>
      <c r="S343" s="69"/>
      <c r="T343" s="69"/>
      <c r="U343" s="69"/>
      <c r="V343" s="69"/>
    </row>
    <row r="344" spans="1:22" s="11" customFormat="1" ht="21" customHeight="1" x14ac:dyDescent="0.2">
      <c r="A344" s="48"/>
      <c r="B344" s="30" t="s">
        <v>3</v>
      </c>
      <c r="C344" s="30" t="s">
        <v>3</v>
      </c>
      <c r="D344" s="12">
        <f>E344+F344+G344+H344+I344</f>
        <v>0</v>
      </c>
      <c r="E344" s="13"/>
      <c r="F344" s="13"/>
      <c r="G344" s="13"/>
      <c r="H344" s="13"/>
      <c r="I344" s="13"/>
      <c r="J344" s="69"/>
      <c r="K344" s="69"/>
      <c r="L344" s="69"/>
      <c r="M344" s="69"/>
      <c r="N344" s="69"/>
      <c r="O344" s="69"/>
      <c r="P344" s="69"/>
      <c r="Q344" s="77"/>
      <c r="R344" s="69"/>
      <c r="S344" s="69"/>
      <c r="T344" s="69"/>
      <c r="U344" s="69"/>
      <c r="V344" s="69"/>
    </row>
    <row r="345" spans="1:22" s="11" customFormat="1" x14ac:dyDescent="0.2">
      <c r="A345" s="46" t="s">
        <v>204</v>
      </c>
      <c r="B345" s="24" t="s">
        <v>21</v>
      </c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5"/>
    </row>
    <row r="346" spans="1:22" s="11" customFormat="1" x14ac:dyDescent="0.2">
      <c r="A346" s="47" t="s">
        <v>30</v>
      </c>
      <c r="B346" s="26" t="s">
        <v>202</v>
      </c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</row>
    <row r="347" spans="1:22" s="11" customFormat="1" ht="49.5" customHeight="1" x14ac:dyDescent="0.2">
      <c r="A347" s="47"/>
      <c r="B347" s="54" t="s">
        <v>658</v>
      </c>
      <c r="C347" s="55" t="s">
        <v>411</v>
      </c>
      <c r="D347" s="55"/>
      <c r="E347" s="55"/>
      <c r="F347" s="55"/>
      <c r="G347" s="55"/>
      <c r="H347" s="55"/>
      <c r="I347" s="56"/>
      <c r="J347" s="69" t="s">
        <v>364</v>
      </c>
      <c r="K347" s="69"/>
      <c r="L347" s="69" t="s">
        <v>203</v>
      </c>
      <c r="M347" s="69"/>
      <c r="N347" s="69" t="s">
        <v>656</v>
      </c>
      <c r="O347" s="69" t="s">
        <v>21</v>
      </c>
      <c r="P347" s="69" t="s">
        <v>656</v>
      </c>
      <c r="Q347" s="77" t="s">
        <v>657</v>
      </c>
      <c r="R347" s="69" t="s">
        <v>11</v>
      </c>
      <c r="S347" s="69" t="s">
        <v>112</v>
      </c>
      <c r="T347" s="69" t="s">
        <v>17</v>
      </c>
      <c r="U347" s="69"/>
      <c r="V347" s="69"/>
    </row>
    <row r="348" spans="1:22" s="11" customFormat="1" x14ac:dyDescent="0.2">
      <c r="A348" s="47"/>
      <c r="B348" s="30" t="s">
        <v>5</v>
      </c>
      <c r="C348" s="30" t="s">
        <v>5</v>
      </c>
      <c r="D348" s="12">
        <f>SUM(D349:D352)</f>
        <v>1600</v>
      </c>
      <c r="E348" s="13">
        <f>SUM(E349:E352)</f>
        <v>1600</v>
      </c>
      <c r="F348" s="13"/>
      <c r="G348" s="13"/>
      <c r="H348" s="13"/>
      <c r="I348" s="13"/>
      <c r="J348" s="69"/>
      <c r="K348" s="69"/>
      <c r="L348" s="69"/>
      <c r="M348" s="69"/>
      <c r="N348" s="69"/>
      <c r="O348" s="69"/>
      <c r="P348" s="69"/>
      <c r="Q348" s="77"/>
      <c r="R348" s="69"/>
      <c r="S348" s="69"/>
      <c r="T348" s="69"/>
      <c r="U348" s="69"/>
      <c r="V348" s="69"/>
    </row>
    <row r="349" spans="1:22" s="11" customFormat="1" x14ac:dyDescent="0.2">
      <c r="A349" s="47"/>
      <c r="B349" s="30" t="s">
        <v>0</v>
      </c>
      <c r="C349" s="30" t="s">
        <v>0</v>
      </c>
      <c r="D349" s="12">
        <f>E349+F349+G349+H349+I349</f>
        <v>0</v>
      </c>
      <c r="E349" s="13"/>
      <c r="F349" s="13"/>
      <c r="G349" s="13"/>
      <c r="H349" s="13"/>
      <c r="I349" s="13"/>
      <c r="J349" s="69"/>
      <c r="K349" s="69"/>
      <c r="L349" s="69"/>
      <c r="M349" s="69"/>
      <c r="N349" s="69"/>
      <c r="O349" s="69"/>
      <c r="P349" s="69"/>
      <c r="Q349" s="77"/>
      <c r="R349" s="69"/>
      <c r="S349" s="69"/>
      <c r="T349" s="69"/>
      <c r="U349" s="69"/>
      <c r="V349" s="69"/>
    </row>
    <row r="350" spans="1:22" s="11" customFormat="1" x14ac:dyDescent="0.2">
      <c r="A350" s="47"/>
      <c r="B350" s="30" t="s">
        <v>1</v>
      </c>
      <c r="C350" s="30" t="s">
        <v>1</v>
      </c>
      <c r="D350" s="12">
        <f>E350+F350+G350+H350+I350</f>
        <v>1600</v>
      </c>
      <c r="E350" s="13">
        <f>0+1600</f>
        <v>1600</v>
      </c>
      <c r="F350" s="13"/>
      <c r="G350" s="13"/>
      <c r="H350" s="13"/>
      <c r="I350" s="13"/>
      <c r="J350" s="69"/>
      <c r="K350" s="69"/>
      <c r="L350" s="69"/>
      <c r="M350" s="69"/>
      <c r="N350" s="69"/>
      <c r="O350" s="69"/>
      <c r="P350" s="69"/>
      <c r="Q350" s="77"/>
      <c r="R350" s="69"/>
      <c r="S350" s="69"/>
      <c r="T350" s="69"/>
      <c r="U350" s="69"/>
      <c r="V350" s="69"/>
    </row>
    <row r="351" spans="1:22" s="11" customFormat="1" x14ac:dyDescent="0.2">
      <c r="A351" s="47"/>
      <c r="B351" s="30" t="s">
        <v>2</v>
      </c>
      <c r="C351" s="30" t="s">
        <v>2</v>
      </c>
      <c r="D351" s="12">
        <f>E351+F351+G351+H351+I351</f>
        <v>0</v>
      </c>
      <c r="E351" s="13"/>
      <c r="F351" s="13"/>
      <c r="G351" s="13"/>
      <c r="H351" s="13"/>
      <c r="I351" s="13"/>
      <c r="J351" s="69"/>
      <c r="K351" s="69"/>
      <c r="L351" s="69"/>
      <c r="M351" s="69"/>
      <c r="N351" s="69"/>
      <c r="O351" s="69"/>
      <c r="P351" s="69"/>
      <c r="Q351" s="77"/>
      <c r="R351" s="69"/>
      <c r="S351" s="69"/>
      <c r="T351" s="69"/>
      <c r="U351" s="69"/>
      <c r="V351" s="69"/>
    </row>
    <row r="352" spans="1:22" s="11" customFormat="1" ht="21" customHeight="1" x14ac:dyDescent="0.2">
      <c r="A352" s="47"/>
      <c r="B352" s="81" t="s">
        <v>3</v>
      </c>
      <c r="C352" s="81" t="s">
        <v>3</v>
      </c>
      <c r="D352" s="17">
        <f>E352+F352+G352+H352+I352</f>
        <v>0</v>
      </c>
      <c r="E352" s="18"/>
      <c r="F352" s="18"/>
      <c r="G352" s="18"/>
      <c r="H352" s="18"/>
      <c r="I352" s="18"/>
      <c r="J352" s="43"/>
      <c r="K352" s="43"/>
      <c r="L352" s="43"/>
      <c r="M352" s="43"/>
      <c r="N352" s="43"/>
      <c r="O352" s="43"/>
      <c r="P352" s="43"/>
      <c r="Q352" s="63"/>
      <c r="R352" s="43"/>
      <c r="S352" s="43"/>
      <c r="T352" s="43"/>
      <c r="U352" s="43"/>
      <c r="V352" s="43"/>
    </row>
    <row r="353" spans="1:22" s="11" customFormat="1" ht="14.25" customHeight="1" x14ac:dyDescent="0.2">
      <c r="A353" s="46" t="s">
        <v>205</v>
      </c>
      <c r="B353" s="24" t="s">
        <v>21</v>
      </c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5"/>
    </row>
    <row r="354" spans="1:22" s="11" customFormat="1" ht="13.5" customHeight="1" x14ac:dyDescent="0.2">
      <c r="A354" s="47" t="s">
        <v>30</v>
      </c>
      <c r="B354" s="26" t="s">
        <v>202</v>
      </c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</row>
    <row r="355" spans="1:22" s="11" customFormat="1" ht="60" customHeight="1" x14ac:dyDescent="0.2">
      <c r="A355" s="47"/>
      <c r="B355" s="54" t="s">
        <v>655</v>
      </c>
      <c r="C355" s="55" t="s">
        <v>411</v>
      </c>
      <c r="D355" s="55"/>
      <c r="E355" s="55"/>
      <c r="F355" s="55"/>
      <c r="G355" s="55"/>
      <c r="H355" s="55"/>
      <c r="I355" s="56"/>
      <c r="J355" s="69" t="s">
        <v>364</v>
      </c>
      <c r="K355" s="69"/>
      <c r="L355" s="69" t="s">
        <v>203</v>
      </c>
      <c r="M355" s="69"/>
      <c r="N355" s="69" t="s">
        <v>656</v>
      </c>
      <c r="O355" s="69" t="s">
        <v>21</v>
      </c>
      <c r="P355" s="69" t="s">
        <v>656</v>
      </c>
      <c r="Q355" s="77" t="s">
        <v>659</v>
      </c>
      <c r="R355" s="69" t="s">
        <v>11</v>
      </c>
      <c r="S355" s="69" t="s">
        <v>154</v>
      </c>
      <c r="T355" s="69" t="s">
        <v>17</v>
      </c>
      <c r="U355" s="69"/>
      <c r="V355" s="69"/>
    </row>
    <row r="356" spans="1:22" s="11" customFormat="1" ht="12.75" customHeight="1" x14ac:dyDescent="0.2">
      <c r="A356" s="47"/>
      <c r="B356" s="30" t="s">
        <v>5</v>
      </c>
      <c r="C356" s="30" t="s">
        <v>5</v>
      </c>
      <c r="D356" s="12">
        <f>SUM(D357:D360)</f>
        <v>2000</v>
      </c>
      <c r="E356" s="13">
        <f>SUM(E357:E360)</f>
        <v>2000</v>
      </c>
      <c r="F356" s="13"/>
      <c r="G356" s="13"/>
      <c r="H356" s="13"/>
      <c r="I356" s="13"/>
      <c r="J356" s="69"/>
      <c r="K356" s="69"/>
      <c r="L356" s="69"/>
      <c r="M356" s="69"/>
      <c r="N356" s="69"/>
      <c r="O356" s="69"/>
      <c r="P356" s="69"/>
      <c r="Q356" s="77"/>
      <c r="R356" s="69"/>
      <c r="S356" s="69"/>
      <c r="T356" s="69"/>
      <c r="U356" s="69"/>
      <c r="V356" s="69"/>
    </row>
    <row r="357" spans="1:22" s="11" customFormat="1" ht="13.5" customHeight="1" x14ac:dyDescent="0.2">
      <c r="A357" s="47"/>
      <c r="B357" s="30" t="s">
        <v>0</v>
      </c>
      <c r="C357" s="30" t="s">
        <v>0</v>
      </c>
      <c r="D357" s="12">
        <f>E357+F357+G357+H357+I357</f>
        <v>0</v>
      </c>
      <c r="E357" s="13"/>
      <c r="F357" s="13"/>
      <c r="G357" s="13"/>
      <c r="H357" s="13"/>
      <c r="I357" s="13"/>
      <c r="J357" s="69"/>
      <c r="K357" s="69"/>
      <c r="L357" s="69"/>
      <c r="M357" s="69"/>
      <c r="N357" s="69"/>
      <c r="O357" s="69"/>
      <c r="P357" s="69"/>
      <c r="Q357" s="77"/>
      <c r="R357" s="69"/>
      <c r="S357" s="69"/>
      <c r="T357" s="69"/>
      <c r="U357" s="69"/>
      <c r="V357" s="69"/>
    </row>
    <row r="358" spans="1:22" s="11" customFormat="1" ht="12" customHeight="1" x14ac:dyDescent="0.2">
      <c r="A358" s="47"/>
      <c r="B358" s="30" t="s">
        <v>1</v>
      </c>
      <c r="C358" s="30" t="s">
        <v>1</v>
      </c>
      <c r="D358" s="12">
        <f>E358+F358+G358+H358+I358</f>
        <v>2000</v>
      </c>
      <c r="E358" s="13">
        <f>0+2000</f>
        <v>2000</v>
      </c>
      <c r="F358" s="13"/>
      <c r="G358" s="13"/>
      <c r="H358" s="13"/>
      <c r="I358" s="13"/>
      <c r="J358" s="69"/>
      <c r="K358" s="69"/>
      <c r="L358" s="69"/>
      <c r="M358" s="69"/>
      <c r="N358" s="69"/>
      <c r="O358" s="69"/>
      <c r="P358" s="69"/>
      <c r="Q358" s="77"/>
      <c r="R358" s="69"/>
      <c r="S358" s="69"/>
      <c r="T358" s="69"/>
      <c r="U358" s="69"/>
      <c r="V358" s="69"/>
    </row>
    <row r="359" spans="1:22" s="11" customFormat="1" ht="14.25" customHeight="1" x14ac:dyDescent="0.2">
      <c r="A359" s="47"/>
      <c r="B359" s="30" t="s">
        <v>2</v>
      </c>
      <c r="C359" s="30" t="s">
        <v>2</v>
      </c>
      <c r="D359" s="12">
        <f>E359+F359+G359+H359+I359</f>
        <v>0</v>
      </c>
      <c r="E359" s="13"/>
      <c r="F359" s="13"/>
      <c r="G359" s="13"/>
      <c r="H359" s="13"/>
      <c r="I359" s="13"/>
      <c r="J359" s="69"/>
      <c r="K359" s="69"/>
      <c r="L359" s="69"/>
      <c r="M359" s="69"/>
      <c r="N359" s="69"/>
      <c r="O359" s="69"/>
      <c r="P359" s="69"/>
      <c r="Q359" s="77"/>
      <c r="R359" s="69"/>
      <c r="S359" s="69"/>
      <c r="T359" s="69"/>
      <c r="U359" s="69"/>
      <c r="V359" s="69"/>
    </row>
    <row r="360" spans="1:22" s="11" customFormat="1" ht="14.25" customHeight="1" x14ac:dyDescent="0.2">
      <c r="A360" s="47"/>
      <c r="B360" s="81" t="s">
        <v>3</v>
      </c>
      <c r="C360" s="81" t="s">
        <v>3</v>
      </c>
      <c r="D360" s="17">
        <f>E360+F360+G360+H360+I360</f>
        <v>0</v>
      </c>
      <c r="E360" s="18"/>
      <c r="F360" s="18"/>
      <c r="G360" s="18"/>
      <c r="H360" s="18"/>
      <c r="I360" s="18"/>
      <c r="J360" s="43"/>
      <c r="K360" s="43"/>
      <c r="L360" s="43"/>
      <c r="M360" s="43"/>
      <c r="N360" s="43"/>
      <c r="O360" s="43"/>
      <c r="P360" s="43"/>
      <c r="Q360" s="63"/>
      <c r="R360" s="43"/>
      <c r="S360" s="43"/>
      <c r="T360" s="43"/>
      <c r="U360" s="43"/>
      <c r="V360" s="43"/>
    </row>
    <row r="361" spans="1:22" s="11" customFormat="1" ht="14.25" customHeight="1" x14ac:dyDescent="0.2">
      <c r="A361" s="46" t="s">
        <v>541</v>
      </c>
      <c r="B361" s="24" t="s">
        <v>16</v>
      </c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5"/>
    </row>
    <row r="362" spans="1:22" s="11" customFormat="1" ht="14.25" customHeight="1" x14ac:dyDescent="0.2">
      <c r="A362" s="47" t="s">
        <v>30</v>
      </c>
      <c r="B362" s="26" t="s">
        <v>202</v>
      </c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</row>
    <row r="363" spans="1:22" s="11" customFormat="1" ht="58.5" customHeight="1" x14ac:dyDescent="0.2">
      <c r="A363" s="47"/>
      <c r="B363" s="54" t="s">
        <v>660</v>
      </c>
      <c r="C363" s="55" t="s">
        <v>411</v>
      </c>
      <c r="D363" s="55"/>
      <c r="E363" s="55"/>
      <c r="F363" s="55"/>
      <c r="G363" s="55"/>
      <c r="H363" s="55"/>
      <c r="I363" s="56"/>
      <c r="J363" s="69" t="s">
        <v>661</v>
      </c>
      <c r="K363" s="69" t="s">
        <v>662</v>
      </c>
      <c r="L363" s="69" t="s">
        <v>60</v>
      </c>
      <c r="M363" s="43"/>
      <c r="N363" s="69" t="s">
        <v>663</v>
      </c>
      <c r="O363" s="69" t="s">
        <v>16</v>
      </c>
      <c r="P363" s="69" t="s">
        <v>663</v>
      </c>
      <c r="Q363" s="77" t="s">
        <v>664</v>
      </c>
      <c r="R363" s="69" t="s">
        <v>11</v>
      </c>
      <c r="S363" s="69" t="s">
        <v>10</v>
      </c>
      <c r="T363" s="69" t="s">
        <v>17</v>
      </c>
      <c r="U363" s="69"/>
      <c r="V363" s="69"/>
    </row>
    <row r="364" spans="1:22" s="11" customFormat="1" ht="14.25" customHeight="1" x14ac:dyDescent="0.2">
      <c r="A364" s="47"/>
      <c r="B364" s="30" t="s">
        <v>5</v>
      </c>
      <c r="C364" s="30" t="s">
        <v>5</v>
      </c>
      <c r="D364" s="12">
        <f>SUM(D365:D368)</f>
        <v>20953.599999999999</v>
      </c>
      <c r="E364" s="13">
        <f>SUM(E365:E368)</f>
        <v>20953.599999999999</v>
      </c>
      <c r="F364" s="13"/>
      <c r="G364" s="13"/>
      <c r="H364" s="13"/>
      <c r="I364" s="13"/>
      <c r="J364" s="69"/>
      <c r="K364" s="69"/>
      <c r="L364" s="69"/>
      <c r="M364" s="44"/>
      <c r="N364" s="69"/>
      <c r="O364" s="69"/>
      <c r="P364" s="69"/>
      <c r="Q364" s="77"/>
      <c r="R364" s="69"/>
      <c r="S364" s="69"/>
      <c r="T364" s="69"/>
      <c r="U364" s="69"/>
      <c r="V364" s="69"/>
    </row>
    <row r="365" spans="1:22" s="11" customFormat="1" ht="14.25" customHeight="1" x14ac:dyDescent="0.2">
      <c r="A365" s="47"/>
      <c r="B365" s="30" t="s">
        <v>0</v>
      </c>
      <c r="C365" s="30" t="s">
        <v>0</v>
      </c>
      <c r="D365" s="12">
        <f>E365+F365+G365+H365+I365</f>
        <v>0</v>
      </c>
      <c r="E365" s="13"/>
      <c r="F365" s="13"/>
      <c r="G365" s="13"/>
      <c r="H365" s="13"/>
      <c r="I365" s="13"/>
      <c r="J365" s="69"/>
      <c r="K365" s="69"/>
      <c r="L365" s="69"/>
      <c r="M365" s="44"/>
      <c r="N365" s="69"/>
      <c r="O365" s="69"/>
      <c r="P365" s="69"/>
      <c r="Q365" s="77"/>
      <c r="R365" s="69"/>
      <c r="S365" s="69"/>
      <c r="T365" s="69"/>
      <c r="U365" s="69"/>
      <c r="V365" s="69"/>
    </row>
    <row r="366" spans="1:22" s="11" customFormat="1" ht="14.25" customHeight="1" x14ac:dyDescent="0.2">
      <c r="A366" s="47"/>
      <c r="B366" s="30" t="s">
        <v>1</v>
      </c>
      <c r="C366" s="30" t="s">
        <v>1</v>
      </c>
      <c r="D366" s="12">
        <f>E366+F366+G366+H366+I366</f>
        <v>20953.599999999999</v>
      </c>
      <c r="E366" s="13">
        <f>0+20953.6</f>
        <v>20953.599999999999</v>
      </c>
      <c r="F366" s="13"/>
      <c r="G366" s="13"/>
      <c r="H366" s="13"/>
      <c r="I366" s="13"/>
      <c r="J366" s="69"/>
      <c r="K366" s="69"/>
      <c r="L366" s="69"/>
      <c r="M366" s="44"/>
      <c r="N366" s="69"/>
      <c r="O366" s="69"/>
      <c r="P366" s="69"/>
      <c r="Q366" s="77"/>
      <c r="R366" s="69"/>
      <c r="S366" s="69"/>
      <c r="T366" s="69"/>
      <c r="U366" s="69"/>
      <c r="V366" s="69"/>
    </row>
    <row r="367" spans="1:22" s="11" customFormat="1" ht="14.25" customHeight="1" x14ac:dyDescent="0.2">
      <c r="A367" s="47"/>
      <c r="B367" s="30" t="s">
        <v>2</v>
      </c>
      <c r="C367" s="30" t="s">
        <v>2</v>
      </c>
      <c r="D367" s="12">
        <f>E367+F367+G367+H367+I367</f>
        <v>0</v>
      </c>
      <c r="E367" s="13"/>
      <c r="F367" s="13"/>
      <c r="G367" s="13"/>
      <c r="H367" s="13"/>
      <c r="I367" s="13"/>
      <c r="J367" s="69"/>
      <c r="K367" s="69"/>
      <c r="L367" s="69"/>
      <c r="M367" s="44"/>
      <c r="N367" s="69"/>
      <c r="O367" s="69"/>
      <c r="P367" s="69"/>
      <c r="Q367" s="77"/>
      <c r="R367" s="69"/>
      <c r="S367" s="69"/>
      <c r="T367" s="69"/>
      <c r="U367" s="69"/>
      <c r="V367" s="69"/>
    </row>
    <row r="368" spans="1:22" s="11" customFormat="1" ht="14.25" customHeight="1" x14ac:dyDescent="0.2">
      <c r="A368" s="47"/>
      <c r="B368" s="81" t="s">
        <v>3</v>
      </c>
      <c r="C368" s="81" t="s">
        <v>3</v>
      </c>
      <c r="D368" s="17">
        <f>E368+F368+G368+H368+I368</f>
        <v>0</v>
      </c>
      <c r="E368" s="18"/>
      <c r="F368" s="18"/>
      <c r="G368" s="18"/>
      <c r="H368" s="18"/>
      <c r="I368" s="18"/>
      <c r="J368" s="43"/>
      <c r="K368" s="43"/>
      <c r="L368" s="43"/>
      <c r="M368" s="44"/>
      <c r="N368" s="43"/>
      <c r="O368" s="43"/>
      <c r="P368" s="43"/>
      <c r="Q368" s="63"/>
      <c r="R368" s="43"/>
      <c r="S368" s="43"/>
      <c r="T368" s="43"/>
      <c r="U368" s="43"/>
      <c r="V368" s="43"/>
    </row>
    <row r="369" spans="1:22" s="11" customFormat="1" x14ac:dyDescent="0.2">
      <c r="A369" s="46" t="s">
        <v>665</v>
      </c>
      <c r="B369" s="105" t="s">
        <v>18</v>
      </c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6"/>
    </row>
    <row r="370" spans="1:22" s="11" customFormat="1" x14ac:dyDescent="0.2">
      <c r="A370" s="47" t="s">
        <v>30</v>
      </c>
      <c r="B370" s="82" t="s">
        <v>206</v>
      </c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</row>
    <row r="371" spans="1:22" s="11" customFormat="1" ht="60" customHeight="1" x14ac:dyDescent="0.2">
      <c r="A371" s="47"/>
      <c r="B371" s="60" t="s">
        <v>207</v>
      </c>
      <c r="C371" s="61" t="s">
        <v>207</v>
      </c>
      <c r="D371" s="61"/>
      <c r="E371" s="61"/>
      <c r="F371" s="61"/>
      <c r="G371" s="61"/>
      <c r="H371" s="61"/>
      <c r="I371" s="62"/>
      <c r="J371" s="57"/>
      <c r="K371" s="57" t="s">
        <v>66</v>
      </c>
      <c r="L371" s="86" t="s">
        <v>60</v>
      </c>
      <c r="M371" s="57"/>
      <c r="N371" s="57" t="s">
        <v>58</v>
      </c>
      <c r="O371" s="57"/>
      <c r="P371" s="57" t="s">
        <v>64</v>
      </c>
      <c r="Q371" s="85"/>
      <c r="R371" s="57" t="s">
        <v>9</v>
      </c>
      <c r="S371" s="57" t="s">
        <v>58</v>
      </c>
      <c r="T371" s="57" t="s">
        <v>17</v>
      </c>
      <c r="U371" s="57"/>
      <c r="V371" s="57"/>
    </row>
    <row r="372" spans="1:22" s="11" customFormat="1" x14ac:dyDescent="0.2">
      <c r="A372" s="47"/>
      <c r="B372" s="59" t="s">
        <v>5</v>
      </c>
      <c r="C372" s="59" t="s">
        <v>5</v>
      </c>
      <c r="D372" s="9">
        <f>SUM(D373:D376)</f>
        <v>295704.59999999998</v>
      </c>
      <c r="E372" s="10">
        <f t="shared" ref="E372" si="46">SUM(E373:E376)</f>
        <v>0</v>
      </c>
      <c r="F372" s="10">
        <f t="shared" ref="F372:G372" si="47">SUM(F373:F376)</f>
        <v>160120.59999999998</v>
      </c>
      <c r="G372" s="10">
        <f t="shared" si="47"/>
        <v>135584</v>
      </c>
      <c r="H372" s="10"/>
      <c r="I372" s="10"/>
      <c r="J372" s="57"/>
      <c r="K372" s="57"/>
      <c r="L372" s="87"/>
      <c r="M372" s="57"/>
      <c r="N372" s="57"/>
      <c r="O372" s="57"/>
      <c r="P372" s="57"/>
      <c r="Q372" s="85"/>
      <c r="R372" s="57"/>
      <c r="S372" s="57"/>
      <c r="T372" s="57"/>
      <c r="U372" s="57"/>
      <c r="V372" s="57"/>
    </row>
    <row r="373" spans="1:22" s="11" customFormat="1" x14ac:dyDescent="0.2">
      <c r="A373" s="47"/>
      <c r="B373" s="59" t="s">
        <v>0</v>
      </c>
      <c r="C373" s="59" t="s">
        <v>0</v>
      </c>
      <c r="D373" s="9">
        <f>E373+F373+G373+H373+I373</f>
        <v>265704.59999999998</v>
      </c>
      <c r="E373" s="10"/>
      <c r="F373" s="10">
        <f>130322.4-201.8</f>
        <v>130120.59999999999</v>
      </c>
      <c r="G373" s="10">
        <f>0+135584</f>
        <v>135584</v>
      </c>
      <c r="H373" s="10"/>
      <c r="I373" s="10"/>
      <c r="J373" s="57"/>
      <c r="K373" s="57"/>
      <c r="L373" s="87"/>
      <c r="M373" s="57"/>
      <c r="N373" s="57"/>
      <c r="O373" s="57"/>
      <c r="P373" s="57"/>
      <c r="Q373" s="85"/>
      <c r="R373" s="57"/>
      <c r="S373" s="57"/>
      <c r="T373" s="57"/>
      <c r="U373" s="57"/>
      <c r="V373" s="57"/>
    </row>
    <row r="374" spans="1:22" s="11" customFormat="1" x14ac:dyDescent="0.2">
      <c r="A374" s="47"/>
      <c r="B374" s="59" t="s">
        <v>1</v>
      </c>
      <c r="C374" s="59" t="s">
        <v>1</v>
      </c>
      <c r="D374" s="9">
        <f>E374+F374+G374+H374+I374</f>
        <v>30000</v>
      </c>
      <c r="E374" s="10"/>
      <c r="F374" s="10">
        <v>30000</v>
      </c>
      <c r="G374" s="10"/>
      <c r="H374" s="10"/>
      <c r="I374" s="10"/>
      <c r="J374" s="57"/>
      <c r="K374" s="57"/>
      <c r="L374" s="87"/>
      <c r="M374" s="57"/>
      <c r="N374" s="57"/>
      <c r="O374" s="57"/>
      <c r="P374" s="57"/>
      <c r="Q374" s="85"/>
      <c r="R374" s="57"/>
      <c r="S374" s="57"/>
      <c r="T374" s="57"/>
      <c r="U374" s="57"/>
      <c r="V374" s="57"/>
    </row>
    <row r="375" spans="1:22" x14ac:dyDescent="0.2">
      <c r="A375" s="47"/>
      <c r="B375" s="59" t="s">
        <v>2</v>
      </c>
      <c r="C375" s="59" t="s">
        <v>2</v>
      </c>
      <c r="D375" s="9">
        <f>E375+F375+G375+H375+I375</f>
        <v>0</v>
      </c>
      <c r="E375" s="10"/>
      <c r="F375" s="10"/>
      <c r="G375" s="10"/>
      <c r="H375" s="10"/>
      <c r="I375" s="10"/>
      <c r="J375" s="57"/>
      <c r="K375" s="57"/>
      <c r="L375" s="87"/>
      <c r="M375" s="57"/>
      <c r="N375" s="57"/>
      <c r="O375" s="57"/>
      <c r="P375" s="57"/>
      <c r="Q375" s="85"/>
      <c r="R375" s="57"/>
      <c r="S375" s="57"/>
      <c r="T375" s="57"/>
      <c r="U375" s="57"/>
      <c r="V375" s="57"/>
    </row>
    <row r="376" spans="1:22" s="11" customFormat="1" ht="21" customHeight="1" x14ac:dyDescent="0.2">
      <c r="A376" s="47"/>
      <c r="B376" s="59" t="s">
        <v>3</v>
      </c>
      <c r="C376" s="59" t="s">
        <v>3</v>
      </c>
      <c r="D376" s="9">
        <f>E376+F376+G376+H376+I376</f>
        <v>0</v>
      </c>
      <c r="E376" s="10"/>
      <c r="F376" s="10"/>
      <c r="G376" s="10"/>
      <c r="H376" s="10"/>
      <c r="I376" s="10"/>
      <c r="J376" s="57"/>
      <c r="K376" s="57"/>
      <c r="L376" s="88"/>
      <c r="M376" s="57"/>
      <c r="N376" s="57"/>
      <c r="O376" s="57"/>
      <c r="P376" s="57"/>
      <c r="Q376" s="85"/>
      <c r="R376" s="57"/>
      <c r="S376" s="57"/>
      <c r="T376" s="57"/>
      <c r="U376" s="57"/>
      <c r="V376" s="57"/>
    </row>
    <row r="377" spans="1:22" s="11" customFormat="1" x14ac:dyDescent="0.2">
      <c r="A377" s="46" t="s">
        <v>666</v>
      </c>
      <c r="B377" s="24" t="s">
        <v>543</v>
      </c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5"/>
    </row>
    <row r="378" spans="1:22" s="11" customFormat="1" x14ac:dyDescent="0.2">
      <c r="A378" s="47" t="s">
        <v>30</v>
      </c>
      <c r="B378" s="82" t="s">
        <v>206</v>
      </c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</row>
    <row r="379" spans="1:22" s="11" customFormat="1" ht="62.25" customHeight="1" x14ac:dyDescent="0.2">
      <c r="A379" s="47"/>
      <c r="B379" s="54" t="s">
        <v>542</v>
      </c>
      <c r="C379" s="55" t="s">
        <v>207</v>
      </c>
      <c r="D379" s="55"/>
      <c r="E379" s="55"/>
      <c r="F379" s="55"/>
      <c r="G379" s="55"/>
      <c r="H379" s="55"/>
      <c r="I379" s="56"/>
      <c r="J379" s="69" t="s">
        <v>117</v>
      </c>
      <c r="K379" s="69" t="s">
        <v>66</v>
      </c>
      <c r="L379" s="69" t="s">
        <v>61</v>
      </c>
      <c r="M379" s="69"/>
      <c r="N379" s="69" t="s">
        <v>578</v>
      </c>
      <c r="O379" s="69" t="s">
        <v>543</v>
      </c>
      <c r="P379" s="69" t="s">
        <v>578</v>
      </c>
      <c r="Q379" s="77"/>
      <c r="R379" s="69" t="s">
        <v>9</v>
      </c>
      <c r="S379" s="69" t="s">
        <v>12</v>
      </c>
      <c r="T379" s="69" t="s">
        <v>171</v>
      </c>
      <c r="U379" s="69"/>
      <c r="V379" s="69"/>
    </row>
    <row r="380" spans="1:22" s="11" customFormat="1" x14ac:dyDescent="0.2">
      <c r="A380" s="47"/>
      <c r="B380" s="30" t="s">
        <v>5</v>
      </c>
      <c r="C380" s="30" t="s">
        <v>5</v>
      </c>
      <c r="D380" s="12">
        <f>SUM(D381:D384)</f>
        <v>2845.06</v>
      </c>
      <c r="E380" s="13">
        <f t="shared" ref="E380" si="48">SUM(E381:E384)</f>
        <v>2845.06</v>
      </c>
      <c r="F380" s="13"/>
      <c r="G380" s="13"/>
      <c r="H380" s="13"/>
      <c r="I380" s="13"/>
      <c r="J380" s="69"/>
      <c r="K380" s="69"/>
      <c r="L380" s="69"/>
      <c r="M380" s="69"/>
      <c r="N380" s="69"/>
      <c r="O380" s="69"/>
      <c r="P380" s="69"/>
      <c r="Q380" s="77"/>
      <c r="R380" s="69"/>
      <c r="S380" s="69"/>
      <c r="T380" s="69"/>
      <c r="U380" s="69"/>
      <c r="V380" s="69"/>
    </row>
    <row r="381" spans="1:22" s="11" customFormat="1" x14ac:dyDescent="0.2">
      <c r="A381" s="47"/>
      <c r="B381" s="30" t="s">
        <v>0</v>
      </c>
      <c r="C381" s="30" t="s">
        <v>0</v>
      </c>
      <c r="D381" s="12">
        <f>E381+F381+G381+H381+I381</f>
        <v>0</v>
      </c>
      <c r="E381" s="13"/>
      <c r="F381" s="13"/>
      <c r="G381" s="13"/>
      <c r="H381" s="13"/>
      <c r="I381" s="13"/>
      <c r="J381" s="69"/>
      <c r="K381" s="69"/>
      <c r="L381" s="69"/>
      <c r="M381" s="69"/>
      <c r="N381" s="69"/>
      <c r="O381" s="69"/>
      <c r="P381" s="69"/>
      <c r="Q381" s="77"/>
      <c r="R381" s="69"/>
      <c r="S381" s="69"/>
      <c r="T381" s="69"/>
      <c r="U381" s="69"/>
      <c r="V381" s="69"/>
    </row>
    <row r="382" spans="1:22" s="11" customFormat="1" x14ac:dyDescent="0.2">
      <c r="A382" s="47"/>
      <c r="B382" s="30" t="s">
        <v>1</v>
      </c>
      <c r="C382" s="30" t="s">
        <v>1</v>
      </c>
      <c r="D382" s="12">
        <f>E382+F382+G382+H382+I382</f>
        <v>2845.06</v>
      </c>
      <c r="E382" s="13">
        <f>0+2845.06</f>
        <v>2845.06</v>
      </c>
      <c r="F382" s="13"/>
      <c r="G382" s="13"/>
      <c r="H382" s="13"/>
      <c r="I382" s="13"/>
      <c r="J382" s="69"/>
      <c r="K382" s="69"/>
      <c r="L382" s="69"/>
      <c r="M382" s="69"/>
      <c r="N382" s="69"/>
      <c r="O382" s="69"/>
      <c r="P382" s="69"/>
      <c r="Q382" s="77"/>
      <c r="R382" s="69"/>
      <c r="S382" s="69"/>
      <c r="T382" s="69"/>
      <c r="U382" s="69"/>
      <c r="V382" s="69"/>
    </row>
    <row r="383" spans="1:22" x14ac:dyDescent="0.2">
      <c r="A383" s="47"/>
      <c r="B383" s="30" t="s">
        <v>2</v>
      </c>
      <c r="C383" s="30" t="s">
        <v>2</v>
      </c>
      <c r="D383" s="12">
        <f>E383+F383+G383+H383+I383</f>
        <v>0</v>
      </c>
      <c r="E383" s="13"/>
      <c r="F383" s="13"/>
      <c r="G383" s="13"/>
      <c r="H383" s="13"/>
      <c r="I383" s="13"/>
      <c r="J383" s="69"/>
      <c r="K383" s="69"/>
      <c r="L383" s="69"/>
      <c r="M383" s="69"/>
      <c r="N383" s="69"/>
      <c r="O383" s="69"/>
      <c r="P383" s="69"/>
      <c r="Q383" s="77"/>
      <c r="R383" s="69"/>
      <c r="S383" s="69"/>
      <c r="T383" s="69"/>
      <c r="U383" s="69"/>
      <c r="V383" s="69"/>
    </row>
    <row r="384" spans="1:22" s="11" customFormat="1" ht="21" customHeight="1" x14ac:dyDescent="0.2">
      <c r="A384" s="47"/>
      <c r="B384" s="30" t="s">
        <v>3</v>
      </c>
      <c r="C384" s="30" t="s">
        <v>3</v>
      </c>
      <c r="D384" s="12">
        <f>E384+F384+G384+H384+I384</f>
        <v>0</v>
      </c>
      <c r="E384" s="13"/>
      <c r="F384" s="13"/>
      <c r="G384" s="13"/>
      <c r="H384" s="13"/>
      <c r="I384" s="13"/>
      <c r="J384" s="69"/>
      <c r="K384" s="69"/>
      <c r="L384" s="69"/>
      <c r="M384" s="69"/>
      <c r="N384" s="69"/>
      <c r="O384" s="69"/>
      <c r="P384" s="69"/>
      <c r="Q384" s="77"/>
      <c r="R384" s="69"/>
      <c r="S384" s="69"/>
      <c r="T384" s="69"/>
      <c r="U384" s="69"/>
      <c r="V384" s="69"/>
    </row>
    <row r="385" spans="1:22" s="11" customFormat="1" x14ac:dyDescent="0.2">
      <c r="A385" s="46" t="s">
        <v>667</v>
      </c>
      <c r="B385" s="24" t="s">
        <v>21</v>
      </c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5"/>
    </row>
    <row r="386" spans="1:22" s="11" customFormat="1" x14ac:dyDescent="0.2">
      <c r="A386" s="47" t="s">
        <v>30</v>
      </c>
      <c r="B386" s="26" t="s">
        <v>202</v>
      </c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</row>
    <row r="387" spans="1:22" s="11" customFormat="1" ht="54" customHeight="1" x14ac:dyDescent="0.2">
      <c r="A387" s="47"/>
      <c r="B387" s="54" t="s">
        <v>544</v>
      </c>
      <c r="C387" s="55" t="s">
        <v>363</v>
      </c>
      <c r="D387" s="55"/>
      <c r="E387" s="55"/>
      <c r="F387" s="55"/>
      <c r="G387" s="55"/>
      <c r="H387" s="55"/>
      <c r="I387" s="56"/>
      <c r="J387" s="69" t="s">
        <v>364</v>
      </c>
      <c r="K387" s="69"/>
      <c r="L387" s="69" t="s">
        <v>203</v>
      </c>
      <c r="M387" s="69"/>
      <c r="N387" s="69" t="s">
        <v>134</v>
      </c>
      <c r="O387" s="69" t="s">
        <v>21</v>
      </c>
      <c r="P387" s="69" t="s">
        <v>134</v>
      </c>
      <c r="Q387" s="77" t="s">
        <v>365</v>
      </c>
      <c r="R387" s="69" t="s">
        <v>11</v>
      </c>
      <c r="S387" s="69" t="s">
        <v>12</v>
      </c>
      <c r="T387" s="69" t="s">
        <v>17</v>
      </c>
      <c r="U387" s="69"/>
      <c r="V387" s="69" t="s">
        <v>457</v>
      </c>
    </row>
    <row r="388" spans="1:22" s="11" customFormat="1" x14ac:dyDescent="0.2">
      <c r="A388" s="47"/>
      <c r="B388" s="30" t="s">
        <v>5</v>
      </c>
      <c r="C388" s="30" t="s">
        <v>5</v>
      </c>
      <c r="D388" s="12">
        <f>SUM(D389:D392)</f>
        <v>3019.3279699999998</v>
      </c>
      <c r="E388" s="13">
        <f>SUM(E389:E392)</f>
        <v>3019.3279699999998</v>
      </c>
      <c r="F388" s="13"/>
      <c r="G388" s="13"/>
      <c r="H388" s="13"/>
      <c r="I388" s="13"/>
      <c r="J388" s="69"/>
      <c r="K388" s="69"/>
      <c r="L388" s="69"/>
      <c r="M388" s="69"/>
      <c r="N388" s="69"/>
      <c r="O388" s="69"/>
      <c r="P388" s="69"/>
      <c r="Q388" s="77"/>
      <c r="R388" s="69"/>
      <c r="S388" s="69"/>
      <c r="T388" s="69"/>
      <c r="U388" s="69"/>
      <c r="V388" s="69"/>
    </row>
    <row r="389" spans="1:22" s="11" customFormat="1" x14ac:dyDescent="0.2">
      <c r="A389" s="47"/>
      <c r="B389" s="30" t="s">
        <v>0</v>
      </c>
      <c r="C389" s="30" t="s">
        <v>0</v>
      </c>
      <c r="D389" s="12">
        <f>E389+F389+G389+H389+I389</f>
        <v>0</v>
      </c>
      <c r="E389" s="13"/>
      <c r="F389" s="13"/>
      <c r="G389" s="13"/>
      <c r="H389" s="13"/>
      <c r="I389" s="13"/>
      <c r="J389" s="69"/>
      <c r="K389" s="69"/>
      <c r="L389" s="69"/>
      <c r="M389" s="69"/>
      <c r="N389" s="69"/>
      <c r="O389" s="69"/>
      <c r="P389" s="69"/>
      <c r="Q389" s="77"/>
      <c r="R389" s="69"/>
      <c r="S389" s="69"/>
      <c r="T389" s="69"/>
      <c r="U389" s="69"/>
      <c r="V389" s="69"/>
    </row>
    <row r="390" spans="1:22" s="11" customFormat="1" x14ac:dyDescent="0.2">
      <c r="A390" s="47"/>
      <c r="B390" s="30" t="s">
        <v>1</v>
      </c>
      <c r="C390" s="30" t="s">
        <v>1</v>
      </c>
      <c r="D390" s="12">
        <f>E390+F390+G390+H390+I390</f>
        <v>3019.3279699999998</v>
      </c>
      <c r="E390" s="13">
        <f>3038.8239-19.49593</f>
        <v>3019.3279699999998</v>
      </c>
      <c r="F390" s="13"/>
      <c r="G390" s="13"/>
      <c r="H390" s="13"/>
      <c r="I390" s="13"/>
      <c r="J390" s="69"/>
      <c r="K390" s="69"/>
      <c r="L390" s="69"/>
      <c r="M390" s="69"/>
      <c r="N390" s="69"/>
      <c r="O390" s="69"/>
      <c r="P390" s="69"/>
      <c r="Q390" s="77"/>
      <c r="R390" s="69"/>
      <c r="S390" s="69"/>
      <c r="T390" s="69"/>
      <c r="U390" s="69"/>
      <c r="V390" s="69"/>
    </row>
    <row r="391" spans="1:22" s="11" customFormat="1" x14ac:dyDescent="0.2">
      <c r="A391" s="47"/>
      <c r="B391" s="30" t="s">
        <v>2</v>
      </c>
      <c r="C391" s="30" t="s">
        <v>2</v>
      </c>
      <c r="D391" s="12">
        <f>E391+F391+G391+H391+I391</f>
        <v>0</v>
      </c>
      <c r="E391" s="13"/>
      <c r="F391" s="13"/>
      <c r="G391" s="13"/>
      <c r="H391" s="13"/>
      <c r="I391" s="13"/>
      <c r="J391" s="69"/>
      <c r="K391" s="69"/>
      <c r="L391" s="69"/>
      <c r="M391" s="69"/>
      <c r="N391" s="69"/>
      <c r="O391" s="69"/>
      <c r="P391" s="69"/>
      <c r="Q391" s="77"/>
      <c r="R391" s="69"/>
      <c r="S391" s="69"/>
      <c r="T391" s="69"/>
      <c r="U391" s="69"/>
      <c r="V391" s="69"/>
    </row>
    <row r="392" spans="1:22" s="11" customFormat="1" ht="21" customHeight="1" x14ac:dyDescent="0.2">
      <c r="A392" s="47"/>
      <c r="B392" s="30" t="s">
        <v>3</v>
      </c>
      <c r="C392" s="30" t="s">
        <v>3</v>
      </c>
      <c r="D392" s="12">
        <f>E392+F392+G392+H392+I392</f>
        <v>0</v>
      </c>
      <c r="E392" s="13"/>
      <c r="F392" s="13"/>
      <c r="G392" s="13"/>
      <c r="H392" s="13"/>
      <c r="I392" s="13"/>
      <c r="J392" s="69"/>
      <c r="K392" s="69"/>
      <c r="L392" s="69"/>
      <c r="M392" s="69"/>
      <c r="N392" s="69"/>
      <c r="O392" s="69"/>
      <c r="P392" s="69"/>
      <c r="Q392" s="77"/>
      <c r="R392" s="69"/>
      <c r="S392" s="69"/>
      <c r="T392" s="69"/>
      <c r="U392" s="69"/>
      <c r="V392" s="69"/>
    </row>
    <row r="393" spans="1:22" s="11" customFormat="1" x14ac:dyDescent="0.2">
      <c r="A393" s="31" t="s">
        <v>54</v>
      </c>
      <c r="B393" s="75" t="s">
        <v>91</v>
      </c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</row>
    <row r="394" spans="1:22" s="11" customFormat="1" ht="15" customHeight="1" x14ac:dyDescent="0.2">
      <c r="A394" s="32"/>
      <c r="B394" s="76" t="s">
        <v>5</v>
      </c>
      <c r="C394" s="76"/>
      <c r="D394" s="14">
        <f>SUM(D395:D398)</f>
        <v>2611076.4832000001</v>
      </c>
      <c r="E394" s="14">
        <f>SUM(E395:E399)</f>
        <v>2241133.1884600003</v>
      </c>
      <c r="F394" s="14">
        <f t="shared" ref="F394:I394" si="49">SUM(F395:F399)</f>
        <v>504061.89474000002</v>
      </c>
      <c r="G394" s="14">
        <f t="shared" si="49"/>
        <v>112201.60000000001</v>
      </c>
      <c r="H394" s="14">
        <f t="shared" si="49"/>
        <v>16892</v>
      </c>
      <c r="I394" s="14">
        <f t="shared" si="49"/>
        <v>16892</v>
      </c>
      <c r="J394" s="34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6"/>
    </row>
    <row r="395" spans="1:22" s="11" customFormat="1" ht="15" customHeight="1" x14ac:dyDescent="0.2">
      <c r="A395" s="32"/>
      <c r="B395" s="76" t="s">
        <v>0</v>
      </c>
      <c r="C395" s="76"/>
      <c r="D395" s="14">
        <f>E395+F395+G395+H395+I395</f>
        <v>1660693.0000000002</v>
      </c>
      <c r="E395" s="14">
        <f>E404+E412+E420+E428+E436+E444+E452+E460+E468+E476+E484+E492+E500+E508+E517</f>
        <v>1090774.6000000001</v>
      </c>
      <c r="F395" s="14">
        <f t="shared" ref="F395:I395" si="50">F404+F412+F420+F428+F436+F444+F452+F460+F468+F476+F484+F492+F500+F508+F517</f>
        <v>484608.80000000005</v>
      </c>
      <c r="G395" s="14">
        <f t="shared" si="50"/>
        <v>85309.6</v>
      </c>
      <c r="H395" s="14">
        <f t="shared" si="50"/>
        <v>0</v>
      </c>
      <c r="I395" s="14">
        <f t="shared" si="50"/>
        <v>0</v>
      </c>
      <c r="J395" s="37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9"/>
    </row>
    <row r="396" spans="1:22" s="11" customFormat="1" ht="15" customHeight="1" x14ac:dyDescent="0.2">
      <c r="A396" s="32"/>
      <c r="B396" s="76" t="s">
        <v>1</v>
      </c>
      <c r="C396" s="76"/>
      <c r="D396" s="14">
        <f>E396+F396+G396+H396+I396</f>
        <v>950383.48320000002</v>
      </c>
      <c r="E396" s="14">
        <f>E405+E413+E421+E429+E437+E445+E453+E461+E469+E477+E485+E493+E501+E509+E518</f>
        <v>870254.38846000005</v>
      </c>
      <c r="F396" s="14">
        <f t="shared" ref="F396:I396" si="51">F405+F413+F421+F429+F437+F445+F453+F461+F469+F477+F485+F493+F501+F509+F518</f>
        <v>19453.09474</v>
      </c>
      <c r="G396" s="14">
        <f t="shared" si="51"/>
        <v>26892</v>
      </c>
      <c r="H396" s="14">
        <f t="shared" si="51"/>
        <v>16892</v>
      </c>
      <c r="I396" s="14">
        <f t="shared" si="51"/>
        <v>16892</v>
      </c>
      <c r="J396" s="37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9"/>
    </row>
    <row r="397" spans="1:22" s="11" customFormat="1" ht="15" customHeight="1" x14ac:dyDescent="0.2">
      <c r="A397" s="32"/>
      <c r="B397" s="76" t="s">
        <v>2</v>
      </c>
      <c r="C397" s="76"/>
      <c r="D397" s="14">
        <f>E397+F397+G397+H397+I397</f>
        <v>0</v>
      </c>
      <c r="E397" s="14">
        <f>E406+E414+E422+E430+E438+E446+E454+E462+E470+E478+E486+E494+E502+E510+E519</f>
        <v>0</v>
      </c>
      <c r="F397" s="14">
        <f t="shared" ref="F397:I397" si="52">F406+F414+F422+F430+F438+F446+F454+F462+F470+F478+F486+F494+F502+F510+F519</f>
        <v>0</v>
      </c>
      <c r="G397" s="14">
        <f t="shared" si="52"/>
        <v>0</v>
      </c>
      <c r="H397" s="14">
        <f t="shared" si="52"/>
        <v>0</v>
      </c>
      <c r="I397" s="14">
        <f t="shared" si="52"/>
        <v>0</v>
      </c>
      <c r="J397" s="37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9"/>
    </row>
    <row r="398" spans="1:22" s="11" customFormat="1" ht="15.75" customHeight="1" x14ac:dyDescent="0.2">
      <c r="A398" s="32"/>
      <c r="B398" s="76" t="s">
        <v>3</v>
      </c>
      <c r="C398" s="76"/>
      <c r="D398" s="14">
        <f>E398+F398+G398+H398+I398</f>
        <v>0</v>
      </c>
      <c r="E398" s="14">
        <f>E407+E415+E423+E431+E439+E447+E455+E463+E471+E479+E487+E495+E503+E511+E520</f>
        <v>0</v>
      </c>
      <c r="F398" s="14">
        <f t="shared" ref="F398:I398" si="53">F407+F415+F423+F431+F439+F447+F455+F463+F471+F479+F487+F495+F503+F511+F520</f>
        <v>0</v>
      </c>
      <c r="G398" s="14">
        <f t="shared" si="53"/>
        <v>0</v>
      </c>
      <c r="H398" s="14">
        <f t="shared" si="53"/>
        <v>0</v>
      </c>
      <c r="I398" s="14">
        <f t="shared" si="53"/>
        <v>0</v>
      </c>
      <c r="J398" s="37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9"/>
    </row>
    <row r="399" spans="1:22" s="11" customFormat="1" ht="43.5" customHeight="1" x14ac:dyDescent="0.2">
      <c r="A399" s="33"/>
      <c r="B399" s="83" t="s">
        <v>670</v>
      </c>
      <c r="C399" s="84"/>
      <c r="D399" s="14">
        <f>SUM(E399:I399)</f>
        <v>280104.2</v>
      </c>
      <c r="E399" s="14">
        <f>E512</f>
        <v>280104.2</v>
      </c>
      <c r="F399" s="14">
        <f t="shared" ref="F399:I399" si="54">F512</f>
        <v>0</v>
      </c>
      <c r="G399" s="14">
        <f t="shared" si="54"/>
        <v>0</v>
      </c>
      <c r="H399" s="14">
        <f t="shared" si="54"/>
        <v>0</v>
      </c>
      <c r="I399" s="14">
        <f t="shared" si="54"/>
        <v>0</v>
      </c>
      <c r="J399" s="40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2"/>
    </row>
    <row r="400" spans="1:22" ht="17.25" customHeight="1" x14ac:dyDescent="0.2">
      <c r="A400" s="46" t="s">
        <v>55</v>
      </c>
      <c r="B400" s="24" t="s">
        <v>16</v>
      </c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5"/>
    </row>
    <row r="401" spans="1:22" s="11" customFormat="1" ht="30" customHeight="1" x14ac:dyDescent="0.2">
      <c r="A401" s="47" t="s">
        <v>30</v>
      </c>
      <c r="B401" s="82" t="s">
        <v>180</v>
      </c>
      <c r="C401" s="82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</row>
    <row r="402" spans="1:22" s="11" customFormat="1" ht="99.95" customHeight="1" x14ac:dyDescent="0.2">
      <c r="A402" s="47"/>
      <c r="B402" s="54" t="s">
        <v>545</v>
      </c>
      <c r="C402" s="55" t="s">
        <v>181</v>
      </c>
      <c r="D402" s="55"/>
      <c r="E402" s="55"/>
      <c r="F402" s="55"/>
      <c r="G402" s="55"/>
      <c r="H402" s="55"/>
      <c r="I402" s="56"/>
      <c r="J402" s="57" t="s">
        <v>182</v>
      </c>
      <c r="K402" s="57"/>
      <c r="L402" s="57" t="s">
        <v>60</v>
      </c>
      <c r="M402" s="57" t="s">
        <v>183</v>
      </c>
      <c r="N402" s="57" t="s">
        <v>82</v>
      </c>
      <c r="O402" s="57" t="s">
        <v>16</v>
      </c>
      <c r="P402" s="57" t="s">
        <v>82</v>
      </c>
      <c r="Q402" s="85" t="s">
        <v>184</v>
      </c>
      <c r="R402" s="57" t="s">
        <v>11</v>
      </c>
      <c r="S402" s="57" t="s">
        <v>10</v>
      </c>
      <c r="T402" s="57" t="s">
        <v>7</v>
      </c>
      <c r="U402" s="57"/>
      <c r="V402" s="57" t="s">
        <v>458</v>
      </c>
    </row>
    <row r="403" spans="1:22" s="11" customFormat="1" x14ac:dyDescent="0.2">
      <c r="A403" s="47"/>
      <c r="B403" s="30" t="s">
        <v>5</v>
      </c>
      <c r="C403" s="30" t="s">
        <v>5</v>
      </c>
      <c r="D403" s="12">
        <f>SUM(D404:D407)</f>
        <v>471157.34299999999</v>
      </c>
      <c r="E403" s="13">
        <f>SUM(E404:E407)</f>
        <v>254000</v>
      </c>
      <c r="F403" s="13">
        <f>SUM(F404:F407)</f>
        <v>217157.34299999999</v>
      </c>
      <c r="G403" s="13"/>
      <c r="H403" s="13"/>
      <c r="I403" s="13"/>
      <c r="J403" s="57"/>
      <c r="K403" s="57"/>
      <c r="L403" s="57"/>
      <c r="M403" s="57"/>
      <c r="N403" s="57"/>
      <c r="O403" s="57"/>
      <c r="P403" s="57"/>
      <c r="Q403" s="85"/>
      <c r="R403" s="57"/>
      <c r="S403" s="57"/>
      <c r="T403" s="57"/>
      <c r="U403" s="57"/>
      <c r="V403" s="57"/>
    </row>
    <row r="404" spans="1:22" s="11" customFormat="1" x14ac:dyDescent="0.2">
      <c r="A404" s="47"/>
      <c r="B404" s="30" t="s">
        <v>0</v>
      </c>
      <c r="C404" s="30" t="s">
        <v>0</v>
      </c>
      <c r="D404" s="12">
        <f>E404+F404+G404+H404+I404</f>
        <v>417157.34299999999</v>
      </c>
      <c r="E404" s="13">
        <f>285000-85000</f>
        <v>200000</v>
      </c>
      <c r="F404" s="13">
        <v>217157.34299999999</v>
      </c>
      <c r="G404" s="13"/>
      <c r="H404" s="13"/>
      <c r="I404" s="13"/>
      <c r="J404" s="57"/>
      <c r="K404" s="57"/>
      <c r="L404" s="57"/>
      <c r="M404" s="57"/>
      <c r="N404" s="57"/>
      <c r="O404" s="57"/>
      <c r="P404" s="57"/>
      <c r="Q404" s="85"/>
      <c r="R404" s="57"/>
      <c r="S404" s="57"/>
      <c r="T404" s="57"/>
      <c r="U404" s="57"/>
      <c r="V404" s="57"/>
    </row>
    <row r="405" spans="1:22" s="11" customFormat="1" x14ac:dyDescent="0.2">
      <c r="A405" s="47"/>
      <c r="B405" s="59" t="s">
        <v>1</v>
      </c>
      <c r="C405" s="59" t="s">
        <v>1</v>
      </c>
      <c r="D405" s="9">
        <f>E405+F405+G405+H405+I405</f>
        <v>54000</v>
      </c>
      <c r="E405" s="13">
        <v>54000</v>
      </c>
      <c r="F405" s="10"/>
      <c r="G405" s="10"/>
      <c r="H405" s="10"/>
      <c r="I405" s="10"/>
      <c r="J405" s="57"/>
      <c r="K405" s="57"/>
      <c r="L405" s="57"/>
      <c r="M405" s="57"/>
      <c r="N405" s="57"/>
      <c r="O405" s="57"/>
      <c r="P405" s="57"/>
      <c r="Q405" s="85"/>
      <c r="R405" s="57"/>
      <c r="S405" s="57"/>
      <c r="T405" s="57"/>
      <c r="U405" s="57"/>
      <c r="V405" s="57"/>
    </row>
    <row r="406" spans="1:22" s="11" customFormat="1" x14ac:dyDescent="0.2">
      <c r="A406" s="47"/>
      <c r="B406" s="59" t="s">
        <v>2</v>
      </c>
      <c r="C406" s="59" t="s">
        <v>2</v>
      </c>
      <c r="D406" s="9">
        <f>E406+F406+G406+H406+I406</f>
        <v>0</v>
      </c>
      <c r="E406" s="10"/>
      <c r="F406" s="10"/>
      <c r="G406" s="10"/>
      <c r="H406" s="10"/>
      <c r="I406" s="10"/>
      <c r="J406" s="57"/>
      <c r="K406" s="57"/>
      <c r="L406" s="57"/>
      <c r="M406" s="57"/>
      <c r="N406" s="57"/>
      <c r="O406" s="57"/>
      <c r="P406" s="57"/>
      <c r="Q406" s="85"/>
      <c r="R406" s="57"/>
      <c r="S406" s="57"/>
      <c r="T406" s="57"/>
      <c r="U406" s="57"/>
      <c r="V406" s="57"/>
    </row>
    <row r="407" spans="1:22" s="11" customFormat="1" ht="21" customHeight="1" x14ac:dyDescent="0.2">
      <c r="A407" s="48"/>
      <c r="B407" s="59" t="s">
        <v>3</v>
      </c>
      <c r="C407" s="59" t="s">
        <v>3</v>
      </c>
      <c r="D407" s="9">
        <f>E407+F407+G407+H407+I407</f>
        <v>0</v>
      </c>
      <c r="E407" s="10"/>
      <c r="F407" s="10"/>
      <c r="G407" s="10"/>
      <c r="H407" s="10"/>
      <c r="I407" s="10"/>
      <c r="J407" s="57"/>
      <c r="K407" s="57"/>
      <c r="L407" s="57"/>
      <c r="M407" s="57"/>
      <c r="N407" s="57"/>
      <c r="O407" s="57"/>
      <c r="P407" s="57"/>
      <c r="Q407" s="85"/>
      <c r="R407" s="57"/>
      <c r="S407" s="57"/>
      <c r="T407" s="57"/>
      <c r="U407" s="57"/>
      <c r="V407" s="57"/>
    </row>
    <row r="408" spans="1:22" ht="16.5" customHeight="1" x14ac:dyDescent="0.2">
      <c r="A408" s="46" t="s">
        <v>208</v>
      </c>
      <c r="B408" s="24" t="s">
        <v>16</v>
      </c>
      <c r="C408" s="24" t="s">
        <v>16</v>
      </c>
      <c r="D408" s="24" t="s">
        <v>16</v>
      </c>
      <c r="E408" s="24" t="s">
        <v>16</v>
      </c>
      <c r="F408" s="24" t="s">
        <v>16</v>
      </c>
      <c r="G408" s="24" t="s">
        <v>16</v>
      </c>
      <c r="H408" s="24" t="s">
        <v>16</v>
      </c>
      <c r="I408" s="24" t="s">
        <v>16</v>
      </c>
      <c r="J408" s="24" t="s">
        <v>16</v>
      </c>
      <c r="K408" s="24" t="s">
        <v>16</v>
      </c>
      <c r="L408" s="24" t="s">
        <v>16</v>
      </c>
      <c r="M408" s="24" t="s">
        <v>16</v>
      </c>
      <c r="N408" s="24" t="s">
        <v>16</v>
      </c>
      <c r="O408" s="24" t="s">
        <v>16</v>
      </c>
      <c r="P408" s="24" t="s">
        <v>16</v>
      </c>
      <c r="Q408" s="24" t="s">
        <v>16</v>
      </c>
      <c r="R408" s="24" t="s">
        <v>16</v>
      </c>
      <c r="S408" s="24" t="s">
        <v>16</v>
      </c>
      <c r="T408" s="24" t="s">
        <v>16</v>
      </c>
      <c r="U408" s="24" t="s">
        <v>16</v>
      </c>
      <c r="V408" s="25" t="s">
        <v>16</v>
      </c>
    </row>
    <row r="409" spans="1:22" s="11" customFormat="1" ht="30" customHeight="1" x14ac:dyDescent="0.2">
      <c r="A409" s="47" t="s">
        <v>30</v>
      </c>
      <c r="B409" s="82" t="s">
        <v>180</v>
      </c>
      <c r="C409" s="82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</row>
    <row r="410" spans="1:22" s="11" customFormat="1" ht="99.95" customHeight="1" x14ac:dyDescent="0.2">
      <c r="A410" s="47"/>
      <c r="B410" s="54" t="s">
        <v>546</v>
      </c>
      <c r="C410" s="55" t="s">
        <v>185</v>
      </c>
      <c r="D410" s="55"/>
      <c r="E410" s="55"/>
      <c r="F410" s="55"/>
      <c r="G410" s="55"/>
      <c r="H410" s="55"/>
      <c r="I410" s="56"/>
      <c r="J410" s="57" t="s">
        <v>182</v>
      </c>
      <c r="K410" s="57"/>
      <c r="L410" s="57" t="s">
        <v>60</v>
      </c>
      <c r="M410" s="57" t="s">
        <v>183</v>
      </c>
      <c r="N410" s="57" t="s">
        <v>82</v>
      </c>
      <c r="O410" s="57" t="s">
        <v>16</v>
      </c>
      <c r="P410" s="57" t="s">
        <v>82</v>
      </c>
      <c r="Q410" s="85" t="s">
        <v>186</v>
      </c>
      <c r="R410" s="57" t="s">
        <v>11</v>
      </c>
      <c r="S410" s="57" t="s">
        <v>10</v>
      </c>
      <c r="T410" s="57" t="s">
        <v>7</v>
      </c>
      <c r="U410" s="57"/>
      <c r="V410" s="57" t="s">
        <v>459</v>
      </c>
    </row>
    <row r="411" spans="1:22" s="11" customFormat="1" x14ac:dyDescent="0.2">
      <c r="A411" s="47"/>
      <c r="B411" s="30" t="s">
        <v>5</v>
      </c>
      <c r="C411" s="30" t="s">
        <v>5</v>
      </c>
      <c r="D411" s="12">
        <f>SUM(D412:D415)</f>
        <v>641813.84000000008</v>
      </c>
      <c r="E411" s="13">
        <f>SUM(E412:E415)</f>
        <v>377000</v>
      </c>
      <c r="F411" s="13">
        <f>SUM(F412:F415)</f>
        <v>264813.84000000003</v>
      </c>
      <c r="G411" s="13"/>
      <c r="H411" s="13"/>
      <c r="I411" s="13"/>
      <c r="J411" s="57"/>
      <c r="K411" s="57"/>
      <c r="L411" s="57"/>
      <c r="M411" s="57"/>
      <c r="N411" s="57"/>
      <c r="O411" s="57"/>
      <c r="P411" s="57"/>
      <c r="Q411" s="85"/>
      <c r="R411" s="57"/>
      <c r="S411" s="57"/>
      <c r="T411" s="57"/>
      <c r="U411" s="57"/>
      <c r="V411" s="57"/>
    </row>
    <row r="412" spans="1:22" s="11" customFormat="1" x14ac:dyDescent="0.2">
      <c r="A412" s="47"/>
      <c r="B412" s="30" t="s">
        <v>0</v>
      </c>
      <c r="C412" s="30" t="s">
        <v>0</v>
      </c>
      <c r="D412" s="12">
        <f>E412+F412+G412+H412+I412</f>
        <v>464813.84</v>
      </c>
      <c r="E412" s="13">
        <f>285000-85000</f>
        <v>200000</v>
      </c>
      <c r="F412" s="13">
        <v>264813.84000000003</v>
      </c>
      <c r="G412" s="13"/>
      <c r="H412" s="13"/>
      <c r="I412" s="13"/>
      <c r="J412" s="57"/>
      <c r="K412" s="57"/>
      <c r="L412" s="57"/>
      <c r="M412" s="57"/>
      <c r="N412" s="57"/>
      <c r="O412" s="57"/>
      <c r="P412" s="57"/>
      <c r="Q412" s="85"/>
      <c r="R412" s="57"/>
      <c r="S412" s="57"/>
      <c r="T412" s="57"/>
      <c r="U412" s="57"/>
      <c r="V412" s="57"/>
    </row>
    <row r="413" spans="1:22" s="11" customFormat="1" x14ac:dyDescent="0.2">
      <c r="A413" s="47"/>
      <c r="B413" s="30" t="s">
        <v>1</v>
      </c>
      <c r="C413" s="30" t="s">
        <v>1</v>
      </c>
      <c r="D413" s="12">
        <f>E413+F413+G413+H413+I413</f>
        <v>177000</v>
      </c>
      <c r="E413" s="13">
        <f>54000+123000</f>
        <v>177000</v>
      </c>
      <c r="F413" s="13"/>
      <c r="G413" s="13"/>
      <c r="H413" s="13"/>
      <c r="I413" s="13"/>
      <c r="J413" s="57"/>
      <c r="K413" s="57"/>
      <c r="L413" s="57"/>
      <c r="M413" s="57"/>
      <c r="N413" s="57"/>
      <c r="O413" s="57"/>
      <c r="P413" s="57"/>
      <c r="Q413" s="85"/>
      <c r="R413" s="57"/>
      <c r="S413" s="57"/>
      <c r="T413" s="57"/>
      <c r="U413" s="57"/>
      <c r="V413" s="57"/>
    </row>
    <row r="414" spans="1:22" s="11" customFormat="1" x14ac:dyDescent="0.2">
      <c r="A414" s="47"/>
      <c r="B414" s="59" t="s">
        <v>2</v>
      </c>
      <c r="C414" s="59" t="s">
        <v>2</v>
      </c>
      <c r="D414" s="9">
        <f>E414+F414+G414+H414+I414</f>
        <v>0</v>
      </c>
      <c r="E414" s="10"/>
      <c r="F414" s="10"/>
      <c r="G414" s="10"/>
      <c r="H414" s="10"/>
      <c r="I414" s="10"/>
      <c r="J414" s="57"/>
      <c r="K414" s="57"/>
      <c r="L414" s="57"/>
      <c r="M414" s="57"/>
      <c r="N414" s="57"/>
      <c r="O414" s="57"/>
      <c r="P414" s="57"/>
      <c r="Q414" s="85"/>
      <c r="R414" s="57"/>
      <c r="S414" s="57"/>
      <c r="T414" s="57"/>
      <c r="U414" s="57"/>
      <c r="V414" s="57"/>
    </row>
    <row r="415" spans="1:22" s="11" customFormat="1" ht="21" customHeight="1" x14ac:dyDescent="0.2">
      <c r="A415" s="48"/>
      <c r="B415" s="59" t="s">
        <v>3</v>
      </c>
      <c r="C415" s="59" t="s">
        <v>3</v>
      </c>
      <c r="D415" s="9">
        <f>E415+F415+G415+H415+I415</f>
        <v>0</v>
      </c>
      <c r="E415" s="10"/>
      <c r="F415" s="10"/>
      <c r="G415" s="10"/>
      <c r="H415" s="10"/>
      <c r="I415" s="10"/>
      <c r="J415" s="57"/>
      <c r="K415" s="57"/>
      <c r="L415" s="57"/>
      <c r="M415" s="57"/>
      <c r="N415" s="57"/>
      <c r="O415" s="57"/>
      <c r="P415" s="57"/>
      <c r="Q415" s="85"/>
      <c r="R415" s="57"/>
      <c r="S415" s="57"/>
      <c r="T415" s="57"/>
      <c r="U415" s="57"/>
      <c r="V415" s="57"/>
    </row>
    <row r="416" spans="1:22" x14ac:dyDescent="0.2">
      <c r="A416" s="46" t="s">
        <v>209</v>
      </c>
      <c r="B416" s="24" t="s">
        <v>16</v>
      </c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5"/>
    </row>
    <row r="417" spans="1:22" ht="25.5" customHeight="1" x14ac:dyDescent="0.2">
      <c r="A417" s="47" t="s">
        <v>30</v>
      </c>
      <c r="B417" s="82" t="s">
        <v>180</v>
      </c>
      <c r="C417" s="82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</row>
    <row r="418" spans="1:22" ht="35.25" customHeight="1" x14ac:dyDescent="0.2">
      <c r="A418" s="47"/>
      <c r="B418" s="54" t="s">
        <v>187</v>
      </c>
      <c r="C418" s="55" t="s">
        <v>187</v>
      </c>
      <c r="D418" s="55"/>
      <c r="E418" s="55"/>
      <c r="F418" s="55"/>
      <c r="G418" s="55"/>
      <c r="H418" s="55"/>
      <c r="I418" s="56"/>
      <c r="J418" s="57" t="s">
        <v>188</v>
      </c>
      <c r="K418" s="57"/>
      <c r="L418" s="57" t="s">
        <v>60</v>
      </c>
      <c r="M418" s="57" t="s">
        <v>189</v>
      </c>
      <c r="N418" s="57" t="s">
        <v>82</v>
      </c>
      <c r="O418" s="57" t="s">
        <v>16</v>
      </c>
      <c r="P418" s="57" t="s">
        <v>82</v>
      </c>
      <c r="Q418" s="85" t="s">
        <v>190</v>
      </c>
      <c r="R418" s="57" t="s">
        <v>11</v>
      </c>
      <c r="S418" s="57" t="s">
        <v>12</v>
      </c>
      <c r="T418" s="57" t="s">
        <v>7</v>
      </c>
      <c r="U418" s="57"/>
      <c r="V418" s="57" t="s">
        <v>460</v>
      </c>
    </row>
    <row r="419" spans="1:22" x14ac:dyDescent="0.2">
      <c r="A419" s="47"/>
      <c r="B419" s="30" t="s">
        <v>5</v>
      </c>
      <c r="C419" s="30" t="s">
        <v>5</v>
      </c>
      <c r="D419" s="12">
        <f>SUM(D420:D423)</f>
        <v>368132.18961999996</v>
      </c>
      <c r="E419" s="13">
        <f>SUM(E420:E423)</f>
        <v>368132.18961999996</v>
      </c>
      <c r="F419" s="13"/>
      <c r="G419" s="13"/>
      <c r="H419" s="13"/>
      <c r="I419" s="13"/>
      <c r="J419" s="57"/>
      <c r="K419" s="57"/>
      <c r="L419" s="57"/>
      <c r="M419" s="57"/>
      <c r="N419" s="57"/>
      <c r="O419" s="57"/>
      <c r="P419" s="57"/>
      <c r="Q419" s="85"/>
      <c r="R419" s="57"/>
      <c r="S419" s="57"/>
      <c r="T419" s="57"/>
      <c r="U419" s="57"/>
      <c r="V419" s="57"/>
    </row>
    <row r="420" spans="1:22" x14ac:dyDescent="0.2">
      <c r="A420" s="47"/>
      <c r="B420" s="30" t="s">
        <v>0</v>
      </c>
      <c r="C420" s="30" t="s">
        <v>0</v>
      </c>
      <c r="D420" s="12">
        <f>E420+F420+G420+H420+I420</f>
        <v>340000</v>
      </c>
      <c r="E420" s="13">
        <f>347533.1-7533.1</f>
        <v>340000</v>
      </c>
      <c r="F420" s="13"/>
      <c r="G420" s="13"/>
      <c r="H420" s="13"/>
      <c r="I420" s="13"/>
      <c r="J420" s="57"/>
      <c r="K420" s="57"/>
      <c r="L420" s="57"/>
      <c r="M420" s="57"/>
      <c r="N420" s="57"/>
      <c r="O420" s="57"/>
      <c r="P420" s="57"/>
      <c r="Q420" s="85"/>
      <c r="R420" s="57"/>
      <c r="S420" s="57"/>
      <c r="T420" s="57"/>
      <c r="U420" s="57"/>
      <c r="V420" s="57"/>
    </row>
    <row r="421" spans="1:22" x14ac:dyDescent="0.2">
      <c r="A421" s="47"/>
      <c r="B421" s="30" t="s">
        <v>1</v>
      </c>
      <c r="C421" s="30" t="s">
        <v>1</v>
      </c>
      <c r="D421" s="12">
        <f>E421+F421+G421+H421+I421</f>
        <v>28132.189619999979</v>
      </c>
      <c r="E421" s="13">
        <f>229507.24-6000-56984.87-7545.58697-27462.67008-350-86346.19-16685.73333</f>
        <v>28132.189619999979</v>
      </c>
      <c r="F421" s="13"/>
      <c r="G421" s="13"/>
      <c r="H421" s="13"/>
      <c r="I421" s="13"/>
      <c r="J421" s="57"/>
      <c r="K421" s="57"/>
      <c r="L421" s="57"/>
      <c r="M421" s="57"/>
      <c r="N421" s="57"/>
      <c r="O421" s="57"/>
      <c r="P421" s="57"/>
      <c r="Q421" s="85"/>
      <c r="R421" s="57"/>
      <c r="S421" s="57"/>
      <c r="T421" s="57"/>
      <c r="U421" s="57"/>
      <c r="V421" s="57"/>
    </row>
    <row r="422" spans="1:22" x14ac:dyDescent="0.2">
      <c r="A422" s="47"/>
      <c r="B422" s="59" t="s">
        <v>2</v>
      </c>
      <c r="C422" s="59" t="s">
        <v>2</v>
      </c>
      <c r="D422" s="9">
        <f>E422+F422+G422+H422+I422</f>
        <v>0</v>
      </c>
      <c r="E422" s="10"/>
      <c r="F422" s="10"/>
      <c r="G422" s="10"/>
      <c r="H422" s="10"/>
      <c r="I422" s="10"/>
      <c r="J422" s="57"/>
      <c r="K422" s="57"/>
      <c r="L422" s="57"/>
      <c r="M422" s="57"/>
      <c r="N422" s="57"/>
      <c r="O422" s="57"/>
      <c r="P422" s="57"/>
      <c r="Q422" s="85"/>
      <c r="R422" s="57"/>
      <c r="S422" s="57"/>
      <c r="T422" s="57"/>
      <c r="U422" s="57"/>
      <c r="V422" s="57"/>
    </row>
    <row r="423" spans="1:22" s="11" customFormat="1" ht="21" customHeight="1" x14ac:dyDescent="0.2">
      <c r="A423" s="48"/>
      <c r="B423" s="59" t="s">
        <v>3</v>
      </c>
      <c r="C423" s="59" t="s">
        <v>3</v>
      </c>
      <c r="D423" s="9">
        <f>E423+F423+G423+H423+I423</f>
        <v>0</v>
      </c>
      <c r="E423" s="10"/>
      <c r="F423" s="10"/>
      <c r="G423" s="10"/>
      <c r="H423" s="10"/>
      <c r="I423" s="10"/>
      <c r="J423" s="57"/>
      <c r="K423" s="57"/>
      <c r="L423" s="57"/>
      <c r="M423" s="57"/>
      <c r="N423" s="57"/>
      <c r="O423" s="57"/>
      <c r="P423" s="57"/>
      <c r="Q423" s="85"/>
      <c r="R423" s="57"/>
      <c r="S423" s="57"/>
      <c r="T423" s="57"/>
      <c r="U423" s="57"/>
      <c r="V423" s="57"/>
    </row>
    <row r="424" spans="1:22" s="11" customFormat="1" x14ac:dyDescent="0.2">
      <c r="A424" s="46" t="s">
        <v>210</v>
      </c>
      <c r="B424" s="24" t="s">
        <v>22</v>
      </c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5"/>
    </row>
    <row r="425" spans="1:22" s="11" customFormat="1" x14ac:dyDescent="0.2">
      <c r="A425" s="47" t="s">
        <v>30</v>
      </c>
      <c r="B425" s="82" t="s">
        <v>179</v>
      </c>
      <c r="C425" s="82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</row>
    <row r="426" spans="1:22" s="11" customFormat="1" ht="99.95" customHeight="1" x14ac:dyDescent="0.2">
      <c r="A426" s="47"/>
      <c r="B426" s="60" t="s">
        <v>212</v>
      </c>
      <c r="C426" s="61" t="s">
        <v>212</v>
      </c>
      <c r="D426" s="61"/>
      <c r="E426" s="61"/>
      <c r="F426" s="61"/>
      <c r="G426" s="61"/>
      <c r="H426" s="61"/>
      <c r="I426" s="62"/>
      <c r="J426" s="57" t="s">
        <v>87</v>
      </c>
      <c r="K426" s="57"/>
      <c r="L426" s="69" t="s">
        <v>203</v>
      </c>
      <c r="M426" s="57"/>
      <c r="N426" s="57" t="s">
        <v>280</v>
      </c>
      <c r="O426" s="57" t="s">
        <v>22</v>
      </c>
      <c r="P426" s="57" t="s">
        <v>280</v>
      </c>
      <c r="Q426" s="85" t="s">
        <v>281</v>
      </c>
      <c r="R426" s="57" t="s">
        <v>11</v>
      </c>
      <c r="S426" s="57" t="s">
        <v>10</v>
      </c>
      <c r="T426" s="57" t="s">
        <v>17</v>
      </c>
      <c r="U426" s="57"/>
      <c r="V426" s="57"/>
    </row>
    <row r="427" spans="1:22" s="11" customFormat="1" x14ac:dyDescent="0.2">
      <c r="A427" s="47"/>
      <c r="B427" s="59" t="s">
        <v>5</v>
      </c>
      <c r="C427" s="59" t="s">
        <v>5</v>
      </c>
      <c r="D427" s="9">
        <f>SUM(D428:D431)</f>
        <v>33100</v>
      </c>
      <c r="E427" s="10">
        <f>SUM(E428:E431)</f>
        <v>33100</v>
      </c>
      <c r="F427" s="10">
        <f>SUM(F428:F431)</f>
        <v>0</v>
      </c>
      <c r="G427" s="10"/>
      <c r="H427" s="10"/>
      <c r="I427" s="10"/>
      <c r="J427" s="57"/>
      <c r="K427" s="57"/>
      <c r="L427" s="69"/>
      <c r="M427" s="57"/>
      <c r="N427" s="57"/>
      <c r="O427" s="57"/>
      <c r="P427" s="57"/>
      <c r="Q427" s="85"/>
      <c r="R427" s="57"/>
      <c r="S427" s="57"/>
      <c r="T427" s="57"/>
      <c r="U427" s="57"/>
      <c r="V427" s="57"/>
    </row>
    <row r="428" spans="1:22" s="11" customFormat="1" x14ac:dyDescent="0.2">
      <c r="A428" s="47"/>
      <c r="B428" s="59" t="s">
        <v>0</v>
      </c>
      <c r="C428" s="59" t="s">
        <v>0</v>
      </c>
      <c r="D428" s="9">
        <f>E428+F428+G428+H428+I428</f>
        <v>0</v>
      </c>
      <c r="E428" s="10"/>
      <c r="F428" s="10"/>
      <c r="G428" s="10"/>
      <c r="H428" s="10"/>
      <c r="I428" s="10"/>
      <c r="J428" s="57"/>
      <c r="K428" s="57"/>
      <c r="L428" s="69"/>
      <c r="M428" s="57"/>
      <c r="N428" s="57"/>
      <c r="O428" s="57"/>
      <c r="P428" s="57"/>
      <c r="Q428" s="85"/>
      <c r="R428" s="57"/>
      <c r="S428" s="57"/>
      <c r="T428" s="57"/>
      <c r="U428" s="57"/>
      <c r="V428" s="57"/>
    </row>
    <row r="429" spans="1:22" s="11" customFormat="1" x14ac:dyDescent="0.2">
      <c r="A429" s="47"/>
      <c r="B429" s="59" t="s">
        <v>1</v>
      </c>
      <c r="C429" s="59" t="s">
        <v>1</v>
      </c>
      <c r="D429" s="9">
        <f>E429+F429+G429+H429+I429</f>
        <v>33100</v>
      </c>
      <c r="E429" s="10">
        <v>33100</v>
      </c>
      <c r="F429" s="13">
        <f>110766.03-110766.03</f>
        <v>0</v>
      </c>
      <c r="G429" s="10"/>
      <c r="H429" s="10"/>
      <c r="I429" s="10"/>
      <c r="J429" s="57"/>
      <c r="K429" s="57"/>
      <c r="L429" s="69"/>
      <c r="M429" s="57"/>
      <c r="N429" s="57"/>
      <c r="O429" s="57"/>
      <c r="P429" s="57"/>
      <c r="Q429" s="85"/>
      <c r="R429" s="57"/>
      <c r="S429" s="57"/>
      <c r="T429" s="57"/>
      <c r="U429" s="57"/>
      <c r="V429" s="57"/>
    </row>
    <row r="430" spans="1:22" s="11" customFormat="1" x14ac:dyDescent="0.2">
      <c r="A430" s="47"/>
      <c r="B430" s="59" t="s">
        <v>2</v>
      </c>
      <c r="C430" s="59" t="s">
        <v>2</v>
      </c>
      <c r="D430" s="9">
        <f>E430+F430+G430+H430+I430</f>
        <v>0</v>
      </c>
      <c r="E430" s="10"/>
      <c r="F430" s="10"/>
      <c r="G430" s="10"/>
      <c r="H430" s="10"/>
      <c r="I430" s="10"/>
      <c r="J430" s="57"/>
      <c r="K430" s="57"/>
      <c r="L430" s="69"/>
      <c r="M430" s="57"/>
      <c r="N430" s="57"/>
      <c r="O430" s="57"/>
      <c r="P430" s="57"/>
      <c r="Q430" s="85"/>
      <c r="R430" s="57"/>
      <c r="S430" s="57"/>
      <c r="T430" s="57"/>
      <c r="U430" s="57"/>
      <c r="V430" s="57"/>
    </row>
    <row r="431" spans="1:22" s="11" customFormat="1" ht="21" customHeight="1" x14ac:dyDescent="0.2">
      <c r="A431" s="48"/>
      <c r="B431" s="59" t="s">
        <v>3</v>
      </c>
      <c r="C431" s="59" t="s">
        <v>3</v>
      </c>
      <c r="D431" s="9">
        <f>E431+F431+G431+H431+I431</f>
        <v>0</v>
      </c>
      <c r="E431" s="10"/>
      <c r="F431" s="10"/>
      <c r="G431" s="10"/>
      <c r="H431" s="10"/>
      <c r="I431" s="10"/>
      <c r="J431" s="57"/>
      <c r="K431" s="57"/>
      <c r="L431" s="69"/>
      <c r="M431" s="57"/>
      <c r="N431" s="57"/>
      <c r="O431" s="57"/>
      <c r="P431" s="57"/>
      <c r="Q431" s="85"/>
      <c r="R431" s="57"/>
      <c r="S431" s="57"/>
      <c r="T431" s="57"/>
      <c r="U431" s="57"/>
      <c r="V431" s="57"/>
    </row>
    <row r="432" spans="1:22" s="11" customFormat="1" x14ac:dyDescent="0.2">
      <c r="A432" s="46" t="s">
        <v>211</v>
      </c>
      <c r="B432" s="24" t="s">
        <v>63</v>
      </c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5"/>
    </row>
    <row r="433" spans="1:22" s="11" customFormat="1" x14ac:dyDescent="0.2">
      <c r="A433" s="47" t="s">
        <v>30</v>
      </c>
      <c r="B433" s="82" t="s">
        <v>191</v>
      </c>
      <c r="C433" s="82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</row>
    <row r="434" spans="1:22" s="11" customFormat="1" ht="89.25" customHeight="1" x14ac:dyDescent="0.2">
      <c r="A434" s="47"/>
      <c r="B434" s="60" t="s">
        <v>213</v>
      </c>
      <c r="C434" s="61" t="s">
        <v>213</v>
      </c>
      <c r="D434" s="61"/>
      <c r="E434" s="61"/>
      <c r="F434" s="61"/>
      <c r="G434" s="61"/>
      <c r="H434" s="61"/>
      <c r="I434" s="62"/>
      <c r="J434" s="57" t="s">
        <v>66</v>
      </c>
      <c r="K434" s="57"/>
      <c r="L434" s="57" t="s">
        <v>60</v>
      </c>
      <c r="M434" s="57"/>
      <c r="N434" s="57" t="s">
        <v>63</v>
      </c>
      <c r="O434" s="57" t="s">
        <v>63</v>
      </c>
      <c r="P434" s="57" t="s">
        <v>63</v>
      </c>
      <c r="Q434" s="85"/>
      <c r="R434" s="57"/>
      <c r="S434" s="57"/>
      <c r="T434" s="57" t="s">
        <v>81</v>
      </c>
      <c r="U434" s="57"/>
      <c r="V434" s="57"/>
    </row>
    <row r="435" spans="1:22" s="11" customFormat="1" x14ac:dyDescent="0.2">
      <c r="A435" s="47"/>
      <c r="B435" s="59" t="s">
        <v>5</v>
      </c>
      <c r="C435" s="59" t="s">
        <v>5</v>
      </c>
      <c r="D435" s="9">
        <f>SUM(D436:D439)</f>
        <v>30614.400000000001</v>
      </c>
      <c r="E435" s="10">
        <f>SUM(E436:E439)</f>
        <v>30614.400000000001</v>
      </c>
      <c r="F435" s="10"/>
      <c r="G435" s="10"/>
      <c r="H435" s="10"/>
      <c r="I435" s="10"/>
      <c r="J435" s="57"/>
      <c r="K435" s="57"/>
      <c r="L435" s="57"/>
      <c r="M435" s="57"/>
      <c r="N435" s="57"/>
      <c r="O435" s="57"/>
      <c r="P435" s="57"/>
      <c r="Q435" s="85"/>
      <c r="R435" s="57"/>
      <c r="S435" s="57"/>
      <c r="T435" s="57"/>
      <c r="U435" s="57"/>
      <c r="V435" s="57"/>
    </row>
    <row r="436" spans="1:22" s="11" customFormat="1" x14ac:dyDescent="0.2">
      <c r="A436" s="47"/>
      <c r="B436" s="59" t="s">
        <v>0</v>
      </c>
      <c r="C436" s="59" t="s">
        <v>0</v>
      </c>
      <c r="D436" s="9">
        <f>E436+F436+G436+H436+I436</f>
        <v>0</v>
      </c>
      <c r="E436" s="10"/>
      <c r="F436" s="10"/>
      <c r="G436" s="10"/>
      <c r="H436" s="10"/>
      <c r="I436" s="10"/>
      <c r="J436" s="57"/>
      <c r="K436" s="57"/>
      <c r="L436" s="57"/>
      <c r="M436" s="57"/>
      <c r="N436" s="57"/>
      <c r="O436" s="57"/>
      <c r="P436" s="57"/>
      <c r="Q436" s="85"/>
      <c r="R436" s="57"/>
      <c r="S436" s="57"/>
      <c r="T436" s="57"/>
      <c r="U436" s="57"/>
      <c r="V436" s="57"/>
    </row>
    <row r="437" spans="1:22" s="11" customFormat="1" x14ac:dyDescent="0.2">
      <c r="A437" s="47"/>
      <c r="B437" s="59" t="s">
        <v>1</v>
      </c>
      <c r="C437" s="59" t="s">
        <v>1</v>
      </c>
      <c r="D437" s="9">
        <f>E437+F437+G437+H437+I437</f>
        <v>30614.400000000001</v>
      </c>
      <c r="E437" s="13">
        <f>60614.4-30000</f>
        <v>30614.400000000001</v>
      </c>
      <c r="F437" s="10"/>
      <c r="G437" s="10"/>
      <c r="H437" s="10"/>
      <c r="I437" s="10"/>
      <c r="J437" s="57"/>
      <c r="K437" s="57"/>
      <c r="L437" s="57"/>
      <c r="M437" s="57"/>
      <c r="N437" s="57"/>
      <c r="O437" s="57"/>
      <c r="P437" s="57"/>
      <c r="Q437" s="85"/>
      <c r="R437" s="57"/>
      <c r="S437" s="57"/>
      <c r="T437" s="57"/>
      <c r="U437" s="57"/>
      <c r="V437" s="57"/>
    </row>
    <row r="438" spans="1:22" x14ac:dyDescent="0.2">
      <c r="A438" s="47"/>
      <c r="B438" s="59" t="s">
        <v>2</v>
      </c>
      <c r="C438" s="59" t="s">
        <v>2</v>
      </c>
      <c r="D438" s="9">
        <f>E438+F438+G438+H438+I438</f>
        <v>0</v>
      </c>
      <c r="E438" s="10"/>
      <c r="F438" s="10"/>
      <c r="G438" s="10"/>
      <c r="H438" s="10"/>
      <c r="I438" s="10"/>
      <c r="J438" s="57"/>
      <c r="K438" s="57"/>
      <c r="L438" s="57"/>
      <c r="M438" s="57"/>
      <c r="N438" s="57"/>
      <c r="O438" s="57"/>
      <c r="P438" s="57"/>
      <c r="Q438" s="85"/>
      <c r="R438" s="57"/>
      <c r="S438" s="57"/>
      <c r="T438" s="57"/>
      <c r="U438" s="57"/>
      <c r="V438" s="57"/>
    </row>
    <row r="439" spans="1:22" s="11" customFormat="1" ht="21" customHeight="1" x14ac:dyDescent="0.2">
      <c r="A439" s="48"/>
      <c r="B439" s="59" t="s">
        <v>3</v>
      </c>
      <c r="C439" s="59" t="s">
        <v>3</v>
      </c>
      <c r="D439" s="9">
        <f>E439+F439+G439+H439+I439</f>
        <v>0</v>
      </c>
      <c r="E439" s="10"/>
      <c r="F439" s="10"/>
      <c r="G439" s="10"/>
      <c r="H439" s="10"/>
      <c r="I439" s="10"/>
      <c r="J439" s="57"/>
      <c r="K439" s="57"/>
      <c r="L439" s="57"/>
      <c r="M439" s="57"/>
      <c r="N439" s="57"/>
      <c r="O439" s="57"/>
      <c r="P439" s="57"/>
      <c r="Q439" s="85"/>
      <c r="R439" s="57"/>
      <c r="S439" s="57"/>
      <c r="T439" s="57"/>
      <c r="U439" s="57"/>
      <c r="V439" s="57"/>
    </row>
    <row r="440" spans="1:22" s="11" customFormat="1" x14ac:dyDescent="0.2">
      <c r="A440" s="46" t="s">
        <v>178</v>
      </c>
      <c r="B440" s="24" t="s">
        <v>63</v>
      </c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5"/>
    </row>
    <row r="441" spans="1:22" s="11" customFormat="1" x14ac:dyDescent="0.2">
      <c r="A441" s="47" t="s">
        <v>30</v>
      </c>
      <c r="B441" s="82" t="s">
        <v>191</v>
      </c>
      <c r="C441" s="82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</row>
    <row r="442" spans="1:22" s="11" customFormat="1" ht="99.95" customHeight="1" x14ac:dyDescent="0.2">
      <c r="A442" s="47"/>
      <c r="B442" s="60" t="s">
        <v>412</v>
      </c>
      <c r="C442" s="61" t="s">
        <v>412</v>
      </c>
      <c r="D442" s="61"/>
      <c r="E442" s="61"/>
      <c r="F442" s="61"/>
      <c r="G442" s="61"/>
      <c r="H442" s="61"/>
      <c r="I442" s="62"/>
      <c r="J442" s="57" t="s">
        <v>66</v>
      </c>
      <c r="K442" s="57"/>
      <c r="L442" s="57" t="s">
        <v>60</v>
      </c>
      <c r="M442" s="57"/>
      <c r="N442" s="57" t="s">
        <v>63</v>
      </c>
      <c r="O442" s="57" t="s">
        <v>63</v>
      </c>
      <c r="P442" s="57" t="s">
        <v>63</v>
      </c>
      <c r="Q442" s="85"/>
      <c r="R442" s="57"/>
      <c r="S442" s="57"/>
      <c r="T442" s="57" t="s">
        <v>81</v>
      </c>
      <c r="U442" s="57"/>
      <c r="V442" s="57"/>
    </row>
    <row r="443" spans="1:22" s="11" customFormat="1" x14ac:dyDescent="0.2">
      <c r="A443" s="47"/>
      <c r="B443" s="59" t="s">
        <v>5</v>
      </c>
      <c r="C443" s="59" t="s">
        <v>5</v>
      </c>
      <c r="D443" s="9">
        <f>SUM(D444:D447)</f>
        <v>67568</v>
      </c>
      <c r="E443" s="10">
        <f>SUM(E444:E447)</f>
        <v>16892</v>
      </c>
      <c r="F443" s="10"/>
      <c r="G443" s="10">
        <f>SUM(G444:G447)</f>
        <v>16892</v>
      </c>
      <c r="H443" s="10">
        <f t="shared" ref="H443:I443" si="55">SUM(H444:H447)</f>
        <v>16892</v>
      </c>
      <c r="I443" s="10">
        <f t="shared" si="55"/>
        <v>16892</v>
      </c>
      <c r="J443" s="57"/>
      <c r="K443" s="57"/>
      <c r="L443" s="57"/>
      <c r="M443" s="57"/>
      <c r="N443" s="57"/>
      <c r="O443" s="57"/>
      <c r="P443" s="57"/>
      <c r="Q443" s="85"/>
      <c r="R443" s="57"/>
      <c r="S443" s="57"/>
      <c r="T443" s="57"/>
      <c r="U443" s="57"/>
      <c r="V443" s="57"/>
    </row>
    <row r="444" spans="1:22" s="11" customFormat="1" x14ac:dyDescent="0.2">
      <c r="A444" s="47"/>
      <c r="B444" s="59" t="s">
        <v>0</v>
      </c>
      <c r="C444" s="59" t="s">
        <v>0</v>
      </c>
      <c r="D444" s="9">
        <f>E444+F444+G444+H444+I444</f>
        <v>0</v>
      </c>
      <c r="E444" s="10"/>
      <c r="F444" s="10"/>
      <c r="G444" s="10"/>
      <c r="H444" s="10"/>
      <c r="I444" s="10"/>
      <c r="J444" s="57"/>
      <c r="K444" s="57"/>
      <c r="L444" s="57"/>
      <c r="M444" s="57"/>
      <c r="N444" s="57"/>
      <c r="O444" s="57"/>
      <c r="P444" s="57"/>
      <c r="Q444" s="85"/>
      <c r="R444" s="57"/>
      <c r="S444" s="57"/>
      <c r="T444" s="57"/>
      <c r="U444" s="57"/>
      <c r="V444" s="57"/>
    </row>
    <row r="445" spans="1:22" s="11" customFormat="1" x14ac:dyDescent="0.2">
      <c r="A445" s="47"/>
      <c r="B445" s="59" t="s">
        <v>1</v>
      </c>
      <c r="C445" s="59" t="s">
        <v>1</v>
      </c>
      <c r="D445" s="9">
        <f>E445+F445+G445+H445+I445</f>
        <v>67568</v>
      </c>
      <c r="E445" s="10">
        <v>16892</v>
      </c>
      <c r="F445" s="10"/>
      <c r="G445" s="10">
        <v>16892</v>
      </c>
      <c r="H445" s="10">
        <v>16892</v>
      </c>
      <c r="I445" s="10">
        <v>16892</v>
      </c>
      <c r="J445" s="57"/>
      <c r="K445" s="57"/>
      <c r="L445" s="57"/>
      <c r="M445" s="57"/>
      <c r="N445" s="57"/>
      <c r="O445" s="57"/>
      <c r="P445" s="57"/>
      <c r="Q445" s="85"/>
      <c r="R445" s="57"/>
      <c r="S445" s="57"/>
      <c r="T445" s="57"/>
      <c r="U445" s="57"/>
      <c r="V445" s="57"/>
    </row>
    <row r="446" spans="1:22" x14ac:dyDescent="0.2">
      <c r="A446" s="47"/>
      <c r="B446" s="59" t="s">
        <v>2</v>
      </c>
      <c r="C446" s="59" t="s">
        <v>2</v>
      </c>
      <c r="D446" s="9">
        <f>E446+F446+G446+H446+I446</f>
        <v>0</v>
      </c>
      <c r="E446" s="10"/>
      <c r="F446" s="10"/>
      <c r="G446" s="10"/>
      <c r="H446" s="10"/>
      <c r="I446" s="10"/>
      <c r="J446" s="57"/>
      <c r="K446" s="57"/>
      <c r="L446" s="57"/>
      <c r="M446" s="57"/>
      <c r="N446" s="57"/>
      <c r="O446" s="57"/>
      <c r="P446" s="57"/>
      <c r="Q446" s="85"/>
      <c r="R446" s="57"/>
      <c r="S446" s="57"/>
      <c r="T446" s="57"/>
      <c r="U446" s="57"/>
      <c r="V446" s="57"/>
    </row>
    <row r="447" spans="1:22" s="11" customFormat="1" ht="21" customHeight="1" x14ac:dyDescent="0.2">
      <c r="A447" s="48"/>
      <c r="B447" s="59" t="s">
        <v>3</v>
      </c>
      <c r="C447" s="59" t="s">
        <v>3</v>
      </c>
      <c r="D447" s="9">
        <f>E447+F447+G447+H447+I447</f>
        <v>0</v>
      </c>
      <c r="E447" s="10"/>
      <c r="F447" s="10"/>
      <c r="G447" s="10"/>
      <c r="H447" s="10"/>
      <c r="I447" s="10"/>
      <c r="J447" s="57"/>
      <c r="K447" s="57"/>
      <c r="L447" s="57"/>
      <c r="M447" s="57"/>
      <c r="N447" s="57"/>
      <c r="O447" s="57"/>
      <c r="P447" s="57"/>
      <c r="Q447" s="85"/>
      <c r="R447" s="57"/>
      <c r="S447" s="57"/>
      <c r="T447" s="57"/>
      <c r="U447" s="57"/>
      <c r="V447" s="57"/>
    </row>
    <row r="448" spans="1:22" s="11" customFormat="1" x14ac:dyDescent="0.2">
      <c r="A448" s="46" t="s">
        <v>424</v>
      </c>
      <c r="B448" s="78" t="s">
        <v>16</v>
      </c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</row>
    <row r="449" spans="1:22" s="11" customFormat="1" ht="33" customHeight="1" x14ac:dyDescent="0.2">
      <c r="A449" s="47" t="s">
        <v>30</v>
      </c>
      <c r="B449" s="82" t="s">
        <v>180</v>
      </c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</row>
    <row r="450" spans="1:22" s="11" customFormat="1" ht="38.25" customHeight="1" x14ac:dyDescent="0.2">
      <c r="A450" s="47"/>
      <c r="B450" s="30" t="s">
        <v>425</v>
      </c>
      <c r="C450" s="30" t="s">
        <v>425</v>
      </c>
      <c r="D450" s="30"/>
      <c r="E450" s="30"/>
      <c r="F450" s="30"/>
      <c r="G450" s="30"/>
      <c r="H450" s="30"/>
      <c r="I450" s="30"/>
      <c r="J450" s="57" t="s">
        <v>428</v>
      </c>
      <c r="K450" s="57"/>
      <c r="L450" s="57" t="s">
        <v>60</v>
      </c>
      <c r="M450" s="57"/>
      <c r="N450" s="57" t="s">
        <v>82</v>
      </c>
      <c r="O450" s="57" t="s">
        <v>16</v>
      </c>
      <c r="P450" s="57" t="s">
        <v>82</v>
      </c>
      <c r="Q450" s="85"/>
      <c r="R450" s="57" t="s">
        <v>11</v>
      </c>
      <c r="S450" s="57" t="s">
        <v>127</v>
      </c>
      <c r="T450" s="57" t="s">
        <v>17</v>
      </c>
      <c r="U450" s="57"/>
      <c r="V450" s="57"/>
    </row>
    <row r="451" spans="1:22" s="11" customFormat="1" x14ac:dyDescent="0.2">
      <c r="A451" s="47"/>
      <c r="B451" s="30" t="s">
        <v>5</v>
      </c>
      <c r="C451" s="30" t="s">
        <v>5</v>
      </c>
      <c r="D451" s="12">
        <f>SUM(D452:D455)</f>
        <v>360247.217</v>
      </c>
      <c r="E451" s="13">
        <f>SUM(E452:E455)</f>
        <v>272300</v>
      </c>
      <c r="F451" s="13">
        <f>SUM(F452:F455)</f>
        <v>2637.6170000000002</v>
      </c>
      <c r="G451" s="13">
        <f>SUM(G452:G455)</f>
        <v>85309.6</v>
      </c>
      <c r="H451" s="13"/>
      <c r="I451" s="13"/>
      <c r="J451" s="57"/>
      <c r="K451" s="57"/>
      <c r="L451" s="57"/>
      <c r="M451" s="57"/>
      <c r="N451" s="57"/>
      <c r="O451" s="57"/>
      <c r="P451" s="57"/>
      <c r="Q451" s="85"/>
      <c r="R451" s="57"/>
      <c r="S451" s="57"/>
      <c r="T451" s="57"/>
      <c r="U451" s="57"/>
      <c r="V451" s="57"/>
    </row>
    <row r="452" spans="1:22" s="11" customFormat="1" x14ac:dyDescent="0.2">
      <c r="A452" s="47"/>
      <c r="B452" s="30" t="s">
        <v>0</v>
      </c>
      <c r="C452" s="30" t="s">
        <v>0</v>
      </c>
      <c r="D452" s="12">
        <f>E452+F452+G452+H452+I452</f>
        <v>297947.217</v>
      </c>
      <c r="E452" s="13">
        <f>173241.5+36758.5</f>
        <v>210000</v>
      </c>
      <c r="F452" s="13">
        <v>2637.6170000000002</v>
      </c>
      <c r="G452" s="13">
        <v>85309.6</v>
      </c>
      <c r="H452" s="13"/>
      <c r="I452" s="13"/>
      <c r="J452" s="57"/>
      <c r="K452" s="57"/>
      <c r="L452" s="57"/>
      <c r="M452" s="57"/>
      <c r="N452" s="57"/>
      <c r="O452" s="57"/>
      <c r="P452" s="57"/>
      <c r="Q452" s="85"/>
      <c r="R452" s="57"/>
      <c r="S452" s="57"/>
      <c r="T452" s="57"/>
      <c r="U452" s="57"/>
      <c r="V452" s="57"/>
    </row>
    <row r="453" spans="1:22" s="11" customFormat="1" x14ac:dyDescent="0.2">
      <c r="A453" s="47"/>
      <c r="B453" s="30" t="s">
        <v>1</v>
      </c>
      <c r="C453" s="30" t="s">
        <v>1</v>
      </c>
      <c r="D453" s="12">
        <f>E453+F453+G453+H453+I453</f>
        <v>62300</v>
      </c>
      <c r="E453" s="13">
        <f>3000+59300</f>
        <v>62300</v>
      </c>
      <c r="F453" s="13"/>
      <c r="G453" s="13"/>
      <c r="H453" s="13"/>
      <c r="I453" s="13"/>
      <c r="J453" s="57"/>
      <c r="K453" s="57"/>
      <c r="L453" s="57"/>
      <c r="M453" s="57"/>
      <c r="N453" s="57"/>
      <c r="O453" s="57"/>
      <c r="P453" s="57"/>
      <c r="Q453" s="85"/>
      <c r="R453" s="57"/>
      <c r="S453" s="57"/>
      <c r="T453" s="57"/>
      <c r="U453" s="57"/>
      <c r="V453" s="57"/>
    </row>
    <row r="454" spans="1:22" s="11" customFormat="1" x14ac:dyDescent="0.2">
      <c r="A454" s="47"/>
      <c r="B454" s="59" t="s">
        <v>2</v>
      </c>
      <c r="C454" s="59" t="s">
        <v>2</v>
      </c>
      <c r="D454" s="9">
        <f>E454+F454+G454+H454+I454</f>
        <v>0</v>
      </c>
      <c r="E454" s="10"/>
      <c r="F454" s="10"/>
      <c r="G454" s="10"/>
      <c r="H454" s="10"/>
      <c r="I454" s="10"/>
      <c r="J454" s="57"/>
      <c r="K454" s="57"/>
      <c r="L454" s="57"/>
      <c r="M454" s="57"/>
      <c r="N454" s="57"/>
      <c r="O454" s="57"/>
      <c r="P454" s="57"/>
      <c r="Q454" s="85"/>
      <c r="R454" s="57"/>
      <c r="S454" s="57"/>
      <c r="T454" s="57"/>
      <c r="U454" s="57"/>
      <c r="V454" s="57"/>
    </row>
    <row r="455" spans="1:22" s="11" customFormat="1" ht="13.5" customHeight="1" x14ac:dyDescent="0.2">
      <c r="A455" s="48"/>
      <c r="B455" s="59" t="s">
        <v>3</v>
      </c>
      <c r="C455" s="59" t="s">
        <v>3</v>
      </c>
      <c r="D455" s="9">
        <f>E455+F455+G455+H455+I455</f>
        <v>0</v>
      </c>
      <c r="E455" s="10"/>
      <c r="F455" s="10"/>
      <c r="G455" s="10"/>
      <c r="H455" s="10"/>
      <c r="I455" s="10"/>
      <c r="J455" s="57"/>
      <c r="K455" s="57"/>
      <c r="L455" s="57"/>
      <c r="M455" s="57"/>
      <c r="N455" s="57"/>
      <c r="O455" s="57"/>
      <c r="P455" s="57"/>
      <c r="Q455" s="85"/>
      <c r="R455" s="57"/>
      <c r="S455" s="57"/>
      <c r="T455" s="57"/>
      <c r="U455" s="57"/>
      <c r="V455" s="57"/>
    </row>
    <row r="456" spans="1:22" s="11" customFormat="1" x14ac:dyDescent="0.2">
      <c r="A456" s="46" t="s">
        <v>515</v>
      </c>
      <c r="B456" s="78" t="s">
        <v>16</v>
      </c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</row>
    <row r="457" spans="1:22" s="11" customFormat="1" ht="14.25" customHeight="1" x14ac:dyDescent="0.2">
      <c r="A457" s="47" t="s">
        <v>30</v>
      </c>
      <c r="B457" s="82" t="s">
        <v>179</v>
      </c>
      <c r="C457" s="82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</row>
    <row r="458" spans="1:22" s="11" customFormat="1" ht="54.75" customHeight="1" x14ac:dyDescent="0.2">
      <c r="A458" s="47"/>
      <c r="B458" s="30" t="s">
        <v>516</v>
      </c>
      <c r="C458" s="30" t="s">
        <v>516</v>
      </c>
      <c r="D458" s="30"/>
      <c r="E458" s="30"/>
      <c r="F458" s="30"/>
      <c r="G458" s="30"/>
      <c r="H458" s="30"/>
      <c r="I458" s="30"/>
      <c r="J458" s="57" t="s">
        <v>117</v>
      </c>
      <c r="K458" s="57"/>
      <c r="L458" s="57" t="s">
        <v>60</v>
      </c>
      <c r="M458" s="57"/>
      <c r="N458" s="57" t="s">
        <v>82</v>
      </c>
      <c r="O458" s="57" t="s">
        <v>16</v>
      </c>
      <c r="P458" s="57" t="s">
        <v>82</v>
      </c>
      <c r="Q458" s="85" t="s">
        <v>517</v>
      </c>
      <c r="R458" s="57"/>
      <c r="S458" s="57" t="s">
        <v>12</v>
      </c>
      <c r="T458" s="69" t="s">
        <v>17</v>
      </c>
      <c r="U458" s="57"/>
      <c r="V458" s="57" t="s">
        <v>518</v>
      </c>
    </row>
    <row r="459" spans="1:22" s="11" customFormat="1" x14ac:dyDescent="0.2">
      <c r="A459" s="47"/>
      <c r="B459" s="30" t="s">
        <v>5</v>
      </c>
      <c r="C459" s="30" t="s">
        <v>5</v>
      </c>
      <c r="D459" s="12">
        <f>SUM(D460:D463)</f>
        <v>183227.69474000001</v>
      </c>
      <c r="E459" s="12">
        <f>SUM(E460:E463)</f>
        <v>173774.6</v>
      </c>
      <c r="F459" s="12">
        <f>SUM(F460:F463)</f>
        <v>9453.0947400000005</v>
      </c>
      <c r="G459" s="13"/>
      <c r="H459" s="13"/>
      <c r="I459" s="13"/>
      <c r="J459" s="57"/>
      <c r="K459" s="57"/>
      <c r="L459" s="57"/>
      <c r="M459" s="57"/>
      <c r="N459" s="57"/>
      <c r="O459" s="57"/>
      <c r="P459" s="57"/>
      <c r="Q459" s="85"/>
      <c r="R459" s="57"/>
      <c r="S459" s="57"/>
      <c r="T459" s="69"/>
      <c r="U459" s="57"/>
      <c r="V459" s="57"/>
    </row>
    <row r="460" spans="1:22" s="11" customFormat="1" x14ac:dyDescent="0.2">
      <c r="A460" s="47"/>
      <c r="B460" s="30" t="s">
        <v>0</v>
      </c>
      <c r="C460" s="30" t="s">
        <v>0</v>
      </c>
      <c r="D460" s="12">
        <f>SUM(E460:I460)</f>
        <v>140774.6</v>
      </c>
      <c r="E460" s="13">
        <f>0+140774.6</f>
        <v>140774.6</v>
      </c>
      <c r="F460" s="13"/>
      <c r="G460" s="13"/>
      <c r="H460" s="13"/>
      <c r="I460" s="13"/>
      <c r="J460" s="57"/>
      <c r="K460" s="57"/>
      <c r="L460" s="57"/>
      <c r="M460" s="57"/>
      <c r="N460" s="57"/>
      <c r="O460" s="57"/>
      <c r="P460" s="57"/>
      <c r="Q460" s="85"/>
      <c r="R460" s="57"/>
      <c r="S460" s="57"/>
      <c r="T460" s="69"/>
      <c r="U460" s="57"/>
      <c r="V460" s="57"/>
    </row>
    <row r="461" spans="1:22" s="11" customFormat="1" x14ac:dyDescent="0.2">
      <c r="A461" s="47"/>
      <c r="B461" s="30" t="s">
        <v>1</v>
      </c>
      <c r="C461" s="30" t="s">
        <v>1</v>
      </c>
      <c r="D461" s="12">
        <f t="shared" ref="D461:D462" si="56">SUM(E461:I461)</f>
        <v>42453.09474</v>
      </c>
      <c r="E461" s="13">
        <f>3000+30000</f>
        <v>33000</v>
      </c>
      <c r="F461" s="13">
        <f>0+9453.09474</f>
        <v>9453.0947400000005</v>
      </c>
      <c r="G461" s="13"/>
      <c r="H461" s="13"/>
      <c r="I461" s="13"/>
      <c r="J461" s="57"/>
      <c r="K461" s="57"/>
      <c r="L461" s="57"/>
      <c r="M461" s="57"/>
      <c r="N461" s="57"/>
      <c r="O461" s="57"/>
      <c r="P461" s="57"/>
      <c r="Q461" s="85"/>
      <c r="R461" s="57"/>
      <c r="S461" s="57"/>
      <c r="T461" s="69"/>
      <c r="U461" s="57"/>
      <c r="V461" s="57"/>
    </row>
    <row r="462" spans="1:22" s="11" customFormat="1" x14ac:dyDescent="0.2">
      <c r="A462" s="47"/>
      <c r="B462" s="59" t="s">
        <v>2</v>
      </c>
      <c r="C462" s="59" t="s">
        <v>2</v>
      </c>
      <c r="D462" s="9">
        <f t="shared" si="56"/>
        <v>0</v>
      </c>
      <c r="E462" s="10"/>
      <c r="F462" s="10"/>
      <c r="G462" s="10"/>
      <c r="H462" s="10"/>
      <c r="I462" s="10"/>
      <c r="J462" s="57"/>
      <c r="K462" s="57"/>
      <c r="L462" s="57"/>
      <c r="M462" s="57"/>
      <c r="N462" s="57"/>
      <c r="O462" s="57"/>
      <c r="P462" s="57"/>
      <c r="Q462" s="85"/>
      <c r="R462" s="57"/>
      <c r="S462" s="57"/>
      <c r="T462" s="69"/>
      <c r="U462" s="57"/>
      <c r="V462" s="57"/>
    </row>
    <row r="463" spans="1:22" s="11" customFormat="1" ht="14.25" customHeight="1" x14ac:dyDescent="0.2">
      <c r="A463" s="48"/>
      <c r="B463" s="59" t="s">
        <v>3</v>
      </c>
      <c r="C463" s="59" t="s">
        <v>3</v>
      </c>
      <c r="D463" s="9">
        <f>SUM(E463:I463)</f>
        <v>0</v>
      </c>
      <c r="E463" s="10"/>
      <c r="F463" s="10"/>
      <c r="G463" s="10"/>
      <c r="H463" s="10"/>
      <c r="I463" s="10"/>
      <c r="J463" s="57"/>
      <c r="K463" s="57"/>
      <c r="L463" s="57"/>
      <c r="M463" s="57"/>
      <c r="N463" s="57"/>
      <c r="O463" s="57"/>
      <c r="P463" s="57"/>
      <c r="Q463" s="85"/>
      <c r="R463" s="57"/>
      <c r="S463" s="57"/>
      <c r="T463" s="69"/>
      <c r="U463" s="57"/>
      <c r="V463" s="57"/>
    </row>
    <row r="464" spans="1:22" x14ac:dyDescent="0.2">
      <c r="A464" s="46" t="s">
        <v>547</v>
      </c>
      <c r="B464" s="24" t="s">
        <v>16</v>
      </c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5"/>
    </row>
    <row r="465" spans="1:22" s="11" customFormat="1" ht="28.5" customHeight="1" x14ac:dyDescent="0.2">
      <c r="A465" s="47" t="s">
        <v>30</v>
      </c>
      <c r="B465" s="82" t="s">
        <v>549</v>
      </c>
      <c r="C465" s="82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</row>
    <row r="466" spans="1:22" s="11" customFormat="1" ht="63" customHeight="1" x14ac:dyDescent="0.2">
      <c r="A466" s="47"/>
      <c r="B466" s="54" t="s">
        <v>548</v>
      </c>
      <c r="C466" s="55" t="s">
        <v>181</v>
      </c>
      <c r="D466" s="55"/>
      <c r="E466" s="55"/>
      <c r="F466" s="55"/>
      <c r="G466" s="55"/>
      <c r="H466" s="55"/>
      <c r="I466" s="56"/>
      <c r="J466" s="43"/>
      <c r="K466" s="86" t="s">
        <v>66</v>
      </c>
      <c r="L466" s="86" t="s">
        <v>60</v>
      </c>
      <c r="M466" s="86"/>
      <c r="N466" s="86" t="s">
        <v>82</v>
      </c>
      <c r="O466" s="86" t="s">
        <v>16</v>
      </c>
      <c r="P466" s="86" t="s">
        <v>82</v>
      </c>
      <c r="Q466" s="89"/>
      <c r="R466" s="86" t="s">
        <v>11</v>
      </c>
      <c r="S466" s="86" t="s">
        <v>10</v>
      </c>
      <c r="T466" s="86" t="s">
        <v>171</v>
      </c>
      <c r="U466" s="86"/>
      <c r="V466" s="86"/>
    </row>
    <row r="467" spans="1:22" s="11" customFormat="1" ht="14.25" customHeight="1" x14ac:dyDescent="0.2">
      <c r="A467" s="47"/>
      <c r="B467" s="30" t="s">
        <v>5</v>
      </c>
      <c r="C467" s="30" t="s">
        <v>5</v>
      </c>
      <c r="D467" s="12">
        <f>SUM(D468:D471)</f>
        <v>12933.333330000001</v>
      </c>
      <c r="E467" s="13">
        <f>SUM(E468:E471)</f>
        <v>12933.333330000001</v>
      </c>
      <c r="F467" s="13"/>
      <c r="G467" s="13"/>
      <c r="H467" s="13"/>
      <c r="I467" s="13"/>
      <c r="J467" s="44"/>
      <c r="K467" s="87"/>
      <c r="L467" s="87"/>
      <c r="M467" s="87"/>
      <c r="N467" s="87"/>
      <c r="O467" s="87"/>
      <c r="P467" s="87"/>
      <c r="Q467" s="90"/>
      <c r="R467" s="87"/>
      <c r="S467" s="87"/>
      <c r="T467" s="87"/>
      <c r="U467" s="87"/>
      <c r="V467" s="87"/>
    </row>
    <row r="468" spans="1:22" s="11" customFormat="1" ht="14.25" customHeight="1" x14ac:dyDescent="0.2">
      <c r="A468" s="47"/>
      <c r="B468" s="30" t="s">
        <v>0</v>
      </c>
      <c r="C468" s="30" t="s">
        <v>0</v>
      </c>
      <c r="D468" s="12">
        <f>E468+F468+G468+H468+I468</f>
        <v>0</v>
      </c>
      <c r="E468" s="13"/>
      <c r="F468" s="13"/>
      <c r="G468" s="13"/>
      <c r="H468" s="13"/>
      <c r="I468" s="13"/>
      <c r="J468" s="44"/>
      <c r="K468" s="87"/>
      <c r="L468" s="87"/>
      <c r="M468" s="87"/>
      <c r="N468" s="87"/>
      <c r="O468" s="87"/>
      <c r="P468" s="87"/>
      <c r="Q468" s="90"/>
      <c r="R468" s="87"/>
      <c r="S468" s="87"/>
      <c r="T468" s="87"/>
      <c r="U468" s="87"/>
      <c r="V468" s="87"/>
    </row>
    <row r="469" spans="1:22" s="11" customFormat="1" ht="14.25" customHeight="1" x14ac:dyDescent="0.2">
      <c r="A469" s="47"/>
      <c r="B469" s="30" t="s">
        <v>1</v>
      </c>
      <c r="C469" s="30" t="s">
        <v>1</v>
      </c>
      <c r="D469" s="9">
        <f>E469+F469+G469+H469+I469</f>
        <v>12933.333330000001</v>
      </c>
      <c r="E469" s="13">
        <f>0+6270+6663.33333</f>
        <v>12933.333330000001</v>
      </c>
      <c r="F469" s="10"/>
      <c r="G469" s="10"/>
      <c r="H469" s="10"/>
      <c r="I469" s="10"/>
      <c r="J469" s="44"/>
      <c r="K469" s="87"/>
      <c r="L469" s="87"/>
      <c r="M469" s="87"/>
      <c r="N469" s="87"/>
      <c r="O469" s="87"/>
      <c r="P469" s="87"/>
      <c r="Q469" s="90"/>
      <c r="R469" s="87"/>
      <c r="S469" s="87"/>
      <c r="T469" s="87"/>
      <c r="U469" s="87"/>
      <c r="V469" s="87"/>
    </row>
    <row r="470" spans="1:22" s="11" customFormat="1" ht="14.25" customHeight="1" x14ac:dyDescent="0.2">
      <c r="A470" s="47"/>
      <c r="B470" s="59" t="s">
        <v>2</v>
      </c>
      <c r="C470" s="59" t="s">
        <v>2</v>
      </c>
      <c r="D470" s="9">
        <f>E470+F470+G470+H470+I470</f>
        <v>0</v>
      </c>
      <c r="E470" s="10"/>
      <c r="F470" s="10"/>
      <c r="G470" s="10"/>
      <c r="H470" s="10"/>
      <c r="I470" s="10"/>
      <c r="J470" s="44"/>
      <c r="K470" s="87"/>
      <c r="L470" s="87"/>
      <c r="M470" s="87"/>
      <c r="N470" s="87"/>
      <c r="O470" s="87"/>
      <c r="P470" s="87"/>
      <c r="Q470" s="90"/>
      <c r="R470" s="87"/>
      <c r="S470" s="87"/>
      <c r="T470" s="87"/>
      <c r="U470" s="87"/>
      <c r="V470" s="87"/>
    </row>
    <row r="471" spans="1:22" s="11" customFormat="1" ht="13.5" customHeight="1" x14ac:dyDescent="0.2">
      <c r="A471" s="48"/>
      <c r="B471" s="59" t="s">
        <v>3</v>
      </c>
      <c r="C471" s="59" t="s">
        <v>3</v>
      </c>
      <c r="D471" s="9">
        <f>E471+F471+G471+H471+I471</f>
        <v>0</v>
      </c>
      <c r="E471" s="10"/>
      <c r="F471" s="10"/>
      <c r="G471" s="10"/>
      <c r="H471" s="10"/>
      <c r="I471" s="10"/>
      <c r="J471" s="45"/>
      <c r="K471" s="88"/>
      <c r="L471" s="88"/>
      <c r="M471" s="88"/>
      <c r="N471" s="88"/>
      <c r="O471" s="88"/>
      <c r="P471" s="88"/>
      <c r="Q471" s="91"/>
      <c r="R471" s="88"/>
      <c r="S471" s="88"/>
      <c r="T471" s="88"/>
      <c r="U471" s="88"/>
      <c r="V471" s="88"/>
    </row>
    <row r="472" spans="1:22" x14ac:dyDescent="0.2">
      <c r="A472" s="46" t="s">
        <v>553</v>
      </c>
      <c r="B472" s="24" t="s">
        <v>16</v>
      </c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5"/>
    </row>
    <row r="473" spans="1:22" s="11" customFormat="1" ht="33.75" customHeight="1" x14ac:dyDescent="0.2">
      <c r="A473" s="47" t="s">
        <v>30</v>
      </c>
      <c r="B473" s="82" t="s">
        <v>552</v>
      </c>
      <c r="C473" s="82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</row>
    <row r="474" spans="1:22" s="11" customFormat="1" ht="56.25" customHeight="1" x14ac:dyDescent="0.2">
      <c r="A474" s="47"/>
      <c r="B474" s="54" t="s">
        <v>551</v>
      </c>
      <c r="C474" s="55" t="s">
        <v>181</v>
      </c>
      <c r="D474" s="55"/>
      <c r="E474" s="55"/>
      <c r="F474" s="55"/>
      <c r="G474" s="55"/>
      <c r="H474" s="55"/>
      <c r="I474" s="56"/>
      <c r="J474" s="69" t="s">
        <v>66</v>
      </c>
      <c r="K474" s="57"/>
      <c r="L474" s="57" t="s">
        <v>60</v>
      </c>
      <c r="M474" s="57"/>
      <c r="N474" s="57" t="s">
        <v>82</v>
      </c>
      <c r="O474" s="57" t="s">
        <v>16</v>
      </c>
      <c r="P474" s="57" t="s">
        <v>82</v>
      </c>
      <c r="Q474" s="85"/>
      <c r="R474" s="57" t="s">
        <v>11</v>
      </c>
      <c r="S474" s="57" t="s">
        <v>10</v>
      </c>
      <c r="T474" s="57" t="s">
        <v>7</v>
      </c>
      <c r="U474" s="57"/>
      <c r="V474" s="57"/>
    </row>
    <row r="475" spans="1:22" s="11" customFormat="1" x14ac:dyDescent="0.2">
      <c r="A475" s="47"/>
      <c r="B475" s="30" t="s">
        <v>5</v>
      </c>
      <c r="C475" s="30" t="s">
        <v>5</v>
      </c>
      <c r="D475" s="12">
        <f>SUM(D476:D479)</f>
        <v>321920.46999999997</v>
      </c>
      <c r="E475" s="13">
        <f>SUM(E476:E479)</f>
        <v>321920.46999999997</v>
      </c>
      <c r="F475" s="13"/>
      <c r="G475" s="13"/>
      <c r="H475" s="13"/>
      <c r="I475" s="13"/>
      <c r="J475" s="69"/>
      <c r="K475" s="57"/>
      <c r="L475" s="57"/>
      <c r="M475" s="57"/>
      <c r="N475" s="57"/>
      <c r="O475" s="57"/>
      <c r="P475" s="57"/>
      <c r="Q475" s="85"/>
      <c r="R475" s="57"/>
      <c r="S475" s="57"/>
      <c r="T475" s="57"/>
      <c r="U475" s="57"/>
      <c r="V475" s="57"/>
    </row>
    <row r="476" spans="1:22" s="11" customFormat="1" x14ac:dyDescent="0.2">
      <c r="A476" s="47"/>
      <c r="B476" s="30" t="s">
        <v>0</v>
      </c>
      <c r="C476" s="30" t="s">
        <v>0</v>
      </c>
      <c r="D476" s="12">
        <f>E476+F476+G476+H476+I476</f>
        <v>0</v>
      </c>
      <c r="E476" s="13"/>
      <c r="F476" s="13"/>
      <c r="G476" s="13"/>
      <c r="H476" s="13"/>
      <c r="I476" s="13"/>
      <c r="J476" s="69"/>
      <c r="K476" s="57"/>
      <c r="L476" s="57"/>
      <c r="M476" s="57"/>
      <c r="N476" s="57"/>
      <c r="O476" s="57"/>
      <c r="P476" s="57"/>
      <c r="Q476" s="85"/>
      <c r="R476" s="57"/>
      <c r="S476" s="57"/>
      <c r="T476" s="57"/>
      <c r="U476" s="57"/>
      <c r="V476" s="57"/>
    </row>
    <row r="477" spans="1:22" s="11" customFormat="1" x14ac:dyDescent="0.2">
      <c r="A477" s="47"/>
      <c r="B477" s="59" t="s">
        <v>1</v>
      </c>
      <c r="C477" s="59" t="s">
        <v>1</v>
      </c>
      <c r="D477" s="9">
        <f>E477+F477+G477+H477+I477</f>
        <v>321920.46999999997</v>
      </c>
      <c r="E477" s="13">
        <f>0+314935.6+6984.87</f>
        <v>321920.46999999997</v>
      </c>
      <c r="F477" s="10"/>
      <c r="G477" s="10"/>
      <c r="H477" s="10"/>
      <c r="I477" s="10"/>
      <c r="J477" s="69"/>
      <c r="K477" s="57"/>
      <c r="L477" s="57"/>
      <c r="M477" s="57"/>
      <c r="N477" s="57"/>
      <c r="O477" s="57"/>
      <c r="P477" s="57"/>
      <c r="Q477" s="85"/>
      <c r="R477" s="57"/>
      <c r="S477" s="57"/>
      <c r="T477" s="57"/>
      <c r="U477" s="57"/>
      <c r="V477" s="57"/>
    </row>
    <row r="478" spans="1:22" s="11" customFormat="1" x14ac:dyDescent="0.2">
      <c r="A478" s="47"/>
      <c r="B478" s="59" t="s">
        <v>2</v>
      </c>
      <c r="C478" s="59" t="s">
        <v>2</v>
      </c>
      <c r="D478" s="9">
        <f>E478+F478+G478+H478+I478</f>
        <v>0</v>
      </c>
      <c r="E478" s="10"/>
      <c r="F478" s="10"/>
      <c r="G478" s="10"/>
      <c r="H478" s="10"/>
      <c r="I478" s="10"/>
      <c r="J478" s="69"/>
      <c r="K478" s="57"/>
      <c r="L478" s="57"/>
      <c r="M478" s="57"/>
      <c r="N478" s="57"/>
      <c r="O478" s="57"/>
      <c r="P478" s="57"/>
      <c r="Q478" s="85"/>
      <c r="R478" s="57"/>
      <c r="S478" s="57"/>
      <c r="T478" s="57"/>
      <c r="U478" s="57"/>
      <c r="V478" s="57"/>
    </row>
    <row r="479" spans="1:22" s="11" customFormat="1" ht="14.25" customHeight="1" x14ac:dyDescent="0.2">
      <c r="A479" s="48"/>
      <c r="B479" s="59" t="s">
        <v>3</v>
      </c>
      <c r="C479" s="59" t="s">
        <v>3</v>
      </c>
      <c r="D479" s="9">
        <f>E479+F479+G479+H479+I479</f>
        <v>0</v>
      </c>
      <c r="E479" s="10"/>
      <c r="F479" s="10"/>
      <c r="G479" s="10"/>
      <c r="H479" s="10"/>
      <c r="I479" s="10"/>
      <c r="J479" s="69"/>
      <c r="K479" s="57"/>
      <c r="L479" s="57"/>
      <c r="M479" s="57"/>
      <c r="N479" s="57"/>
      <c r="O479" s="57"/>
      <c r="P479" s="57"/>
      <c r="Q479" s="85"/>
      <c r="R479" s="57"/>
      <c r="S479" s="57"/>
      <c r="T479" s="57"/>
      <c r="U479" s="57"/>
      <c r="V479" s="57"/>
    </row>
    <row r="480" spans="1:22" x14ac:dyDescent="0.2">
      <c r="A480" s="46" t="s">
        <v>554</v>
      </c>
      <c r="B480" s="24" t="s">
        <v>16</v>
      </c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5"/>
    </row>
    <row r="481" spans="1:22" s="11" customFormat="1" ht="31.5" customHeight="1" x14ac:dyDescent="0.2">
      <c r="A481" s="47" t="s">
        <v>30</v>
      </c>
      <c r="B481" s="82" t="s">
        <v>732</v>
      </c>
      <c r="C481" s="82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</row>
    <row r="482" spans="1:22" s="11" customFormat="1" ht="64.5" customHeight="1" x14ac:dyDescent="0.2">
      <c r="A482" s="47"/>
      <c r="B482" s="54" t="s">
        <v>555</v>
      </c>
      <c r="C482" s="55" t="s">
        <v>181</v>
      </c>
      <c r="D482" s="55"/>
      <c r="E482" s="55"/>
      <c r="F482" s="55"/>
      <c r="G482" s="55"/>
      <c r="H482" s="55"/>
      <c r="I482" s="56"/>
      <c r="J482" s="69" t="s">
        <v>579</v>
      </c>
      <c r="K482" s="57"/>
      <c r="L482" s="57" t="s">
        <v>61</v>
      </c>
      <c r="M482" s="57"/>
      <c r="N482" s="57" t="s">
        <v>58</v>
      </c>
      <c r="O482" s="57"/>
      <c r="P482" s="57" t="s">
        <v>64</v>
      </c>
      <c r="Q482" s="85"/>
      <c r="R482" s="57" t="s">
        <v>9</v>
      </c>
      <c r="S482" s="57" t="s">
        <v>58</v>
      </c>
      <c r="T482" s="57" t="s">
        <v>7</v>
      </c>
      <c r="U482" s="57"/>
      <c r="V482" s="57"/>
    </row>
    <row r="483" spans="1:22" s="11" customFormat="1" x14ac:dyDescent="0.2">
      <c r="A483" s="47"/>
      <c r="B483" s="30" t="s">
        <v>5</v>
      </c>
      <c r="C483" s="30" t="s">
        <v>5</v>
      </c>
      <c r="D483" s="12">
        <f>SUM(D484:D487)</f>
        <v>47876.925430000003</v>
      </c>
      <c r="E483" s="13">
        <f>SUM(E484:E487)</f>
        <v>27876.925430000003</v>
      </c>
      <c r="F483" s="13"/>
      <c r="G483" s="13"/>
      <c r="H483" s="13"/>
      <c r="I483" s="13"/>
      <c r="J483" s="69"/>
      <c r="K483" s="57"/>
      <c r="L483" s="57"/>
      <c r="M483" s="57"/>
      <c r="N483" s="57"/>
      <c r="O483" s="57"/>
      <c r="P483" s="57"/>
      <c r="Q483" s="85"/>
      <c r="R483" s="57"/>
      <c r="S483" s="57"/>
      <c r="T483" s="57"/>
      <c r="U483" s="57"/>
      <c r="V483" s="57"/>
    </row>
    <row r="484" spans="1:22" s="11" customFormat="1" x14ac:dyDescent="0.2">
      <c r="A484" s="47"/>
      <c r="B484" s="30" t="s">
        <v>0</v>
      </c>
      <c r="C484" s="30" t="s">
        <v>0</v>
      </c>
      <c r="D484" s="12">
        <f>E484+F484+G484+H484+I484</f>
        <v>0</v>
      </c>
      <c r="E484" s="13"/>
      <c r="F484" s="13"/>
      <c r="G484" s="13"/>
      <c r="H484" s="13"/>
      <c r="I484" s="13"/>
      <c r="J484" s="69"/>
      <c r="K484" s="57"/>
      <c r="L484" s="57"/>
      <c r="M484" s="57"/>
      <c r="N484" s="57"/>
      <c r="O484" s="57"/>
      <c r="P484" s="57"/>
      <c r="Q484" s="85"/>
      <c r="R484" s="57"/>
      <c r="S484" s="57"/>
      <c r="T484" s="57"/>
      <c r="U484" s="57"/>
      <c r="V484" s="57"/>
    </row>
    <row r="485" spans="1:22" s="11" customFormat="1" x14ac:dyDescent="0.2">
      <c r="A485" s="47"/>
      <c r="B485" s="59" t="s">
        <v>1</v>
      </c>
      <c r="C485" s="59" t="s">
        <v>1</v>
      </c>
      <c r="D485" s="9">
        <f>E485+F485+G485+H485+I485</f>
        <v>47876.925430000003</v>
      </c>
      <c r="E485" s="13">
        <f>3905.06143+23971.864</f>
        <v>27876.925430000003</v>
      </c>
      <c r="F485" s="13">
        <f>0+10000</f>
        <v>10000</v>
      </c>
      <c r="G485" s="13">
        <f>0+10000</f>
        <v>10000</v>
      </c>
      <c r="H485" s="10"/>
      <c r="I485" s="10"/>
      <c r="J485" s="69"/>
      <c r="K485" s="57"/>
      <c r="L485" s="57"/>
      <c r="M485" s="57"/>
      <c r="N485" s="57"/>
      <c r="O485" s="57"/>
      <c r="P485" s="57"/>
      <c r="Q485" s="85"/>
      <c r="R485" s="57"/>
      <c r="S485" s="57"/>
      <c r="T485" s="57"/>
      <c r="U485" s="57"/>
      <c r="V485" s="57"/>
    </row>
    <row r="486" spans="1:22" s="11" customFormat="1" x14ac:dyDescent="0.2">
      <c r="A486" s="47"/>
      <c r="B486" s="59" t="s">
        <v>2</v>
      </c>
      <c r="C486" s="59" t="s">
        <v>2</v>
      </c>
      <c r="D486" s="9">
        <f>E486+F486+G486+H486+I486</f>
        <v>0</v>
      </c>
      <c r="E486" s="10"/>
      <c r="F486" s="10"/>
      <c r="G486" s="10"/>
      <c r="H486" s="10"/>
      <c r="I486" s="10"/>
      <c r="J486" s="69"/>
      <c r="K486" s="57"/>
      <c r="L486" s="57"/>
      <c r="M486" s="57"/>
      <c r="N486" s="57"/>
      <c r="O486" s="57"/>
      <c r="P486" s="57"/>
      <c r="Q486" s="85"/>
      <c r="R486" s="57"/>
      <c r="S486" s="57"/>
      <c r="T486" s="57"/>
      <c r="U486" s="57"/>
      <c r="V486" s="57"/>
    </row>
    <row r="487" spans="1:22" s="11" customFormat="1" ht="15" customHeight="1" x14ac:dyDescent="0.2">
      <c r="A487" s="48"/>
      <c r="B487" s="59" t="s">
        <v>3</v>
      </c>
      <c r="C487" s="59" t="s">
        <v>3</v>
      </c>
      <c r="D487" s="9">
        <f>E487+F487+G487+H487+I487</f>
        <v>0</v>
      </c>
      <c r="E487" s="10"/>
      <c r="F487" s="10"/>
      <c r="G487" s="10"/>
      <c r="H487" s="10"/>
      <c r="I487" s="10"/>
      <c r="J487" s="69"/>
      <c r="K487" s="57"/>
      <c r="L487" s="57"/>
      <c r="M487" s="57"/>
      <c r="N487" s="57"/>
      <c r="O487" s="57"/>
      <c r="P487" s="57"/>
      <c r="Q487" s="85"/>
      <c r="R487" s="57"/>
      <c r="S487" s="57"/>
      <c r="T487" s="57"/>
      <c r="U487" s="57"/>
      <c r="V487" s="57"/>
    </row>
    <row r="488" spans="1:22" s="11" customFormat="1" ht="16.5" customHeight="1" x14ac:dyDescent="0.2">
      <c r="A488" s="46" t="s">
        <v>605</v>
      </c>
      <c r="B488" s="24" t="s">
        <v>16</v>
      </c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5"/>
    </row>
    <row r="489" spans="1:22" s="11" customFormat="1" ht="15.75" customHeight="1" x14ac:dyDescent="0.2">
      <c r="A489" s="47" t="s">
        <v>30</v>
      </c>
      <c r="B489" s="26" t="s">
        <v>604</v>
      </c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</row>
    <row r="490" spans="1:22" s="11" customFormat="1" ht="36" customHeight="1" x14ac:dyDescent="0.2">
      <c r="A490" s="47"/>
      <c r="B490" s="54" t="s">
        <v>607</v>
      </c>
      <c r="C490" s="55" t="s">
        <v>181</v>
      </c>
      <c r="D490" s="55"/>
      <c r="E490" s="55"/>
      <c r="F490" s="55"/>
      <c r="G490" s="55"/>
      <c r="H490" s="55"/>
      <c r="I490" s="56"/>
      <c r="J490" s="43"/>
      <c r="K490" s="43" t="s">
        <v>609</v>
      </c>
      <c r="L490" s="43" t="s">
        <v>60</v>
      </c>
      <c r="M490" s="43" t="s">
        <v>610</v>
      </c>
      <c r="N490" s="43" t="s">
        <v>82</v>
      </c>
      <c r="O490" s="43" t="s">
        <v>16</v>
      </c>
      <c r="P490" s="43" t="s">
        <v>82</v>
      </c>
      <c r="Q490" s="63" t="s">
        <v>611</v>
      </c>
      <c r="R490" s="43" t="s">
        <v>11</v>
      </c>
      <c r="S490" s="43" t="s">
        <v>10</v>
      </c>
      <c r="T490" s="43" t="s">
        <v>171</v>
      </c>
      <c r="U490" s="43"/>
      <c r="V490" s="43"/>
    </row>
    <row r="491" spans="1:22" s="11" customFormat="1" ht="15" customHeight="1" x14ac:dyDescent="0.2">
      <c r="A491" s="47"/>
      <c r="B491" s="30" t="s">
        <v>5</v>
      </c>
      <c r="C491" s="30" t="s">
        <v>5</v>
      </c>
      <c r="D491" s="12">
        <f>SUM(D492:D495)</f>
        <v>25000</v>
      </c>
      <c r="E491" s="13">
        <f>SUM(E492:E495)</f>
        <v>25000</v>
      </c>
      <c r="F491" s="13"/>
      <c r="G491" s="13"/>
      <c r="H491" s="13"/>
      <c r="I491" s="13"/>
      <c r="J491" s="44"/>
      <c r="K491" s="44"/>
      <c r="L491" s="44"/>
      <c r="M491" s="44"/>
      <c r="N491" s="44"/>
      <c r="O491" s="44"/>
      <c r="P491" s="44"/>
      <c r="Q491" s="64"/>
      <c r="R491" s="44"/>
      <c r="S491" s="44"/>
      <c r="T491" s="44"/>
      <c r="U491" s="44"/>
      <c r="V491" s="44"/>
    </row>
    <row r="492" spans="1:22" s="11" customFormat="1" ht="15" customHeight="1" x14ac:dyDescent="0.2">
      <c r="A492" s="47"/>
      <c r="B492" s="30" t="s">
        <v>0</v>
      </c>
      <c r="C492" s="30" t="s">
        <v>0</v>
      </c>
      <c r="D492" s="12">
        <f>E492+F492+G492+H492+I492</f>
        <v>0</v>
      </c>
      <c r="E492" s="13"/>
      <c r="F492" s="13"/>
      <c r="G492" s="13"/>
      <c r="H492" s="13"/>
      <c r="I492" s="13"/>
      <c r="J492" s="44"/>
      <c r="K492" s="44"/>
      <c r="L492" s="44"/>
      <c r="M492" s="44"/>
      <c r="N492" s="44"/>
      <c r="O492" s="44"/>
      <c r="P492" s="44"/>
      <c r="Q492" s="64"/>
      <c r="R492" s="44"/>
      <c r="S492" s="44"/>
      <c r="T492" s="44"/>
      <c r="U492" s="44"/>
      <c r="V492" s="44"/>
    </row>
    <row r="493" spans="1:22" s="11" customFormat="1" ht="15" customHeight="1" x14ac:dyDescent="0.2">
      <c r="A493" s="47"/>
      <c r="B493" s="30" t="s">
        <v>1</v>
      </c>
      <c r="C493" s="30" t="s">
        <v>1</v>
      </c>
      <c r="D493" s="12">
        <f>E493+F493+G493+H493+I493</f>
        <v>25000</v>
      </c>
      <c r="E493" s="13">
        <f>0+25000</f>
        <v>25000</v>
      </c>
      <c r="F493" s="13"/>
      <c r="G493" s="13"/>
      <c r="H493" s="13"/>
      <c r="I493" s="13"/>
      <c r="J493" s="44"/>
      <c r="K493" s="44"/>
      <c r="L493" s="44"/>
      <c r="M493" s="44"/>
      <c r="N493" s="44"/>
      <c r="O493" s="44"/>
      <c r="P493" s="44"/>
      <c r="Q493" s="64"/>
      <c r="R493" s="44"/>
      <c r="S493" s="44"/>
      <c r="T493" s="44"/>
      <c r="U493" s="44"/>
      <c r="V493" s="44"/>
    </row>
    <row r="494" spans="1:22" s="11" customFormat="1" ht="14.25" customHeight="1" x14ac:dyDescent="0.2">
      <c r="A494" s="47"/>
      <c r="B494" s="30" t="s">
        <v>2</v>
      </c>
      <c r="C494" s="30" t="s">
        <v>2</v>
      </c>
      <c r="D494" s="12">
        <f>E494+F494+G494+H494+I494</f>
        <v>0</v>
      </c>
      <c r="E494" s="13"/>
      <c r="F494" s="13"/>
      <c r="G494" s="13"/>
      <c r="H494" s="13"/>
      <c r="I494" s="13"/>
      <c r="J494" s="44"/>
      <c r="K494" s="44"/>
      <c r="L494" s="44"/>
      <c r="M494" s="44"/>
      <c r="N494" s="44"/>
      <c r="O494" s="44"/>
      <c r="P494" s="44"/>
      <c r="Q494" s="64"/>
      <c r="R494" s="44"/>
      <c r="S494" s="44"/>
      <c r="T494" s="44"/>
      <c r="U494" s="44"/>
      <c r="V494" s="44"/>
    </row>
    <row r="495" spans="1:22" s="11" customFormat="1" ht="14.25" customHeight="1" x14ac:dyDescent="0.2">
      <c r="A495" s="48"/>
      <c r="B495" s="30" t="s">
        <v>3</v>
      </c>
      <c r="C495" s="30" t="s">
        <v>3</v>
      </c>
      <c r="D495" s="12">
        <f>E495+F495+G495+H495+I495</f>
        <v>0</v>
      </c>
      <c r="E495" s="13"/>
      <c r="F495" s="13"/>
      <c r="G495" s="13"/>
      <c r="H495" s="13"/>
      <c r="I495" s="13"/>
      <c r="J495" s="45"/>
      <c r="K495" s="45"/>
      <c r="L495" s="45"/>
      <c r="M495" s="45"/>
      <c r="N495" s="45"/>
      <c r="O495" s="45"/>
      <c r="P495" s="45"/>
      <c r="Q495" s="65"/>
      <c r="R495" s="45"/>
      <c r="S495" s="45"/>
      <c r="T495" s="45"/>
      <c r="U495" s="45"/>
      <c r="V495" s="45"/>
    </row>
    <row r="496" spans="1:22" s="11" customFormat="1" ht="15.75" customHeight="1" x14ac:dyDescent="0.2">
      <c r="A496" s="46" t="s">
        <v>606</v>
      </c>
      <c r="B496" s="24" t="s">
        <v>16</v>
      </c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5"/>
    </row>
    <row r="497" spans="1:22" s="11" customFormat="1" ht="15" customHeight="1" x14ac:dyDescent="0.2">
      <c r="A497" s="47" t="s">
        <v>30</v>
      </c>
      <c r="B497" s="26" t="s">
        <v>604</v>
      </c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</row>
    <row r="498" spans="1:22" s="11" customFormat="1" ht="36.75" customHeight="1" x14ac:dyDescent="0.2">
      <c r="A498" s="47"/>
      <c r="B498" s="54" t="s">
        <v>608</v>
      </c>
      <c r="C498" s="55" t="s">
        <v>181</v>
      </c>
      <c r="D498" s="55"/>
      <c r="E498" s="55"/>
      <c r="F498" s="55"/>
      <c r="G498" s="55"/>
      <c r="H498" s="55"/>
      <c r="I498" s="56"/>
      <c r="J498" s="43"/>
      <c r="K498" s="43" t="s">
        <v>609</v>
      </c>
      <c r="L498" s="43" t="s">
        <v>60</v>
      </c>
      <c r="M498" s="43" t="s">
        <v>612</v>
      </c>
      <c r="N498" s="43" t="s">
        <v>82</v>
      </c>
      <c r="O498" s="43" t="s">
        <v>16</v>
      </c>
      <c r="P498" s="43" t="s">
        <v>82</v>
      </c>
      <c r="Q498" s="63" t="s">
        <v>613</v>
      </c>
      <c r="R498" s="43" t="s">
        <v>11</v>
      </c>
      <c r="S498" s="43" t="s">
        <v>10</v>
      </c>
      <c r="T498" s="43" t="s">
        <v>171</v>
      </c>
      <c r="U498" s="43"/>
      <c r="V498" s="43"/>
    </row>
    <row r="499" spans="1:22" s="11" customFormat="1" ht="16.5" customHeight="1" x14ac:dyDescent="0.2">
      <c r="A499" s="47"/>
      <c r="B499" s="30" t="s">
        <v>5</v>
      </c>
      <c r="C499" s="30" t="s">
        <v>5</v>
      </c>
      <c r="D499" s="12">
        <f>SUM(D500:D503)</f>
        <v>10000</v>
      </c>
      <c r="E499" s="13">
        <f>SUM(E500:E503)</f>
        <v>10000</v>
      </c>
      <c r="F499" s="13"/>
      <c r="G499" s="13"/>
      <c r="H499" s="13"/>
      <c r="I499" s="13"/>
      <c r="J499" s="44"/>
      <c r="K499" s="44"/>
      <c r="L499" s="44"/>
      <c r="M499" s="44"/>
      <c r="N499" s="44"/>
      <c r="O499" s="44"/>
      <c r="P499" s="44"/>
      <c r="Q499" s="64"/>
      <c r="R499" s="44"/>
      <c r="S499" s="44"/>
      <c r="T499" s="44"/>
      <c r="U499" s="44"/>
      <c r="V499" s="44"/>
    </row>
    <row r="500" spans="1:22" s="11" customFormat="1" ht="14.25" customHeight="1" x14ac:dyDescent="0.2">
      <c r="A500" s="47"/>
      <c r="B500" s="30" t="s">
        <v>0</v>
      </c>
      <c r="C500" s="30" t="s">
        <v>0</v>
      </c>
      <c r="D500" s="12">
        <f>E500+F500+G500+H500+I500</f>
        <v>0</v>
      </c>
      <c r="E500" s="13"/>
      <c r="F500" s="13"/>
      <c r="G500" s="13"/>
      <c r="H500" s="13"/>
      <c r="I500" s="13"/>
      <c r="J500" s="44"/>
      <c r="K500" s="44"/>
      <c r="L500" s="44"/>
      <c r="M500" s="44"/>
      <c r="N500" s="44"/>
      <c r="O500" s="44"/>
      <c r="P500" s="44"/>
      <c r="Q500" s="64"/>
      <c r="R500" s="44"/>
      <c r="S500" s="44"/>
      <c r="T500" s="44"/>
      <c r="U500" s="44"/>
      <c r="V500" s="44"/>
    </row>
    <row r="501" spans="1:22" s="11" customFormat="1" ht="16.5" customHeight="1" x14ac:dyDescent="0.2">
      <c r="A501" s="47"/>
      <c r="B501" s="30" t="s">
        <v>1</v>
      </c>
      <c r="C501" s="30" t="s">
        <v>1</v>
      </c>
      <c r="D501" s="12">
        <f>E501+F501+G501+H501+I501</f>
        <v>10000</v>
      </c>
      <c r="E501" s="13">
        <f>0+10000</f>
        <v>10000</v>
      </c>
      <c r="F501" s="13"/>
      <c r="G501" s="13"/>
      <c r="H501" s="13"/>
      <c r="I501" s="13"/>
      <c r="J501" s="44"/>
      <c r="K501" s="44"/>
      <c r="L501" s="44"/>
      <c r="M501" s="44"/>
      <c r="N501" s="44"/>
      <c r="O501" s="44"/>
      <c r="P501" s="44"/>
      <c r="Q501" s="64"/>
      <c r="R501" s="44"/>
      <c r="S501" s="44"/>
      <c r="T501" s="44"/>
      <c r="U501" s="44"/>
      <c r="V501" s="44"/>
    </row>
    <row r="502" spans="1:22" s="11" customFormat="1" ht="16.5" customHeight="1" x14ac:dyDescent="0.2">
      <c r="A502" s="47"/>
      <c r="B502" s="30" t="s">
        <v>2</v>
      </c>
      <c r="C502" s="30" t="s">
        <v>2</v>
      </c>
      <c r="D502" s="12">
        <f>E502+F502+G502+H502+I502</f>
        <v>0</v>
      </c>
      <c r="E502" s="13"/>
      <c r="F502" s="13"/>
      <c r="G502" s="13"/>
      <c r="H502" s="13"/>
      <c r="I502" s="13"/>
      <c r="J502" s="44"/>
      <c r="K502" s="44"/>
      <c r="L502" s="44"/>
      <c r="M502" s="44"/>
      <c r="N502" s="44"/>
      <c r="O502" s="44"/>
      <c r="P502" s="44"/>
      <c r="Q502" s="64"/>
      <c r="R502" s="44"/>
      <c r="S502" s="44"/>
      <c r="T502" s="44"/>
      <c r="U502" s="44"/>
      <c r="V502" s="44"/>
    </row>
    <row r="503" spans="1:22" s="11" customFormat="1" ht="17.25" customHeight="1" x14ac:dyDescent="0.2">
      <c r="A503" s="48"/>
      <c r="B503" s="30" t="s">
        <v>3</v>
      </c>
      <c r="C503" s="30" t="s">
        <v>3</v>
      </c>
      <c r="D503" s="12">
        <f>E503+F503+G503+H503+I503</f>
        <v>0</v>
      </c>
      <c r="E503" s="13"/>
      <c r="F503" s="13"/>
      <c r="G503" s="13"/>
      <c r="H503" s="13"/>
      <c r="I503" s="13"/>
      <c r="J503" s="45"/>
      <c r="K503" s="45"/>
      <c r="L503" s="45"/>
      <c r="M503" s="45"/>
      <c r="N503" s="45"/>
      <c r="O503" s="45"/>
      <c r="P503" s="45"/>
      <c r="Q503" s="65"/>
      <c r="R503" s="45"/>
      <c r="S503" s="45"/>
      <c r="T503" s="45"/>
      <c r="U503" s="45"/>
      <c r="V503" s="45"/>
    </row>
    <row r="504" spans="1:22" s="11" customFormat="1" ht="13.5" customHeight="1" x14ac:dyDescent="0.2">
      <c r="A504" s="46" t="s">
        <v>619</v>
      </c>
      <c r="B504" s="49" t="s">
        <v>16</v>
      </c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50"/>
    </row>
    <row r="505" spans="1:22" s="11" customFormat="1" ht="15" customHeight="1" x14ac:dyDescent="0.2">
      <c r="A505" s="47" t="s">
        <v>30</v>
      </c>
      <c r="B505" s="51" t="s">
        <v>644</v>
      </c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3"/>
    </row>
    <row r="506" spans="1:22" s="11" customFormat="1" ht="39" customHeight="1" x14ac:dyDescent="0.2">
      <c r="A506" s="47"/>
      <c r="B506" s="66" t="s">
        <v>620</v>
      </c>
      <c r="C506" s="67"/>
      <c r="D506" s="67"/>
      <c r="E506" s="67"/>
      <c r="F506" s="67"/>
      <c r="G506" s="67"/>
      <c r="H506" s="67"/>
      <c r="I506" s="68"/>
      <c r="J506" s="58"/>
      <c r="K506" s="58"/>
      <c r="L506" s="58" t="s">
        <v>62</v>
      </c>
      <c r="M506" s="58"/>
      <c r="N506" s="58" t="s">
        <v>58</v>
      </c>
      <c r="O506" s="58"/>
      <c r="P506" s="58" t="s">
        <v>64</v>
      </c>
      <c r="Q506" s="115"/>
      <c r="R506" s="58" t="s">
        <v>9</v>
      </c>
      <c r="S506" s="58" t="s">
        <v>58</v>
      </c>
      <c r="T506" s="58" t="s">
        <v>17</v>
      </c>
      <c r="U506" s="58"/>
      <c r="V506" s="58"/>
    </row>
    <row r="507" spans="1:22" s="11" customFormat="1" ht="18" customHeight="1" x14ac:dyDescent="0.2">
      <c r="A507" s="47"/>
      <c r="B507" s="30" t="s">
        <v>5</v>
      </c>
      <c r="C507" s="30" t="s">
        <v>5</v>
      </c>
      <c r="D507" s="12">
        <f>SUM(D508:D512)</f>
        <v>307566.87008000002</v>
      </c>
      <c r="E507" s="12">
        <f>SUM(E508:E512)</f>
        <v>307566.87008000002</v>
      </c>
      <c r="F507" s="12">
        <f t="shared" ref="F507:G507" si="57">SUM(F508:F512)</f>
        <v>0</v>
      </c>
      <c r="G507" s="12">
        <f t="shared" si="57"/>
        <v>0</v>
      </c>
      <c r="H507" s="12"/>
      <c r="I507" s="12"/>
      <c r="J507" s="44"/>
      <c r="K507" s="44"/>
      <c r="L507" s="44"/>
      <c r="M507" s="44"/>
      <c r="N507" s="44"/>
      <c r="O507" s="44"/>
      <c r="P507" s="44"/>
      <c r="Q507" s="64"/>
      <c r="R507" s="44"/>
      <c r="S507" s="44"/>
      <c r="T507" s="44"/>
      <c r="U507" s="44"/>
      <c r="V507" s="44"/>
    </row>
    <row r="508" spans="1:22" s="11" customFormat="1" ht="17.25" customHeight="1" x14ac:dyDescent="0.2">
      <c r="A508" s="47"/>
      <c r="B508" s="30" t="s">
        <v>0</v>
      </c>
      <c r="C508" s="30" t="s">
        <v>0</v>
      </c>
      <c r="D508" s="12">
        <f>SUM(E508:I508)</f>
        <v>0</v>
      </c>
      <c r="E508" s="13"/>
      <c r="F508" s="13"/>
      <c r="G508" s="13"/>
      <c r="H508" s="13"/>
      <c r="I508" s="13"/>
      <c r="J508" s="44"/>
      <c r="K508" s="44"/>
      <c r="L508" s="44"/>
      <c r="M508" s="44"/>
      <c r="N508" s="44"/>
      <c r="O508" s="44"/>
      <c r="P508" s="44"/>
      <c r="Q508" s="64"/>
      <c r="R508" s="44"/>
      <c r="S508" s="44"/>
      <c r="T508" s="44"/>
      <c r="U508" s="44"/>
      <c r="V508" s="44"/>
    </row>
    <row r="509" spans="1:22" s="11" customFormat="1" ht="17.25" customHeight="1" x14ac:dyDescent="0.2">
      <c r="A509" s="47"/>
      <c r="B509" s="30" t="s">
        <v>1</v>
      </c>
      <c r="C509" s="30" t="s">
        <v>1</v>
      </c>
      <c r="D509" s="12">
        <f t="shared" ref="D509:D512" si="58">SUM(E509:I509)</f>
        <v>27462.67008</v>
      </c>
      <c r="E509" s="13">
        <f>0+27462.67008</f>
        <v>27462.67008</v>
      </c>
      <c r="F509" s="13"/>
      <c r="G509" s="13"/>
      <c r="H509" s="13"/>
      <c r="I509" s="13"/>
      <c r="J509" s="44"/>
      <c r="K509" s="44"/>
      <c r="L509" s="44"/>
      <c r="M509" s="44"/>
      <c r="N509" s="44"/>
      <c r="O509" s="44"/>
      <c r="P509" s="44"/>
      <c r="Q509" s="64"/>
      <c r="R509" s="44"/>
      <c r="S509" s="44"/>
      <c r="T509" s="44"/>
      <c r="U509" s="44"/>
      <c r="V509" s="44"/>
    </row>
    <row r="510" spans="1:22" s="11" customFormat="1" ht="14.25" customHeight="1" x14ac:dyDescent="0.2">
      <c r="A510" s="47"/>
      <c r="B510" s="30" t="s">
        <v>2</v>
      </c>
      <c r="C510" s="30" t="s">
        <v>2</v>
      </c>
      <c r="D510" s="12">
        <f t="shared" si="58"/>
        <v>0</v>
      </c>
      <c r="E510" s="13"/>
      <c r="F510" s="13"/>
      <c r="G510" s="13"/>
      <c r="H510" s="13"/>
      <c r="I510" s="13"/>
      <c r="J510" s="44"/>
      <c r="K510" s="44"/>
      <c r="L510" s="44"/>
      <c r="M510" s="44"/>
      <c r="N510" s="44"/>
      <c r="O510" s="44"/>
      <c r="P510" s="44"/>
      <c r="Q510" s="64"/>
      <c r="R510" s="44"/>
      <c r="S510" s="44"/>
      <c r="T510" s="44"/>
      <c r="U510" s="44"/>
      <c r="V510" s="44"/>
    </row>
    <row r="511" spans="1:22" s="11" customFormat="1" ht="14.25" customHeight="1" x14ac:dyDescent="0.2">
      <c r="A511" s="47"/>
      <c r="B511" s="30" t="s">
        <v>3</v>
      </c>
      <c r="C511" s="30" t="s">
        <v>3</v>
      </c>
      <c r="D511" s="12">
        <v>0</v>
      </c>
      <c r="E511" s="13"/>
      <c r="F511" s="13"/>
      <c r="G511" s="13"/>
      <c r="H511" s="13"/>
      <c r="I511" s="13"/>
      <c r="J511" s="44"/>
      <c r="K511" s="44"/>
      <c r="L511" s="44"/>
      <c r="M511" s="44"/>
      <c r="N511" s="44"/>
      <c r="O511" s="44"/>
      <c r="P511" s="44"/>
      <c r="Q511" s="64"/>
      <c r="R511" s="44"/>
      <c r="S511" s="44"/>
      <c r="T511" s="44"/>
      <c r="U511" s="44"/>
      <c r="V511" s="44"/>
    </row>
    <row r="512" spans="1:22" s="11" customFormat="1" ht="45.75" customHeight="1" x14ac:dyDescent="0.2">
      <c r="A512" s="48"/>
      <c r="B512" s="30" t="s">
        <v>670</v>
      </c>
      <c r="C512" s="30" t="s">
        <v>3</v>
      </c>
      <c r="D512" s="12">
        <f t="shared" si="58"/>
        <v>280104.2</v>
      </c>
      <c r="E512" s="13">
        <f>0+280104.2</f>
        <v>280104.2</v>
      </c>
      <c r="F512" s="13"/>
      <c r="G512" s="13"/>
      <c r="H512" s="13"/>
      <c r="I512" s="13"/>
      <c r="J512" s="45"/>
      <c r="K512" s="45"/>
      <c r="L512" s="45"/>
      <c r="M512" s="45"/>
      <c r="N512" s="45"/>
      <c r="O512" s="45"/>
      <c r="P512" s="45"/>
      <c r="Q512" s="65"/>
      <c r="R512" s="45"/>
      <c r="S512" s="45"/>
      <c r="T512" s="45"/>
      <c r="U512" s="45"/>
      <c r="V512" s="45"/>
    </row>
    <row r="513" spans="1:22" s="11" customFormat="1" ht="14.25" customHeight="1" x14ac:dyDescent="0.2">
      <c r="A513" s="101" t="s">
        <v>726</v>
      </c>
      <c r="B513" s="49" t="s">
        <v>16</v>
      </c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50"/>
    </row>
    <row r="514" spans="1:22" s="11" customFormat="1" ht="14.25" customHeight="1" x14ac:dyDescent="0.2">
      <c r="A514" s="102"/>
      <c r="B514" s="51" t="s">
        <v>730</v>
      </c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3"/>
    </row>
    <row r="515" spans="1:22" s="11" customFormat="1" ht="45.75" customHeight="1" x14ac:dyDescent="0.2">
      <c r="A515" s="102"/>
      <c r="B515" s="66" t="s">
        <v>727</v>
      </c>
      <c r="C515" s="67"/>
      <c r="D515" s="67"/>
      <c r="E515" s="67"/>
      <c r="F515" s="67"/>
      <c r="G515" s="67"/>
      <c r="H515" s="67"/>
      <c r="I515" s="68"/>
      <c r="J515" s="58" t="s">
        <v>701</v>
      </c>
      <c r="K515" s="58" t="s">
        <v>728</v>
      </c>
      <c r="L515" s="58" t="s">
        <v>60</v>
      </c>
      <c r="M515" s="58" t="s">
        <v>729</v>
      </c>
      <c r="N515" s="58" t="s">
        <v>82</v>
      </c>
      <c r="O515" s="58" t="s">
        <v>16</v>
      </c>
      <c r="P515" s="58" t="s">
        <v>82</v>
      </c>
      <c r="Q515" s="58"/>
      <c r="R515" s="58" t="s">
        <v>11</v>
      </c>
      <c r="S515" s="58" t="s">
        <v>115</v>
      </c>
      <c r="T515" s="58" t="s">
        <v>705</v>
      </c>
      <c r="U515" s="58"/>
      <c r="V515" s="58"/>
    </row>
    <row r="516" spans="1:22" s="11" customFormat="1" ht="15.75" customHeight="1" x14ac:dyDescent="0.2">
      <c r="A516" s="102"/>
      <c r="B516" s="30" t="s">
        <v>5</v>
      </c>
      <c r="C516" s="30" t="s">
        <v>5</v>
      </c>
      <c r="D516" s="12">
        <f>SUM(D517:D520)</f>
        <v>10022.4</v>
      </c>
      <c r="E516" s="12">
        <f t="shared" ref="E516:G516" si="59">SUM(E517:E520)</f>
        <v>10022.4</v>
      </c>
      <c r="F516" s="12">
        <f t="shared" si="59"/>
        <v>0</v>
      </c>
      <c r="G516" s="12">
        <f t="shared" si="59"/>
        <v>0</v>
      </c>
      <c r="H516" s="13"/>
      <c r="I516" s="13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</row>
    <row r="517" spans="1:22" s="11" customFormat="1" ht="15.75" customHeight="1" x14ac:dyDescent="0.2">
      <c r="A517" s="102"/>
      <c r="B517" s="30" t="s">
        <v>0</v>
      </c>
      <c r="C517" s="30" t="s">
        <v>0</v>
      </c>
      <c r="D517" s="12">
        <f>SUM(E517:I517)</f>
        <v>0</v>
      </c>
      <c r="E517" s="13"/>
      <c r="F517" s="13"/>
      <c r="G517" s="13"/>
      <c r="H517" s="13"/>
      <c r="I517" s="13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</row>
    <row r="518" spans="1:22" s="11" customFormat="1" ht="17.25" customHeight="1" x14ac:dyDescent="0.2">
      <c r="A518" s="102"/>
      <c r="B518" s="30" t="s">
        <v>1</v>
      </c>
      <c r="C518" s="30" t="s">
        <v>1</v>
      </c>
      <c r="D518" s="12">
        <f t="shared" ref="D518:D520" si="60">SUM(E518:I518)</f>
        <v>10022.4</v>
      </c>
      <c r="E518" s="13">
        <f>0+10022.4</f>
        <v>10022.4</v>
      </c>
      <c r="F518" s="13"/>
      <c r="G518" s="13"/>
      <c r="H518" s="13"/>
      <c r="I518" s="13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</row>
    <row r="519" spans="1:22" s="11" customFormat="1" ht="18" customHeight="1" x14ac:dyDescent="0.2">
      <c r="A519" s="102"/>
      <c r="B519" s="30" t="s">
        <v>2</v>
      </c>
      <c r="C519" s="30" t="s">
        <v>2</v>
      </c>
      <c r="D519" s="12">
        <f t="shared" si="60"/>
        <v>0</v>
      </c>
      <c r="E519" s="13"/>
      <c r="F519" s="13"/>
      <c r="G519" s="13"/>
      <c r="H519" s="13"/>
      <c r="I519" s="13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</row>
    <row r="520" spans="1:22" s="11" customFormat="1" ht="15.75" customHeight="1" x14ac:dyDescent="0.2">
      <c r="A520" s="103"/>
      <c r="B520" s="30" t="s">
        <v>3</v>
      </c>
      <c r="C520" s="30" t="s">
        <v>3</v>
      </c>
      <c r="D520" s="12">
        <f t="shared" si="60"/>
        <v>0</v>
      </c>
      <c r="E520" s="13"/>
      <c r="F520" s="13"/>
      <c r="G520" s="13"/>
      <c r="H520" s="13"/>
      <c r="I520" s="13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</row>
    <row r="521" spans="1:22" s="11" customFormat="1" ht="18" customHeight="1" x14ac:dyDescent="0.2">
      <c r="A521" s="31" t="s">
        <v>44</v>
      </c>
      <c r="B521" s="75" t="s">
        <v>214</v>
      </c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</row>
    <row r="522" spans="1:22" s="11" customFormat="1" x14ac:dyDescent="0.2">
      <c r="A522" s="32"/>
      <c r="B522" s="76" t="s">
        <v>5</v>
      </c>
      <c r="C522" s="76"/>
      <c r="D522" s="14">
        <f>SUM(D523:D527)</f>
        <v>2679842.3241636571</v>
      </c>
      <c r="E522" s="14">
        <f>SUM(E523:E527)</f>
        <v>985959.55209375685</v>
      </c>
      <c r="F522" s="14">
        <f t="shared" ref="F522:I522" si="61">SUM(F523:F527)</f>
        <v>635640.47202854697</v>
      </c>
      <c r="G522" s="14">
        <f t="shared" si="61"/>
        <v>845530.62694924802</v>
      </c>
      <c r="H522" s="14">
        <f t="shared" si="61"/>
        <v>182945.346561493</v>
      </c>
      <c r="I522" s="14">
        <f t="shared" si="61"/>
        <v>29766.326530612245</v>
      </c>
      <c r="J522" s="34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6"/>
    </row>
    <row r="523" spans="1:22" s="11" customFormat="1" x14ac:dyDescent="0.2">
      <c r="A523" s="32"/>
      <c r="B523" s="76" t="s">
        <v>0</v>
      </c>
      <c r="C523" s="76"/>
      <c r="D523" s="14">
        <f>E523+F523+G523+H523+I523</f>
        <v>1615167.1</v>
      </c>
      <c r="E523" s="14">
        <f>E532+E540+E548+E556+E564+E572+E580+E588+E596+E604+E612+E621+E629+E637+E645+E653+E661+E669</f>
        <v>541674.69999999995</v>
      </c>
      <c r="F523" s="14">
        <f t="shared" ref="F523:I523" si="62">F532+F540+F548+F556+F564+F572+F580+F588+F596+F604+F612+F621+F629+F637+F645+F653+F661+F669</f>
        <v>458849.9</v>
      </c>
      <c r="G523" s="14">
        <f t="shared" si="62"/>
        <v>614642.5</v>
      </c>
      <c r="H523" s="14">
        <f t="shared" si="62"/>
        <v>0</v>
      </c>
      <c r="I523" s="14">
        <f t="shared" si="62"/>
        <v>0</v>
      </c>
      <c r="J523" s="37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9"/>
    </row>
    <row r="524" spans="1:22" s="11" customFormat="1" x14ac:dyDescent="0.2">
      <c r="A524" s="32"/>
      <c r="B524" s="76" t="s">
        <v>1</v>
      </c>
      <c r="C524" s="76"/>
      <c r="D524" s="14">
        <f>E524+F524+G524+H524+I524</f>
        <v>935464.30758999987</v>
      </c>
      <c r="E524" s="14">
        <f>E533+E541+E549+E557+E565+E573+E581+E589+E597+E605+E613+E622+E630+E638+E646+E654+E662+E670</f>
        <v>420659.92659000005</v>
      </c>
      <c r="F524" s="14">
        <f t="shared" ref="F524:I524" si="63">F533+F541+F549+F557+F565+F573+F581+F589+F597+F605+F613+F622+F630+F638+F646+F654+F662+F670</f>
        <v>175889.16999999998</v>
      </c>
      <c r="G524" s="14">
        <f t="shared" si="63"/>
        <v>178855.761</v>
      </c>
      <c r="H524" s="14">
        <f t="shared" si="63"/>
        <v>130888.45</v>
      </c>
      <c r="I524" s="14">
        <f t="shared" si="63"/>
        <v>29171</v>
      </c>
      <c r="J524" s="37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9"/>
    </row>
    <row r="525" spans="1:22" s="11" customFormat="1" ht="41.1" customHeight="1" x14ac:dyDescent="0.2">
      <c r="A525" s="32"/>
      <c r="B525" s="79" t="s">
        <v>514</v>
      </c>
      <c r="C525" s="80"/>
      <c r="D525" s="14">
        <f>E525+F525+G525+H525+I525</f>
        <v>18592.088409999997</v>
      </c>
      <c r="E525" s="14">
        <f>E614</f>
        <v>18592.088409999997</v>
      </c>
      <c r="F525" s="14">
        <f t="shared" ref="F525:I525" si="64">F614</f>
        <v>0</v>
      </c>
      <c r="G525" s="14">
        <f t="shared" si="64"/>
        <v>0</v>
      </c>
      <c r="H525" s="14">
        <f t="shared" si="64"/>
        <v>0</v>
      </c>
      <c r="I525" s="14">
        <f t="shared" si="64"/>
        <v>0</v>
      </c>
      <c r="J525" s="37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9"/>
    </row>
    <row r="526" spans="1:22" s="11" customFormat="1" x14ac:dyDescent="0.2">
      <c r="A526" s="32"/>
      <c r="B526" s="76" t="s">
        <v>2</v>
      </c>
      <c r="C526" s="76"/>
      <c r="D526" s="14">
        <f>E526+F526+G526+H526+I526</f>
        <v>110618.82816365716</v>
      </c>
      <c r="E526" s="14">
        <f>E534+E542+E550+E558+E566+E574+E582+E590+E598+E606+E615+E623+E631+E639+E647+E655+E663+E671</f>
        <v>5032.8370937569016</v>
      </c>
      <c r="F526" s="14">
        <f t="shared" ref="F526:I526" si="65">F534+F542+F550+F558+F566+F574+F582+F590+F598+F606+F615+F623+F631+F639+F647+F655+F663+F671</f>
        <v>901.40202854688971</v>
      </c>
      <c r="G526" s="14">
        <f t="shared" si="65"/>
        <v>52032.365949248117</v>
      </c>
      <c r="H526" s="14">
        <f t="shared" si="65"/>
        <v>52056.896561493013</v>
      </c>
      <c r="I526" s="14">
        <f t="shared" si="65"/>
        <v>595.32653061224494</v>
      </c>
      <c r="J526" s="37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9"/>
    </row>
    <row r="527" spans="1:22" s="11" customFormat="1" ht="21" customHeight="1" x14ac:dyDescent="0.2">
      <c r="A527" s="33"/>
      <c r="B527" s="76" t="s">
        <v>3</v>
      </c>
      <c r="C527" s="76"/>
      <c r="D527" s="14">
        <f>E527+F527+G527+H527+I527</f>
        <v>0</v>
      </c>
      <c r="E527" s="14">
        <f>E535+E543+E551+E559+E567+E575+E583+E591+E599+E607+E616+E624+E632+E640+E648+E656+E664+E672</f>
        <v>0</v>
      </c>
      <c r="F527" s="14">
        <f t="shared" ref="F527:I527" si="66">F535+F543+F551+F559+F567+F575+F583+F591+F599+F607+F616+F624+F632+F640+F648+F656+F664+F672</f>
        <v>0</v>
      </c>
      <c r="G527" s="14">
        <f t="shared" si="66"/>
        <v>0</v>
      </c>
      <c r="H527" s="14">
        <f t="shared" si="66"/>
        <v>0</v>
      </c>
      <c r="I527" s="14">
        <f t="shared" si="66"/>
        <v>0</v>
      </c>
      <c r="J527" s="40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2"/>
    </row>
    <row r="528" spans="1:22" s="11" customFormat="1" x14ac:dyDescent="0.2">
      <c r="A528" s="46" t="s">
        <v>45</v>
      </c>
      <c r="B528" s="24" t="s">
        <v>20</v>
      </c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5"/>
    </row>
    <row r="529" spans="1:22" s="11" customFormat="1" ht="15.75" customHeight="1" x14ac:dyDescent="0.2">
      <c r="A529" s="47" t="s">
        <v>30</v>
      </c>
      <c r="B529" s="82" t="s">
        <v>223</v>
      </c>
      <c r="C529" s="82"/>
      <c r="D529" s="82"/>
      <c r="E529" s="82"/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</row>
    <row r="530" spans="1:22" s="11" customFormat="1" ht="82.5" customHeight="1" x14ac:dyDescent="0.2">
      <c r="A530" s="47"/>
      <c r="B530" s="60" t="s">
        <v>224</v>
      </c>
      <c r="C530" s="61" t="s">
        <v>224</v>
      </c>
      <c r="D530" s="61"/>
      <c r="E530" s="61"/>
      <c r="F530" s="61"/>
      <c r="G530" s="61"/>
      <c r="H530" s="61"/>
      <c r="I530" s="62"/>
      <c r="J530" s="57" t="s">
        <v>117</v>
      </c>
      <c r="K530" s="57"/>
      <c r="L530" s="57" t="s">
        <v>61</v>
      </c>
      <c r="M530" s="57" t="s">
        <v>225</v>
      </c>
      <c r="N530" s="57" t="s">
        <v>226</v>
      </c>
      <c r="O530" s="57" t="s">
        <v>227</v>
      </c>
      <c r="P530" s="57" t="s">
        <v>227</v>
      </c>
      <c r="Q530" s="85" t="s">
        <v>385</v>
      </c>
      <c r="R530" s="57" t="s">
        <v>9</v>
      </c>
      <c r="S530" s="57" t="s">
        <v>226</v>
      </c>
      <c r="T530" s="57" t="s">
        <v>17</v>
      </c>
      <c r="U530" s="57"/>
      <c r="V530" s="57"/>
    </row>
    <row r="531" spans="1:22" s="11" customFormat="1" x14ac:dyDescent="0.2">
      <c r="A531" s="47"/>
      <c r="B531" s="59" t="s">
        <v>5</v>
      </c>
      <c r="C531" s="59" t="s">
        <v>5</v>
      </c>
      <c r="D531" s="9">
        <f>SUM(D532:D535)</f>
        <v>60120.240480961926</v>
      </c>
      <c r="E531" s="10">
        <f>SUM(E532:E535)</f>
        <v>50100.200400801601</v>
      </c>
      <c r="F531" s="10">
        <f>SUM(F532:F535)</f>
        <v>10020.040080160321</v>
      </c>
      <c r="G531" s="10"/>
      <c r="H531" s="10"/>
      <c r="I531" s="10"/>
      <c r="J531" s="57"/>
      <c r="K531" s="57"/>
      <c r="L531" s="57"/>
      <c r="M531" s="57"/>
      <c r="N531" s="57"/>
      <c r="O531" s="57"/>
      <c r="P531" s="57"/>
      <c r="Q531" s="85"/>
      <c r="R531" s="57"/>
      <c r="S531" s="57"/>
      <c r="T531" s="57"/>
      <c r="U531" s="57"/>
      <c r="V531" s="57"/>
    </row>
    <row r="532" spans="1:22" s="11" customFormat="1" x14ac:dyDescent="0.2">
      <c r="A532" s="47"/>
      <c r="B532" s="59" t="s">
        <v>0</v>
      </c>
      <c r="C532" s="59" t="s">
        <v>0</v>
      </c>
      <c r="D532" s="9">
        <f>E532+F532+G532+H532+I532</f>
        <v>0</v>
      </c>
      <c r="E532" s="10"/>
      <c r="F532" s="10"/>
      <c r="G532" s="10"/>
      <c r="H532" s="10"/>
      <c r="I532" s="10"/>
      <c r="J532" s="57"/>
      <c r="K532" s="57"/>
      <c r="L532" s="57"/>
      <c r="M532" s="57"/>
      <c r="N532" s="57"/>
      <c r="O532" s="57"/>
      <c r="P532" s="57"/>
      <c r="Q532" s="85"/>
      <c r="R532" s="57"/>
      <c r="S532" s="57"/>
      <c r="T532" s="57"/>
      <c r="U532" s="57"/>
      <c r="V532" s="57"/>
    </row>
    <row r="533" spans="1:22" s="11" customFormat="1" x14ac:dyDescent="0.2">
      <c r="A533" s="47"/>
      <c r="B533" s="59" t="s">
        <v>1</v>
      </c>
      <c r="C533" s="59" t="s">
        <v>1</v>
      </c>
      <c r="D533" s="9">
        <f>E533+F533+G533+H533+I533</f>
        <v>60000</v>
      </c>
      <c r="E533" s="10">
        <v>50000</v>
      </c>
      <c r="F533" s="10">
        <v>10000</v>
      </c>
      <c r="G533" s="10"/>
      <c r="H533" s="10"/>
      <c r="I533" s="10"/>
      <c r="J533" s="57"/>
      <c r="K533" s="57"/>
      <c r="L533" s="57"/>
      <c r="M533" s="57"/>
      <c r="N533" s="57"/>
      <c r="O533" s="57"/>
      <c r="P533" s="57"/>
      <c r="Q533" s="85"/>
      <c r="R533" s="57"/>
      <c r="S533" s="57"/>
      <c r="T533" s="57"/>
      <c r="U533" s="57"/>
      <c r="V533" s="57"/>
    </row>
    <row r="534" spans="1:22" s="11" customFormat="1" x14ac:dyDescent="0.2">
      <c r="A534" s="47"/>
      <c r="B534" s="59" t="s">
        <v>2</v>
      </c>
      <c r="C534" s="59" t="s">
        <v>2</v>
      </c>
      <c r="D534" s="9">
        <f>E534+F534+G534+H534+I534</f>
        <v>120.24048096192386</v>
      </c>
      <c r="E534" s="10">
        <v>100.20040080160322</v>
      </c>
      <c r="F534" s="10">
        <v>20.040080160320642</v>
      </c>
      <c r="G534" s="10"/>
      <c r="H534" s="10"/>
      <c r="I534" s="10"/>
      <c r="J534" s="57"/>
      <c r="K534" s="57"/>
      <c r="L534" s="57"/>
      <c r="M534" s="57"/>
      <c r="N534" s="57"/>
      <c r="O534" s="57"/>
      <c r="P534" s="57"/>
      <c r="Q534" s="85"/>
      <c r="R534" s="57"/>
      <c r="S534" s="57"/>
      <c r="T534" s="57"/>
      <c r="U534" s="57"/>
      <c r="V534" s="57"/>
    </row>
    <row r="535" spans="1:22" s="11" customFormat="1" ht="13.5" customHeight="1" x14ac:dyDescent="0.2">
      <c r="A535" s="48"/>
      <c r="B535" s="59" t="s">
        <v>3</v>
      </c>
      <c r="C535" s="59" t="s">
        <v>3</v>
      </c>
      <c r="D535" s="9">
        <f>E535+F535+G535+H535+I535</f>
        <v>0</v>
      </c>
      <c r="E535" s="10"/>
      <c r="F535" s="10"/>
      <c r="G535" s="10"/>
      <c r="H535" s="10"/>
      <c r="I535" s="10"/>
      <c r="J535" s="57"/>
      <c r="K535" s="57"/>
      <c r="L535" s="57"/>
      <c r="M535" s="57"/>
      <c r="N535" s="57"/>
      <c r="O535" s="57"/>
      <c r="P535" s="57"/>
      <c r="Q535" s="85"/>
      <c r="R535" s="57"/>
      <c r="S535" s="57"/>
      <c r="T535" s="57"/>
      <c r="U535" s="57"/>
      <c r="V535" s="57"/>
    </row>
    <row r="536" spans="1:22" s="11" customFormat="1" x14ac:dyDescent="0.2">
      <c r="A536" s="46" t="s">
        <v>46</v>
      </c>
      <c r="B536" s="24" t="s">
        <v>20</v>
      </c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5"/>
    </row>
    <row r="537" spans="1:22" s="11" customFormat="1" x14ac:dyDescent="0.2">
      <c r="A537" s="47" t="s">
        <v>30</v>
      </c>
      <c r="B537" s="82" t="s">
        <v>223</v>
      </c>
      <c r="C537" s="82"/>
      <c r="D537" s="82"/>
      <c r="E537" s="82"/>
      <c r="F537" s="82"/>
      <c r="G537" s="82"/>
      <c r="H537" s="82"/>
      <c r="I537" s="82"/>
      <c r="J537" s="82"/>
      <c r="K537" s="82"/>
      <c r="L537" s="82"/>
      <c r="M537" s="82"/>
      <c r="N537" s="82"/>
      <c r="O537" s="82"/>
      <c r="P537" s="82"/>
      <c r="Q537" s="82"/>
      <c r="R537" s="82"/>
      <c r="S537" s="82"/>
      <c r="T537" s="82"/>
      <c r="U537" s="82"/>
      <c r="V537" s="82"/>
    </row>
    <row r="538" spans="1:22" s="11" customFormat="1" ht="64.5" customHeight="1" x14ac:dyDescent="0.2">
      <c r="A538" s="47"/>
      <c r="B538" s="60" t="s">
        <v>700</v>
      </c>
      <c r="C538" s="61" t="s">
        <v>228</v>
      </c>
      <c r="D538" s="61"/>
      <c r="E538" s="61"/>
      <c r="F538" s="61"/>
      <c r="G538" s="61"/>
      <c r="H538" s="61"/>
      <c r="I538" s="62"/>
      <c r="J538" s="57" t="s">
        <v>66</v>
      </c>
      <c r="K538" s="57"/>
      <c r="L538" s="57" t="s">
        <v>61</v>
      </c>
      <c r="M538" s="57" t="s">
        <v>130</v>
      </c>
      <c r="N538" s="57" t="s">
        <v>229</v>
      </c>
      <c r="O538" s="57" t="s">
        <v>230</v>
      </c>
      <c r="P538" s="57" t="s">
        <v>230</v>
      </c>
      <c r="Q538" s="85" t="s">
        <v>231</v>
      </c>
      <c r="R538" s="57" t="s">
        <v>9</v>
      </c>
      <c r="S538" s="57" t="s">
        <v>229</v>
      </c>
      <c r="T538" s="57" t="s">
        <v>17</v>
      </c>
      <c r="U538" s="57"/>
      <c r="V538" s="57"/>
    </row>
    <row r="539" spans="1:22" s="11" customFormat="1" x14ac:dyDescent="0.2">
      <c r="A539" s="47"/>
      <c r="B539" s="59" t="s">
        <v>5</v>
      </c>
      <c r="C539" s="59" t="s">
        <v>5</v>
      </c>
      <c r="D539" s="9">
        <f>SUM(D540:D543)</f>
        <v>28622.310661322648</v>
      </c>
      <c r="E539" s="10">
        <f>SUM(E540:E543)</f>
        <v>28622.310661322648</v>
      </c>
      <c r="F539" s="10"/>
      <c r="G539" s="10"/>
      <c r="H539" s="10"/>
      <c r="I539" s="10"/>
      <c r="J539" s="57"/>
      <c r="K539" s="57"/>
      <c r="L539" s="57"/>
      <c r="M539" s="57"/>
      <c r="N539" s="57"/>
      <c r="O539" s="57"/>
      <c r="P539" s="57"/>
      <c r="Q539" s="85"/>
      <c r="R539" s="57"/>
      <c r="S539" s="57"/>
      <c r="T539" s="57"/>
      <c r="U539" s="57"/>
      <c r="V539" s="57"/>
    </row>
    <row r="540" spans="1:22" s="11" customFormat="1" x14ac:dyDescent="0.2">
      <c r="A540" s="47"/>
      <c r="B540" s="59" t="s">
        <v>0</v>
      </c>
      <c r="C540" s="59" t="s">
        <v>0</v>
      </c>
      <c r="D540" s="9">
        <f>E540+F540+G540+H540+I540</f>
        <v>0</v>
      </c>
      <c r="E540" s="10"/>
      <c r="F540" s="10"/>
      <c r="G540" s="10"/>
      <c r="H540" s="10"/>
      <c r="I540" s="10"/>
      <c r="J540" s="57"/>
      <c r="K540" s="57"/>
      <c r="L540" s="57"/>
      <c r="M540" s="57"/>
      <c r="N540" s="57"/>
      <c r="O540" s="57"/>
      <c r="P540" s="57"/>
      <c r="Q540" s="85"/>
      <c r="R540" s="57"/>
      <c r="S540" s="57"/>
      <c r="T540" s="57"/>
      <c r="U540" s="57"/>
      <c r="V540" s="57"/>
    </row>
    <row r="541" spans="1:22" s="11" customFormat="1" x14ac:dyDescent="0.2">
      <c r="A541" s="47"/>
      <c r="B541" s="59" t="s">
        <v>1</v>
      </c>
      <c r="C541" s="59" t="s">
        <v>1</v>
      </c>
      <c r="D541" s="9">
        <f>E541+F541+G541+H541+I541</f>
        <v>28456.980000000003</v>
      </c>
      <c r="E541" s="13">
        <f>82500-54043.02</f>
        <v>28456.980000000003</v>
      </c>
      <c r="F541" s="10"/>
      <c r="G541" s="10"/>
      <c r="H541" s="10"/>
      <c r="I541" s="10"/>
      <c r="J541" s="57"/>
      <c r="K541" s="57"/>
      <c r="L541" s="57"/>
      <c r="M541" s="57"/>
      <c r="N541" s="57"/>
      <c r="O541" s="57"/>
      <c r="P541" s="57"/>
      <c r="Q541" s="85"/>
      <c r="R541" s="57"/>
      <c r="S541" s="57"/>
      <c r="T541" s="57"/>
      <c r="U541" s="57"/>
      <c r="V541" s="57"/>
    </row>
    <row r="542" spans="1:22" s="11" customFormat="1" x14ac:dyDescent="0.2">
      <c r="A542" s="47"/>
      <c r="B542" s="59" t="s">
        <v>2</v>
      </c>
      <c r="C542" s="59" t="s">
        <v>2</v>
      </c>
      <c r="D542" s="9">
        <f>E542+F542+G542+H542+I542</f>
        <v>165.33066132264531</v>
      </c>
      <c r="E542" s="10">
        <v>165.33066132264531</v>
      </c>
      <c r="F542" s="10"/>
      <c r="G542" s="10"/>
      <c r="H542" s="10"/>
      <c r="I542" s="10"/>
      <c r="J542" s="57"/>
      <c r="K542" s="57"/>
      <c r="L542" s="57"/>
      <c r="M542" s="57"/>
      <c r="N542" s="57"/>
      <c r="O542" s="57"/>
      <c r="P542" s="57"/>
      <c r="Q542" s="85"/>
      <c r="R542" s="57"/>
      <c r="S542" s="57"/>
      <c r="T542" s="57"/>
      <c r="U542" s="57"/>
      <c r="V542" s="57"/>
    </row>
    <row r="543" spans="1:22" s="11" customFormat="1" ht="14.25" customHeight="1" x14ac:dyDescent="0.2">
      <c r="A543" s="48"/>
      <c r="B543" s="59" t="s">
        <v>3</v>
      </c>
      <c r="C543" s="59" t="s">
        <v>3</v>
      </c>
      <c r="D543" s="9">
        <f>E543+F543+G543+H543+I543</f>
        <v>0</v>
      </c>
      <c r="E543" s="10"/>
      <c r="F543" s="10"/>
      <c r="G543" s="10"/>
      <c r="H543" s="10"/>
      <c r="I543" s="10"/>
      <c r="J543" s="57"/>
      <c r="K543" s="57"/>
      <c r="L543" s="57"/>
      <c r="M543" s="57"/>
      <c r="N543" s="57"/>
      <c r="O543" s="57"/>
      <c r="P543" s="57"/>
      <c r="Q543" s="85"/>
      <c r="R543" s="57"/>
      <c r="S543" s="57"/>
      <c r="T543" s="57"/>
      <c r="U543" s="57"/>
      <c r="V543" s="57"/>
    </row>
    <row r="544" spans="1:22" s="11" customFormat="1" x14ac:dyDescent="0.2">
      <c r="A544" s="46" t="s">
        <v>216</v>
      </c>
      <c r="B544" s="24" t="s">
        <v>20</v>
      </c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5"/>
    </row>
    <row r="545" spans="1:22" s="11" customFormat="1" x14ac:dyDescent="0.2">
      <c r="A545" s="47" t="s">
        <v>30</v>
      </c>
      <c r="B545" s="82" t="s">
        <v>223</v>
      </c>
      <c r="C545" s="82"/>
      <c r="D545" s="82"/>
      <c r="E545" s="82"/>
      <c r="F545" s="82"/>
      <c r="G545" s="82"/>
      <c r="H545" s="82"/>
      <c r="I545" s="82"/>
      <c r="J545" s="82"/>
      <c r="K545" s="82"/>
      <c r="L545" s="82"/>
      <c r="M545" s="82"/>
      <c r="N545" s="82"/>
      <c r="O545" s="82"/>
      <c r="P545" s="82"/>
      <c r="Q545" s="82"/>
      <c r="R545" s="82"/>
      <c r="S545" s="82"/>
      <c r="T545" s="82"/>
      <c r="U545" s="82"/>
      <c r="V545" s="82"/>
    </row>
    <row r="546" spans="1:22" s="11" customFormat="1" ht="66.75" customHeight="1" x14ac:dyDescent="0.2">
      <c r="A546" s="47"/>
      <c r="B546" s="60" t="s">
        <v>232</v>
      </c>
      <c r="C546" s="61" t="s">
        <v>232</v>
      </c>
      <c r="D546" s="61"/>
      <c r="E546" s="61"/>
      <c r="F546" s="61"/>
      <c r="G546" s="61"/>
      <c r="H546" s="61"/>
      <c r="I546" s="62"/>
      <c r="J546" s="57" t="s">
        <v>66</v>
      </c>
      <c r="K546" s="57"/>
      <c r="L546" s="57" t="s">
        <v>61</v>
      </c>
      <c r="M546" s="57" t="s">
        <v>131</v>
      </c>
      <c r="N546" s="57" t="s">
        <v>233</v>
      </c>
      <c r="O546" s="57" t="s">
        <v>234</v>
      </c>
      <c r="P546" s="57" t="s">
        <v>234</v>
      </c>
      <c r="Q546" s="85" t="s">
        <v>235</v>
      </c>
      <c r="R546" s="57" t="s">
        <v>9</v>
      </c>
      <c r="S546" s="57" t="s">
        <v>233</v>
      </c>
      <c r="T546" s="57" t="s">
        <v>17</v>
      </c>
      <c r="U546" s="57"/>
      <c r="V546" s="57"/>
    </row>
    <row r="547" spans="1:22" s="11" customFormat="1" x14ac:dyDescent="0.2">
      <c r="A547" s="47"/>
      <c r="B547" s="59" t="s">
        <v>5</v>
      </c>
      <c r="C547" s="59" t="s">
        <v>5</v>
      </c>
      <c r="D547" s="9">
        <f>SUM(D548:D551)</f>
        <v>87834.035417774328</v>
      </c>
      <c r="E547" s="10">
        <f>SUM(E548:E551)</f>
        <v>10020.408163265307</v>
      </c>
      <c r="F547" s="10">
        <f>SUM(F548:F551)</f>
        <v>77813.627254509018</v>
      </c>
      <c r="G547" s="10"/>
      <c r="H547" s="10"/>
      <c r="I547" s="10"/>
      <c r="J547" s="57"/>
      <c r="K547" s="57"/>
      <c r="L547" s="57"/>
      <c r="M547" s="57"/>
      <c r="N547" s="57"/>
      <c r="O547" s="57"/>
      <c r="P547" s="57"/>
      <c r="Q547" s="85"/>
      <c r="R547" s="57"/>
      <c r="S547" s="57"/>
      <c r="T547" s="57"/>
      <c r="U547" s="57"/>
      <c r="V547" s="57"/>
    </row>
    <row r="548" spans="1:22" s="11" customFormat="1" x14ac:dyDescent="0.2">
      <c r="A548" s="47"/>
      <c r="B548" s="59" t="s">
        <v>0</v>
      </c>
      <c r="C548" s="59" t="s">
        <v>0</v>
      </c>
      <c r="D548" s="9">
        <f>E548+F548+G548+H548+I548</f>
        <v>0</v>
      </c>
      <c r="E548" s="10"/>
      <c r="F548" s="10"/>
      <c r="G548" s="10"/>
      <c r="H548" s="10"/>
      <c r="I548" s="10"/>
      <c r="J548" s="57"/>
      <c r="K548" s="57"/>
      <c r="L548" s="57"/>
      <c r="M548" s="57"/>
      <c r="N548" s="57"/>
      <c r="O548" s="57"/>
      <c r="P548" s="57"/>
      <c r="Q548" s="85"/>
      <c r="R548" s="57"/>
      <c r="S548" s="57"/>
      <c r="T548" s="57"/>
      <c r="U548" s="57"/>
      <c r="V548" s="57"/>
    </row>
    <row r="549" spans="1:22" s="11" customFormat="1" x14ac:dyDescent="0.2">
      <c r="A549" s="47"/>
      <c r="B549" s="59" t="s">
        <v>1</v>
      </c>
      <c r="C549" s="59" t="s">
        <v>1</v>
      </c>
      <c r="D549" s="9">
        <f>E549+F549+G549+H549+I549</f>
        <v>87658</v>
      </c>
      <c r="E549" s="10">
        <v>10000</v>
      </c>
      <c r="F549" s="10">
        <v>77658</v>
      </c>
      <c r="G549" s="10"/>
      <c r="H549" s="10"/>
      <c r="I549" s="10"/>
      <c r="J549" s="57"/>
      <c r="K549" s="57"/>
      <c r="L549" s="57"/>
      <c r="M549" s="57"/>
      <c r="N549" s="57"/>
      <c r="O549" s="57"/>
      <c r="P549" s="57"/>
      <c r="Q549" s="85"/>
      <c r="R549" s="57"/>
      <c r="S549" s="57"/>
      <c r="T549" s="57"/>
      <c r="U549" s="57"/>
      <c r="V549" s="57"/>
    </row>
    <row r="550" spans="1:22" s="11" customFormat="1" x14ac:dyDescent="0.2">
      <c r="A550" s="47"/>
      <c r="B550" s="59" t="s">
        <v>2</v>
      </c>
      <c r="C550" s="59" t="s">
        <v>2</v>
      </c>
      <c r="D550" s="9">
        <f>E550+F550+G550+H550+I550</f>
        <v>176.03541777432415</v>
      </c>
      <c r="E550" s="10">
        <v>20.408163265306126</v>
      </c>
      <c r="F550" s="10">
        <v>155.62725450901803</v>
      </c>
      <c r="G550" s="10"/>
      <c r="H550" s="10"/>
      <c r="I550" s="10"/>
      <c r="J550" s="57"/>
      <c r="K550" s="57"/>
      <c r="L550" s="57"/>
      <c r="M550" s="57"/>
      <c r="N550" s="57"/>
      <c r="O550" s="57"/>
      <c r="P550" s="57"/>
      <c r="Q550" s="85"/>
      <c r="R550" s="57"/>
      <c r="S550" s="57"/>
      <c r="T550" s="57"/>
      <c r="U550" s="57"/>
      <c r="V550" s="57"/>
    </row>
    <row r="551" spans="1:22" s="11" customFormat="1" ht="16.5" customHeight="1" x14ac:dyDescent="0.2">
      <c r="A551" s="48"/>
      <c r="B551" s="59" t="s">
        <v>3</v>
      </c>
      <c r="C551" s="59" t="s">
        <v>3</v>
      </c>
      <c r="D551" s="9">
        <f>E551+F551+G551+H551+I551</f>
        <v>0</v>
      </c>
      <c r="E551" s="10"/>
      <c r="F551" s="10"/>
      <c r="G551" s="10"/>
      <c r="H551" s="10"/>
      <c r="I551" s="10"/>
      <c r="J551" s="57"/>
      <c r="K551" s="57"/>
      <c r="L551" s="57"/>
      <c r="M551" s="57"/>
      <c r="N551" s="57"/>
      <c r="O551" s="57"/>
      <c r="P551" s="57"/>
      <c r="Q551" s="85"/>
      <c r="R551" s="57"/>
      <c r="S551" s="57"/>
      <c r="T551" s="57"/>
      <c r="U551" s="57"/>
      <c r="V551" s="57"/>
    </row>
    <row r="552" spans="1:22" s="11" customFormat="1" x14ac:dyDescent="0.2">
      <c r="A552" s="46" t="s">
        <v>217</v>
      </c>
      <c r="B552" s="24" t="s">
        <v>20</v>
      </c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5"/>
    </row>
    <row r="553" spans="1:22" s="11" customFormat="1" x14ac:dyDescent="0.2">
      <c r="A553" s="47" t="s">
        <v>30</v>
      </c>
      <c r="B553" s="82" t="s">
        <v>223</v>
      </c>
      <c r="C553" s="82"/>
      <c r="D553" s="82"/>
      <c r="E553" s="82"/>
      <c r="F553" s="82"/>
      <c r="G553" s="82"/>
      <c r="H553" s="82"/>
      <c r="I553" s="82"/>
      <c r="J553" s="82"/>
      <c r="K553" s="82"/>
      <c r="L553" s="82"/>
      <c r="M553" s="82"/>
      <c r="N553" s="82"/>
      <c r="O553" s="82"/>
      <c r="P553" s="82"/>
      <c r="Q553" s="82"/>
      <c r="R553" s="82"/>
      <c r="S553" s="82"/>
      <c r="T553" s="82"/>
      <c r="U553" s="82"/>
      <c r="V553" s="82"/>
    </row>
    <row r="554" spans="1:22" s="11" customFormat="1" ht="72" customHeight="1" x14ac:dyDescent="0.2">
      <c r="A554" s="47"/>
      <c r="B554" s="60" t="s">
        <v>236</v>
      </c>
      <c r="C554" s="61" t="s">
        <v>236</v>
      </c>
      <c r="D554" s="61"/>
      <c r="E554" s="61"/>
      <c r="F554" s="61"/>
      <c r="G554" s="61"/>
      <c r="H554" s="61"/>
      <c r="I554" s="62"/>
      <c r="J554" s="57" t="s">
        <v>117</v>
      </c>
      <c r="K554" s="57"/>
      <c r="L554" s="57" t="s">
        <v>61</v>
      </c>
      <c r="M554" s="57" t="s">
        <v>353</v>
      </c>
      <c r="N554" s="57" t="s">
        <v>237</v>
      </c>
      <c r="O554" s="57" t="s">
        <v>238</v>
      </c>
      <c r="P554" s="57" t="s">
        <v>238</v>
      </c>
      <c r="Q554" s="85" t="s">
        <v>354</v>
      </c>
      <c r="R554" s="57" t="s">
        <v>9</v>
      </c>
      <c r="S554" s="57" t="s">
        <v>126</v>
      </c>
      <c r="T554" s="57" t="s">
        <v>17</v>
      </c>
      <c r="U554" s="57"/>
      <c r="V554" s="57"/>
    </row>
    <row r="555" spans="1:22" s="11" customFormat="1" x14ac:dyDescent="0.2">
      <c r="A555" s="47"/>
      <c r="B555" s="59" t="s">
        <v>5</v>
      </c>
      <c r="C555" s="59" t="s">
        <v>5</v>
      </c>
      <c r="D555" s="9">
        <f>SUM(D556:D559)</f>
        <v>61224.489795918365</v>
      </c>
      <c r="E555" s="10">
        <f>SUM(E556:E559)</f>
        <v>51020.408163265303</v>
      </c>
      <c r="F555" s="10">
        <f>SUM(F556:F559)</f>
        <v>10204.081632653062</v>
      </c>
      <c r="G555" s="10"/>
      <c r="H555" s="10"/>
      <c r="I555" s="10"/>
      <c r="J555" s="57"/>
      <c r="K555" s="57"/>
      <c r="L555" s="57"/>
      <c r="M555" s="57"/>
      <c r="N555" s="57"/>
      <c r="O555" s="57"/>
      <c r="P555" s="57"/>
      <c r="Q555" s="85"/>
      <c r="R555" s="57"/>
      <c r="S555" s="57"/>
      <c r="T555" s="57"/>
      <c r="U555" s="57"/>
      <c r="V555" s="57"/>
    </row>
    <row r="556" spans="1:22" s="11" customFormat="1" x14ac:dyDescent="0.2">
      <c r="A556" s="47"/>
      <c r="B556" s="59" t="s">
        <v>0</v>
      </c>
      <c r="C556" s="59" t="s">
        <v>0</v>
      </c>
      <c r="D556" s="9">
        <f>E556+F556+G556+H556+I556</f>
        <v>0</v>
      </c>
      <c r="E556" s="10"/>
      <c r="F556" s="10"/>
      <c r="G556" s="10"/>
      <c r="H556" s="10"/>
      <c r="I556" s="10"/>
      <c r="J556" s="57"/>
      <c r="K556" s="57"/>
      <c r="L556" s="57"/>
      <c r="M556" s="57"/>
      <c r="N556" s="57"/>
      <c r="O556" s="57"/>
      <c r="P556" s="57"/>
      <c r="Q556" s="85"/>
      <c r="R556" s="57"/>
      <c r="S556" s="57"/>
      <c r="T556" s="57"/>
      <c r="U556" s="57"/>
      <c r="V556" s="57"/>
    </row>
    <row r="557" spans="1:22" s="11" customFormat="1" x14ac:dyDescent="0.2">
      <c r="A557" s="47"/>
      <c r="B557" s="59" t="s">
        <v>1</v>
      </c>
      <c r="C557" s="59" t="s">
        <v>1</v>
      </c>
      <c r="D557" s="9">
        <f>E557+F557+G557+H557+I557</f>
        <v>60000</v>
      </c>
      <c r="E557" s="10">
        <v>50000</v>
      </c>
      <c r="F557" s="10">
        <v>10000</v>
      </c>
      <c r="G557" s="10"/>
      <c r="H557" s="10"/>
      <c r="I557" s="10"/>
      <c r="J557" s="57"/>
      <c r="K557" s="57"/>
      <c r="L557" s="57"/>
      <c r="M557" s="57"/>
      <c r="N557" s="57"/>
      <c r="O557" s="57"/>
      <c r="P557" s="57"/>
      <c r="Q557" s="85"/>
      <c r="R557" s="57"/>
      <c r="S557" s="57"/>
      <c r="T557" s="57"/>
      <c r="U557" s="57"/>
      <c r="V557" s="57"/>
    </row>
    <row r="558" spans="1:22" s="11" customFormat="1" x14ac:dyDescent="0.2">
      <c r="A558" s="47"/>
      <c r="B558" s="59" t="s">
        <v>2</v>
      </c>
      <c r="C558" s="59" t="s">
        <v>2</v>
      </c>
      <c r="D558" s="9">
        <f>E558+F558+G558+H558+I558</f>
        <v>1224.4897959183675</v>
      </c>
      <c r="E558" s="10">
        <v>1020.4081632653061</v>
      </c>
      <c r="F558" s="10">
        <v>204.08163265306123</v>
      </c>
      <c r="G558" s="10"/>
      <c r="H558" s="10"/>
      <c r="I558" s="10"/>
      <c r="J558" s="57"/>
      <c r="K558" s="57"/>
      <c r="L558" s="57"/>
      <c r="M558" s="57"/>
      <c r="N558" s="57"/>
      <c r="O558" s="57"/>
      <c r="P558" s="57"/>
      <c r="Q558" s="85"/>
      <c r="R558" s="57"/>
      <c r="S558" s="57"/>
      <c r="T558" s="57"/>
      <c r="U558" s="57"/>
      <c r="V558" s="57"/>
    </row>
    <row r="559" spans="1:22" s="11" customFormat="1" ht="14.25" customHeight="1" x14ac:dyDescent="0.2">
      <c r="A559" s="48"/>
      <c r="B559" s="59" t="s">
        <v>3</v>
      </c>
      <c r="C559" s="59" t="s">
        <v>3</v>
      </c>
      <c r="D559" s="9">
        <f>E559+F559+G559+H559+I559</f>
        <v>0</v>
      </c>
      <c r="E559" s="10"/>
      <c r="F559" s="10"/>
      <c r="G559" s="10"/>
      <c r="H559" s="10"/>
      <c r="I559" s="10"/>
      <c r="J559" s="57"/>
      <c r="K559" s="57"/>
      <c r="L559" s="57"/>
      <c r="M559" s="57"/>
      <c r="N559" s="57"/>
      <c r="O559" s="57"/>
      <c r="P559" s="57"/>
      <c r="Q559" s="85"/>
      <c r="R559" s="57"/>
      <c r="S559" s="57"/>
      <c r="T559" s="57"/>
      <c r="U559" s="57"/>
      <c r="V559" s="57"/>
    </row>
    <row r="560" spans="1:22" s="11" customFormat="1" x14ac:dyDescent="0.2">
      <c r="A560" s="46" t="s">
        <v>218</v>
      </c>
      <c r="B560" s="24" t="s">
        <v>16</v>
      </c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5"/>
    </row>
    <row r="561" spans="1:22" s="11" customFormat="1" ht="36" customHeight="1" x14ac:dyDescent="0.2">
      <c r="A561" s="47" t="s">
        <v>30</v>
      </c>
      <c r="B561" s="82" t="s">
        <v>239</v>
      </c>
      <c r="C561" s="82"/>
      <c r="D561" s="82"/>
      <c r="E561" s="82"/>
      <c r="F561" s="82"/>
      <c r="G561" s="82"/>
      <c r="H561" s="82"/>
      <c r="I561" s="82"/>
      <c r="J561" s="82"/>
      <c r="K561" s="82"/>
      <c r="L561" s="82"/>
      <c r="M561" s="82"/>
      <c r="N561" s="82"/>
      <c r="O561" s="82"/>
      <c r="P561" s="82"/>
      <c r="Q561" s="82"/>
      <c r="R561" s="82"/>
      <c r="S561" s="82"/>
      <c r="T561" s="82"/>
      <c r="U561" s="82"/>
      <c r="V561" s="82"/>
    </row>
    <row r="562" spans="1:22" s="11" customFormat="1" ht="80.25" customHeight="1" x14ac:dyDescent="0.2">
      <c r="A562" s="47"/>
      <c r="B562" s="54" t="s">
        <v>240</v>
      </c>
      <c r="C562" s="55" t="s">
        <v>240</v>
      </c>
      <c r="D562" s="55"/>
      <c r="E562" s="55"/>
      <c r="F562" s="55"/>
      <c r="G562" s="55"/>
      <c r="H562" s="55"/>
      <c r="I562" s="56"/>
      <c r="J562" s="57" t="s">
        <v>176</v>
      </c>
      <c r="K562" s="57"/>
      <c r="L562" s="57" t="s">
        <v>60</v>
      </c>
      <c r="M562" s="57" t="s">
        <v>241</v>
      </c>
      <c r="N562" s="57" t="s">
        <v>82</v>
      </c>
      <c r="O562" s="57" t="s">
        <v>16</v>
      </c>
      <c r="P562" s="57" t="s">
        <v>82</v>
      </c>
      <c r="Q562" s="85" t="s">
        <v>242</v>
      </c>
      <c r="R562" s="57" t="s">
        <v>11</v>
      </c>
      <c r="S562" s="57" t="s">
        <v>127</v>
      </c>
      <c r="T562" s="57" t="s">
        <v>7</v>
      </c>
      <c r="U562" s="57"/>
      <c r="V562" s="57" t="s">
        <v>461</v>
      </c>
    </row>
    <row r="563" spans="1:22" s="11" customFormat="1" x14ac:dyDescent="0.2">
      <c r="A563" s="47"/>
      <c r="B563" s="30" t="s">
        <v>5</v>
      </c>
      <c r="C563" s="30" t="s">
        <v>5</v>
      </c>
      <c r="D563" s="12">
        <f>SUM(D564:D567)</f>
        <v>708381.61700000009</v>
      </c>
      <c r="E563" s="13">
        <f>SUM(E564:E567)</f>
        <v>258467.19999999998</v>
      </c>
      <c r="F563" s="13">
        <f>SUM(F564:F567)</f>
        <v>257148.01699999999</v>
      </c>
      <c r="G563" s="13">
        <f>SUM(G564:G567)</f>
        <v>192766.4</v>
      </c>
      <c r="H563" s="13"/>
      <c r="I563" s="13"/>
      <c r="J563" s="57"/>
      <c r="K563" s="57"/>
      <c r="L563" s="57"/>
      <c r="M563" s="57"/>
      <c r="N563" s="57"/>
      <c r="O563" s="57"/>
      <c r="P563" s="57"/>
      <c r="Q563" s="85"/>
      <c r="R563" s="57"/>
      <c r="S563" s="57"/>
      <c r="T563" s="57"/>
      <c r="U563" s="57"/>
      <c r="V563" s="57"/>
    </row>
    <row r="564" spans="1:22" s="11" customFormat="1" x14ac:dyDescent="0.2">
      <c r="A564" s="47"/>
      <c r="B564" s="30" t="s">
        <v>0</v>
      </c>
      <c r="C564" s="30" t="s">
        <v>0</v>
      </c>
      <c r="D564" s="12">
        <f>E564+F564+G564+H564+I564</f>
        <v>612253.80000000005</v>
      </c>
      <c r="E564" s="13">
        <v>227355.4</v>
      </c>
      <c r="F564" s="13">
        <v>217232</v>
      </c>
      <c r="G564" s="13">
        <v>167666.4</v>
      </c>
      <c r="H564" s="13"/>
      <c r="I564" s="13"/>
      <c r="J564" s="57"/>
      <c r="K564" s="57"/>
      <c r="L564" s="57"/>
      <c r="M564" s="57"/>
      <c r="N564" s="57"/>
      <c r="O564" s="57"/>
      <c r="P564" s="57"/>
      <c r="Q564" s="85"/>
      <c r="R564" s="57"/>
      <c r="S564" s="57"/>
      <c r="T564" s="57"/>
      <c r="U564" s="57"/>
      <c r="V564" s="57"/>
    </row>
    <row r="565" spans="1:22" s="11" customFormat="1" x14ac:dyDescent="0.2">
      <c r="A565" s="47"/>
      <c r="B565" s="30" t="s">
        <v>1</v>
      </c>
      <c r="C565" s="30" t="s">
        <v>1</v>
      </c>
      <c r="D565" s="12">
        <f>E565+F565+G565+H565+I565</f>
        <v>96127.816999999995</v>
      </c>
      <c r="E565" s="13">
        <v>31111.8</v>
      </c>
      <c r="F565" s="13">
        <f>52670.17-12754.153</f>
        <v>39916.017</v>
      </c>
      <c r="G565" s="13">
        <f>0+25100</f>
        <v>25100</v>
      </c>
      <c r="H565" s="13"/>
      <c r="I565" s="13"/>
      <c r="J565" s="57"/>
      <c r="K565" s="57"/>
      <c r="L565" s="57"/>
      <c r="M565" s="57"/>
      <c r="N565" s="57"/>
      <c r="O565" s="57"/>
      <c r="P565" s="57"/>
      <c r="Q565" s="85"/>
      <c r="R565" s="57"/>
      <c r="S565" s="57"/>
      <c r="T565" s="57"/>
      <c r="U565" s="57"/>
      <c r="V565" s="57"/>
    </row>
    <row r="566" spans="1:22" s="11" customFormat="1" x14ac:dyDescent="0.2">
      <c r="A566" s="47"/>
      <c r="B566" s="30" t="s">
        <v>2</v>
      </c>
      <c r="C566" s="30" t="s">
        <v>2</v>
      </c>
      <c r="D566" s="12">
        <f>E566+F566+G566+H566+I566</f>
        <v>0</v>
      </c>
      <c r="E566" s="13">
        <f>634.93452-634.93452</f>
        <v>0</v>
      </c>
      <c r="F566" s="13">
        <f>1074.90149-1074.90149</f>
        <v>0</v>
      </c>
      <c r="G566" s="13"/>
      <c r="H566" s="13"/>
      <c r="I566" s="13"/>
      <c r="J566" s="57"/>
      <c r="K566" s="57"/>
      <c r="L566" s="57"/>
      <c r="M566" s="57"/>
      <c r="N566" s="57"/>
      <c r="O566" s="57"/>
      <c r="P566" s="57"/>
      <c r="Q566" s="85"/>
      <c r="R566" s="57"/>
      <c r="S566" s="57"/>
      <c r="T566" s="57"/>
      <c r="U566" s="57"/>
      <c r="V566" s="57"/>
    </row>
    <row r="567" spans="1:22" s="11" customFormat="1" ht="14.25" customHeight="1" x14ac:dyDescent="0.2">
      <c r="A567" s="48"/>
      <c r="B567" s="59" t="s">
        <v>3</v>
      </c>
      <c r="C567" s="59" t="s">
        <v>3</v>
      </c>
      <c r="D567" s="9">
        <f>E567+F567+G567+H567+I567</f>
        <v>0</v>
      </c>
      <c r="E567" s="10"/>
      <c r="F567" s="10"/>
      <c r="G567" s="10"/>
      <c r="H567" s="10"/>
      <c r="I567" s="10"/>
      <c r="J567" s="57"/>
      <c r="K567" s="57"/>
      <c r="L567" s="57"/>
      <c r="M567" s="57"/>
      <c r="N567" s="57"/>
      <c r="O567" s="57"/>
      <c r="P567" s="57"/>
      <c r="Q567" s="85"/>
      <c r="R567" s="57"/>
      <c r="S567" s="57"/>
      <c r="T567" s="57"/>
      <c r="U567" s="57"/>
      <c r="V567" s="57"/>
    </row>
    <row r="568" spans="1:22" s="11" customFormat="1" x14ac:dyDescent="0.2">
      <c r="A568" s="46" t="s">
        <v>397</v>
      </c>
      <c r="B568" s="24" t="s">
        <v>20</v>
      </c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5"/>
    </row>
    <row r="569" spans="1:22" s="11" customFormat="1" x14ac:dyDescent="0.2">
      <c r="A569" s="47" t="s">
        <v>30</v>
      </c>
      <c r="B569" s="82" t="s">
        <v>223</v>
      </c>
      <c r="C569" s="82"/>
      <c r="D569" s="82"/>
      <c r="E569" s="82"/>
      <c r="F569" s="82"/>
      <c r="G569" s="82"/>
      <c r="H569" s="82"/>
      <c r="I569" s="82"/>
      <c r="J569" s="82"/>
      <c r="K569" s="82"/>
      <c r="L569" s="82"/>
      <c r="M569" s="82"/>
      <c r="N569" s="82"/>
      <c r="O569" s="82"/>
      <c r="P569" s="82"/>
      <c r="Q569" s="82"/>
      <c r="R569" s="82"/>
      <c r="S569" s="82"/>
      <c r="T569" s="82"/>
      <c r="U569" s="82"/>
      <c r="V569" s="82"/>
    </row>
    <row r="570" spans="1:22" s="11" customFormat="1" ht="99.95" customHeight="1" x14ac:dyDescent="0.2">
      <c r="A570" s="47"/>
      <c r="B570" s="60" t="s">
        <v>243</v>
      </c>
      <c r="C570" s="61" t="s">
        <v>243</v>
      </c>
      <c r="D570" s="61"/>
      <c r="E570" s="61"/>
      <c r="F570" s="61"/>
      <c r="G570" s="61"/>
      <c r="H570" s="61"/>
      <c r="I570" s="62"/>
      <c r="J570" s="57" t="s">
        <v>66</v>
      </c>
      <c r="K570" s="57"/>
      <c r="L570" s="57" t="s">
        <v>61</v>
      </c>
      <c r="M570" s="57" t="s">
        <v>244</v>
      </c>
      <c r="N570" s="57" t="s">
        <v>128</v>
      </c>
      <c r="O570" s="57" t="s">
        <v>129</v>
      </c>
      <c r="P570" s="57" t="s">
        <v>129</v>
      </c>
      <c r="Q570" s="85" t="s">
        <v>245</v>
      </c>
      <c r="R570" s="57" t="s">
        <v>9</v>
      </c>
      <c r="S570" s="57" t="s">
        <v>128</v>
      </c>
      <c r="T570" s="57" t="s">
        <v>7</v>
      </c>
      <c r="U570" s="57"/>
      <c r="V570" s="57" t="s">
        <v>462</v>
      </c>
    </row>
    <row r="571" spans="1:22" s="11" customFormat="1" x14ac:dyDescent="0.2">
      <c r="A571" s="47"/>
      <c r="B571" s="59" t="s">
        <v>5</v>
      </c>
      <c r="C571" s="59" t="s">
        <v>5</v>
      </c>
      <c r="D571" s="9">
        <f>SUM(D572:D575)</f>
        <v>4358.9388800000006</v>
      </c>
      <c r="E571" s="10">
        <f>SUM(E572:E575)</f>
        <v>4358.9388800000006</v>
      </c>
      <c r="F571" s="10"/>
      <c r="G571" s="10"/>
      <c r="H571" s="10"/>
      <c r="I571" s="10"/>
      <c r="J571" s="57"/>
      <c r="K571" s="57"/>
      <c r="L571" s="57"/>
      <c r="M571" s="57"/>
      <c r="N571" s="57"/>
      <c r="O571" s="57"/>
      <c r="P571" s="57"/>
      <c r="Q571" s="85"/>
      <c r="R571" s="57"/>
      <c r="S571" s="57"/>
      <c r="T571" s="57"/>
      <c r="U571" s="57"/>
      <c r="V571" s="57"/>
    </row>
    <row r="572" spans="1:22" s="11" customFormat="1" x14ac:dyDescent="0.2">
      <c r="A572" s="47"/>
      <c r="B572" s="59" t="s">
        <v>0</v>
      </c>
      <c r="C572" s="59" t="s">
        <v>0</v>
      </c>
      <c r="D572" s="9">
        <f>E572+F572+G572+H572+I572</f>
        <v>0</v>
      </c>
      <c r="E572" s="10"/>
      <c r="F572" s="10"/>
      <c r="G572" s="10"/>
      <c r="H572" s="10"/>
      <c r="I572" s="10"/>
      <c r="J572" s="57"/>
      <c r="K572" s="57"/>
      <c r="L572" s="57"/>
      <c r="M572" s="57"/>
      <c r="N572" s="57"/>
      <c r="O572" s="57"/>
      <c r="P572" s="57"/>
      <c r="Q572" s="85"/>
      <c r="R572" s="57"/>
      <c r="S572" s="57"/>
      <c r="T572" s="57"/>
      <c r="U572" s="57"/>
      <c r="V572" s="57"/>
    </row>
    <row r="573" spans="1:22" s="11" customFormat="1" x14ac:dyDescent="0.2">
      <c r="A573" s="47"/>
      <c r="B573" s="59" t="s">
        <v>1</v>
      </c>
      <c r="C573" s="59" t="s">
        <v>1</v>
      </c>
      <c r="D573" s="9">
        <f>E573+F573+G573+H573+I573</f>
        <v>3027.8988800000006</v>
      </c>
      <c r="E573" s="13">
        <f>25289.7-22261.80112</f>
        <v>3027.8988800000006</v>
      </c>
      <c r="F573" s="10"/>
      <c r="G573" s="10"/>
      <c r="H573" s="10"/>
      <c r="I573" s="10"/>
      <c r="J573" s="57"/>
      <c r="K573" s="57"/>
      <c r="L573" s="57"/>
      <c r="M573" s="57"/>
      <c r="N573" s="57"/>
      <c r="O573" s="57"/>
      <c r="P573" s="57"/>
      <c r="Q573" s="85"/>
      <c r="R573" s="57"/>
      <c r="S573" s="57"/>
      <c r="T573" s="57"/>
      <c r="U573" s="57"/>
      <c r="V573" s="57"/>
    </row>
    <row r="574" spans="1:22" s="11" customFormat="1" x14ac:dyDescent="0.2">
      <c r="A574" s="47"/>
      <c r="B574" s="59" t="s">
        <v>2</v>
      </c>
      <c r="C574" s="59" t="s">
        <v>2</v>
      </c>
      <c r="D574" s="9">
        <f>E574+F574+G574+H574+I574</f>
        <v>1331.04</v>
      </c>
      <c r="E574" s="10">
        <v>1331.04</v>
      </c>
      <c r="F574" s="10"/>
      <c r="G574" s="10"/>
      <c r="H574" s="10"/>
      <c r="I574" s="10"/>
      <c r="J574" s="57"/>
      <c r="K574" s="57"/>
      <c r="L574" s="57"/>
      <c r="M574" s="57"/>
      <c r="N574" s="57"/>
      <c r="O574" s="57"/>
      <c r="P574" s="57"/>
      <c r="Q574" s="85"/>
      <c r="R574" s="57"/>
      <c r="S574" s="57"/>
      <c r="T574" s="57"/>
      <c r="U574" s="57"/>
      <c r="V574" s="57"/>
    </row>
    <row r="575" spans="1:22" s="11" customFormat="1" ht="14.25" customHeight="1" x14ac:dyDescent="0.2">
      <c r="A575" s="48"/>
      <c r="B575" s="59" t="s">
        <v>3</v>
      </c>
      <c r="C575" s="59" t="s">
        <v>3</v>
      </c>
      <c r="D575" s="9">
        <f>E575+F575+G575+H575+I575</f>
        <v>0</v>
      </c>
      <c r="E575" s="10"/>
      <c r="F575" s="10"/>
      <c r="G575" s="10"/>
      <c r="H575" s="10"/>
      <c r="I575" s="10"/>
      <c r="J575" s="57"/>
      <c r="K575" s="57"/>
      <c r="L575" s="57"/>
      <c r="M575" s="57"/>
      <c r="N575" s="57"/>
      <c r="O575" s="57"/>
      <c r="P575" s="57"/>
      <c r="Q575" s="85"/>
      <c r="R575" s="57"/>
      <c r="S575" s="57"/>
      <c r="T575" s="57"/>
      <c r="U575" s="57"/>
      <c r="V575" s="57"/>
    </row>
    <row r="576" spans="1:22" s="11" customFormat="1" x14ac:dyDescent="0.2">
      <c r="A576" s="46" t="s">
        <v>219</v>
      </c>
      <c r="B576" s="24" t="s">
        <v>20</v>
      </c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5"/>
    </row>
    <row r="577" spans="1:22" s="11" customFormat="1" x14ac:dyDescent="0.2">
      <c r="A577" s="47" t="s">
        <v>30</v>
      </c>
      <c r="B577" s="82" t="s">
        <v>223</v>
      </c>
      <c r="C577" s="82"/>
      <c r="D577" s="82"/>
      <c r="E577" s="82"/>
      <c r="F577" s="82"/>
      <c r="G577" s="82"/>
      <c r="H577" s="82"/>
      <c r="I577" s="82"/>
      <c r="J577" s="82"/>
      <c r="K577" s="82"/>
      <c r="L577" s="82"/>
      <c r="M577" s="82"/>
      <c r="N577" s="82"/>
      <c r="O577" s="82"/>
      <c r="P577" s="82"/>
      <c r="Q577" s="82"/>
      <c r="R577" s="82"/>
      <c r="S577" s="82"/>
      <c r="T577" s="82"/>
      <c r="U577" s="82"/>
      <c r="V577" s="82"/>
    </row>
    <row r="578" spans="1:22" s="11" customFormat="1" ht="84" customHeight="1" x14ac:dyDescent="0.2">
      <c r="A578" s="47"/>
      <c r="B578" s="60" t="s">
        <v>246</v>
      </c>
      <c r="C578" s="61" t="s">
        <v>246</v>
      </c>
      <c r="D578" s="61"/>
      <c r="E578" s="61"/>
      <c r="F578" s="61"/>
      <c r="G578" s="61"/>
      <c r="H578" s="61"/>
      <c r="I578" s="62"/>
      <c r="J578" s="57" t="s">
        <v>136</v>
      </c>
      <c r="K578" s="57"/>
      <c r="L578" s="57" t="s">
        <v>61</v>
      </c>
      <c r="M578" s="57" t="s">
        <v>132</v>
      </c>
      <c r="N578" s="57" t="s">
        <v>76</v>
      </c>
      <c r="O578" s="57" t="s">
        <v>247</v>
      </c>
      <c r="P578" s="57" t="s">
        <v>247</v>
      </c>
      <c r="Q578" s="85" t="s">
        <v>248</v>
      </c>
      <c r="R578" s="57" t="s">
        <v>9</v>
      </c>
      <c r="S578" s="57" t="s">
        <v>76</v>
      </c>
      <c r="T578" s="57" t="s">
        <v>7</v>
      </c>
      <c r="U578" s="57"/>
      <c r="V578" s="57" t="s">
        <v>463</v>
      </c>
    </row>
    <row r="579" spans="1:22" s="11" customFormat="1" x14ac:dyDescent="0.2">
      <c r="A579" s="47"/>
      <c r="B579" s="59" t="s">
        <v>5</v>
      </c>
      <c r="C579" s="59" t="s">
        <v>5</v>
      </c>
      <c r="D579" s="9">
        <f>SUM(D580:D583)</f>
        <v>136042.45162408162</v>
      </c>
      <c r="E579" s="10">
        <f>SUM(E580:E583)</f>
        <v>25185.465805714288</v>
      </c>
      <c r="F579" s="10">
        <f>SUM(F580:F583)</f>
        <v>25848.016701224489</v>
      </c>
      <c r="G579" s="10">
        <f t="shared" ref="G579" si="67">SUM(G580:G583)</f>
        <v>26758.96911714286</v>
      </c>
      <c r="H579" s="10">
        <f t="shared" ref="H579:I579" si="68">SUM(H580:H583)</f>
        <v>28483.673469387755</v>
      </c>
      <c r="I579" s="10">
        <f t="shared" si="68"/>
        <v>29766.326530612245</v>
      </c>
      <c r="J579" s="57"/>
      <c r="K579" s="57"/>
      <c r="L579" s="57"/>
      <c r="M579" s="57"/>
      <c r="N579" s="57"/>
      <c r="O579" s="57"/>
      <c r="P579" s="57"/>
      <c r="Q579" s="85"/>
      <c r="R579" s="57"/>
      <c r="S579" s="57"/>
      <c r="T579" s="57"/>
      <c r="U579" s="57"/>
      <c r="V579" s="57"/>
    </row>
    <row r="580" spans="1:22" s="11" customFormat="1" x14ac:dyDescent="0.2">
      <c r="A580" s="47"/>
      <c r="B580" s="59" t="s">
        <v>0</v>
      </c>
      <c r="C580" s="59" t="s">
        <v>0</v>
      </c>
      <c r="D580" s="9">
        <f>E580+F580+G580+H580+I580</f>
        <v>0</v>
      </c>
      <c r="E580" s="10"/>
      <c r="F580" s="10"/>
      <c r="G580" s="10"/>
      <c r="H580" s="10"/>
      <c r="I580" s="10"/>
      <c r="J580" s="57"/>
      <c r="K580" s="57"/>
      <c r="L580" s="57"/>
      <c r="M580" s="57"/>
      <c r="N580" s="57"/>
      <c r="O580" s="57"/>
      <c r="P580" s="57"/>
      <c r="Q580" s="85"/>
      <c r="R580" s="57"/>
      <c r="S580" s="57"/>
      <c r="T580" s="57"/>
      <c r="U580" s="57"/>
      <c r="V580" s="57"/>
    </row>
    <row r="581" spans="1:22" s="11" customFormat="1" x14ac:dyDescent="0.2">
      <c r="A581" s="47"/>
      <c r="B581" s="59" t="s">
        <v>1</v>
      </c>
      <c r="C581" s="59" t="s">
        <v>1</v>
      </c>
      <c r="D581" s="9">
        <f>E581+F581+G581+H581+I581</f>
        <v>133304.94141999999</v>
      </c>
      <c r="E581" s="10">
        <f>24780-100.24848</f>
        <v>24679.751520000002</v>
      </c>
      <c r="F581" s="10">
        <f>25561-234.63636</f>
        <v>25326.36364</v>
      </c>
      <c r="G581" s="10">
        <f>26712-498.17374</f>
        <v>26213.826260000002</v>
      </c>
      <c r="H581" s="10">
        <v>27914</v>
      </c>
      <c r="I581" s="10">
        <v>29171</v>
      </c>
      <c r="J581" s="57"/>
      <c r="K581" s="57"/>
      <c r="L581" s="57"/>
      <c r="M581" s="57"/>
      <c r="N581" s="57"/>
      <c r="O581" s="57"/>
      <c r="P581" s="57"/>
      <c r="Q581" s="85"/>
      <c r="R581" s="57"/>
      <c r="S581" s="57"/>
      <c r="T581" s="57"/>
      <c r="U581" s="57"/>
      <c r="V581" s="57"/>
    </row>
    <row r="582" spans="1:22" s="11" customFormat="1" x14ac:dyDescent="0.2">
      <c r="A582" s="47"/>
      <c r="B582" s="59" t="s">
        <v>2</v>
      </c>
      <c r="C582" s="59" t="s">
        <v>2</v>
      </c>
      <c r="D582" s="9">
        <f>E582+F582+G582+H582+I582</f>
        <v>2737.5102040816323</v>
      </c>
      <c r="E582" s="10">
        <v>505.71428571428572</v>
      </c>
      <c r="F582" s="10">
        <v>521.65306122448976</v>
      </c>
      <c r="G582" s="10">
        <v>545.14285714285711</v>
      </c>
      <c r="H582" s="10">
        <v>569.67346938775506</v>
      </c>
      <c r="I582" s="10">
        <v>595.32653061224494</v>
      </c>
      <c r="J582" s="57"/>
      <c r="K582" s="57"/>
      <c r="L582" s="57"/>
      <c r="M582" s="57"/>
      <c r="N582" s="57"/>
      <c r="O582" s="57"/>
      <c r="P582" s="57"/>
      <c r="Q582" s="85"/>
      <c r="R582" s="57"/>
      <c r="S582" s="57"/>
      <c r="T582" s="57"/>
      <c r="U582" s="57"/>
      <c r="V582" s="57"/>
    </row>
    <row r="583" spans="1:22" s="11" customFormat="1" ht="15" customHeight="1" x14ac:dyDescent="0.2">
      <c r="A583" s="48"/>
      <c r="B583" s="59" t="s">
        <v>3</v>
      </c>
      <c r="C583" s="59" t="s">
        <v>3</v>
      </c>
      <c r="D583" s="9">
        <f>E583+F583+G583+H583+I583</f>
        <v>0</v>
      </c>
      <c r="E583" s="10"/>
      <c r="F583" s="10"/>
      <c r="G583" s="10"/>
      <c r="H583" s="10"/>
      <c r="I583" s="10"/>
      <c r="J583" s="57"/>
      <c r="K583" s="57"/>
      <c r="L583" s="57"/>
      <c r="M583" s="57"/>
      <c r="N583" s="57"/>
      <c r="O583" s="57"/>
      <c r="P583" s="57"/>
      <c r="Q583" s="85"/>
      <c r="R583" s="57"/>
      <c r="S583" s="57"/>
      <c r="T583" s="57"/>
      <c r="U583" s="57"/>
      <c r="V583" s="57"/>
    </row>
    <row r="584" spans="1:22" s="11" customFormat="1" x14ac:dyDescent="0.2">
      <c r="A584" s="46" t="s">
        <v>220</v>
      </c>
      <c r="B584" s="24" t="s">
        <v>20</v>
      </c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5"/>
    </row>
    <row r="585" spans="1:22" s="11" customFormat="1" ht="17.25" customHeight="1" x14ac:dyDescent="0.2">
      <c r="A585" s="47" t="s">
        <v>30</v>
      </c>
      <c r="B585" s="82" t="s">
        <v>215</v>
      </c>
      <c r="C585" s="82"/>
      <c r="D585" s="82"/>
      <c r="E585" s="82"/>
      <c r="F585" s="82"/>
      <c r="G585" s="82"/>
      <c r="H585" s="82"/>
      <c r="I585" s="82"/>
      <c r="J585" s="82"/>
      <c r="K585" s="82"/>
      <c r="L585" s="82"/>
      <c r="M585" s="82"/>
      <c r="N585" s="82"/>
      <c r="O585" s="82"/>
      <c r="P585" s="82"/>
      <c r="Q585" s="82"/>
      <c r="R585" s="82"/>
      <c r="S585" s="82"/>
      <c r="T585" s="82"/>
      <c r="U585" s="82"/>
      <c r="V585" s="82"/>
    </row>
    <row r="586" spans="1:22" s="11" customFormat="1" ht="77.25" customHeight="1" x14ac:dyDescent="0.2">
      <c r="A586" s="47"/>
      <c r="B586" s="54" t="s">
        <v>675</v>
      </c>
      <c r="C586" s="55" t="s">
        <v>355</v>
      </c>
      <c r="D586" s="55"/>
      <c r="E586" s="55"/>
      <c r="F586" s="55"/>
      <c r="G586" s="55"/>
      <c r="H586" s="55"/>
      <c r="I586" s="56"/>
      <c r="J586" s="69" t="s">
        <v>386</v>
      </c>
      <c r="K586" s="69" t="s">
        <v>66</v>
      </c>
      <c r="L586" s="69" t="s">
        <v>351</v>
      </c>
      <c r="M586" s="69" t="s">
        <v>221</v>
      </c>
      <c r="N586" s="69" t="s">
        <v>356</v>
      </c>
      <c r="O586" s="69" t="s">
        <v>357</v>
      </c>
      <c r="P586" s="69" t="s">
        <v>357</v>
      </c>
      <c r="Q586" s="77">
        <v>754487.1</v>
      </c>
      <c r="R586" s="69" t="s">
        <v>9</v>
      </c>
      <c r="S586" s="69" t="s">
        <v>357</v>
      </c>
      <c r="T586" s="69" t="s">
        <v>350</v>
      </c>
      <c r="U586" s="69" t="s">
        <v>352</v>
      </c>
      <c r="V586" s="69" t="s">
        <v>464</v>
      </c>
    </row>
    <row r="587" spans="1:22" s="11" customFormat="1" x14ac:dyDescent="0.2">
      <c r="A587" s="47"/>
      <c r="B587" s="30" t="s">
        <v>5</v>
      </c>
      <c r="C587" s="30" t="s">
        <v>5</v>
      </c>
      <c r="D587" s="12">
        <f>SUM(D588:D591)</f>
        <v>342589.31565359829</v>
      </c>
      <c r="E587" s="13">
        <f t="shared" ref="E587" si="69">SUM(E588:E591)</f>
        <v>33665.969469387754</v>
      </c>
      <c r="F587" s="13"/>
      <c r="G587" s="13">
        <f t="shared" ref="G587" si="70">SUM(G588:G591)</f>
        <v>154461.67309210525</v>
      </c>
      <c r="H587" s="13">
        <f t="shared" ref="H587" si="71">SUM(H588:H591)</f>
        <v>154461.67309210525</v>
      </c>
      <c r="I587" s="13"/>
      <c r="J587" s="69"/>
      <c r="K587" s="69"/>
      <c r="L587" s="69"/>
      <c r="M587" s="69"/>
      <c r="N587" s="69"/>
      <c r="O587" s="69"/>
      <c r="P587" s="69"/>
      <c r="Q587" s="77"/>
      <c r="R587" s="69"/>
      <c r="S587" s="69"/>
      <c r="T587" s="69"/>
      <c r="U587" s="69"/>
      <c r="V587" s="69"/>
    </row>
    <row r="588" spans="1:22" s="11" customFormat="1" x14ac:dyDescent="0.2">
      <c r="A588" s="47"/>
      <c r="B588" s="30" t="s">
        <v>0</v>
      </c>
      <c r="C588" s="30" t="s">
        <v>0</v>
      </c>
      <c r="D588" s="12">
        <f>E588+F588+G588+H588+I588</f>
        <v>0</v>
      </c>
      <c r="E588" s="13"/>
      <c r="F588" s="13"/>
      <c r="G588" s="13"/>
      <c r="H588" s="13"/>
      <c r="I588" s="13"/>
      <c r="J588" s="69"/>
      <c r="K588" s="69"/>
      <c r="L588" s="69"/>
      <c r="M588" s="69"/>
      <c r="N588" s="69"/>
      <c r="O588" s="69"/>
      <c r="P588" s="69"/>
      <c r="Q588" s="77"/>
      <c r="R588" s="69"/>
      <c r="S588" s="69"/>
      <c r="T588" s="69"/>
      <c r="U588" s="69"/>
      <c r="V588" s="69"/>
    </row>
    <row r="589" spans="1:22" s="11" customFormat="1" x14ac:dyDescent="0.2">
      <c r="A589" s="47"/>
      <c r="B589" s="30" t="s">
        <v>1</v>
      </c>
      <c r="C589" s="30" t="s">
        <v>1</v>
      </c>
      <c r="D589" s="12">
        <f>E589+F589+G589+H589+I589</f>
        <v>238941.55</v>
      </c>
      <c r="E589" s="13">
        <v>32992.65</v>
      </c>
      <c r="F589" s="13"/>
      <c r="G589" s="13">
        <v>102974.45</v>
      </c>
      <c r="H589" s="13">
        <v>102974.45</v>
      </c>
      <c r="I589" s="13"/>
      <c r="J589" s="69"/>
      <c r="K589" s="69"/>
      <c r="L589" s="69"/>
      <c r="M589" s="69"/>
      <c r="N589" s="69"/>
      <c r="O589" s="69"/>
      <c r="P589" s="69"/>
      <c r="Q589" s="77"/>
      <c r="R589" s="69"/>
      <c r="S589" s="69"/>
      <c r="T589" s="69"/>
      <c r="U589" s="69"/>
      <c r="V589" s="69"/>
    </row>
    <row r="590" spans="1:22" s="11" customFormat="1" x14ac:dyDescent="0.2">
      <c r="A590" s="47"/>
      <c r="B590" s="30" t="s">
        <v>2</v>
      </c>
      <c r="C590" s="30" t="s">
        <v>2</v>
      </c>
      <c r="D590" s="12">
        <f>E590+F590+G590+H590+I590</f>
        <v>103647.76565359827</v>
      </c>
      <c r="E590" s="13">
        <v>673.31946938775513</v>
      </c>
      <c r="F590" s="13"/>
      <c r="G590" s="13">
        <v>51487.223092105261</v>
      </c>
      <c r="H590" s="13">
        <v>51487.223092105261</v>
      </c>
      <c r="I590" s="13"/>
      <c r="J590" s="69"/>
      <c r="K590" s="69"/>
      <c r="L590" s="69"/>
      <c r="M590" s="69"/>
      <c r="N590" s="69"/>
      <c r="O590" s="69"/>
      <c r="P590" s="69"/>
      <c r="Q590" s="77"/>
      <c r="R590" s="69"/>
      <c r="S590" s="69"/>
      <c r="T590" s="69"/>
      <c r="U590" s="69"/>
      <c r="V590" s="69"/>
    </row>
    <row r="591" spans="1:22" s="11" customFormat="1" ht="16.5" customHeight="1" x14ac:dyDescent="0.2">
      <c r="A591" s="48"/>
      <c r="B591" s="30" t="s">
        <v>3</v>
      </c>
      <c r="C591" s="30" t="s">
        <v>3</v>
      </c>
      <c r="D591" s="12">
        <f>E591+F591+G591+H591+I591</f>
        <v>0</v>
      </c>
      <c r="E591" s="13"/>
      <c r="F591" s="13"/>
      <c r="G591" s="13"/>
      <c r="H591" s="13"/>
      <c r="I591" s="13"/>
      <c r="J591" s="69"/>
      <c r="K591" s="69"/>
      <c r="L591" s="69"/>
      <c r="M591" s="69"/>
      <c r="N591" s="69"/>
      <c r="O591" s="69"/>
      <c r="P591" s="69"/>
      <c r="Q591" s="77"/>
      <c r="R591" s="69"/>
      <c r="S591" s="69"/>
      <c r="T591" s="69"/>
      <c r="U591" s="69"/>
      <c r="V591" s="69"/>
    </row>
    <row r="592" spans="1:22" s="11" customFormat="1" x14ac:dyDescent="0.2">
      <c r="A592" s="46" t="s">
        <v>426</v>
      </c>
      <c r="B592" s="24" t="s">
        <v>16</v>
      </c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5"/>
    </row>
    <row r="593" spans="1:22" s="11" customFormat="1" x14ac:dyDescent="0.2">
      <c r="A593" s="47" t="s">
        <v>30</v>
      </c>
      <c r="B593" s="82" t="s">
        <v>223</v>
      </c>
      <c r="C593" s="82"/>
      <c r="D593" s="82"/>
      <c r="E593" s="82"/>
      <c r="F593" s="82"/>
      <c r="G593" s="82"/>
      <c r="H593" s="82"/>
      <c r="I593" s="82"/>
      <c r="J593" s="82"/>
      <c r="K593" s="82"/>
      <c r="L593" s="82"/>
      <c r="M593" s="82"/>
      <c r="N593" s="82"/>
      <c r="O593" s="82"/>
      <c r="P593" s="82"/>
      <c r="Q593" s="82"/>
      <c r="R593" s="82"/>
      <c r="S593" s="82"/>
      <c r="T593" s="82"/>
      <c r="U593" s="82"/>
      <c r="V593" s="82"/>
    </row>
    <row r="594" spans="1:22" s="11" customFormat="1" ht="75.75" customHeight="1" x14ac:dyDescent="0.2">
      <c r="A594" s="47"/>
      <c r="B594" s="60" t="s">
        <v>550</v>
      </c>
      <c r="C594" s="61" t="s">
        <v>355</v>
      </c>
      <c r="D594" s="61"/>
      <c r="E594" s="61"/>
      <c r="F594" s="61"/>
      <c r="G594" s="61"/>
      <c r="H594" s="61"/>
      <c r="I594" s="62"/>
      <c r="J594" s="86" t="s">
        <v>66</v>
      </c>
      <c r="K594" s="86"/>
      <c r="L594" s="86" t="s">
        <v>60</v>
      </c>
      <c r="M594" s="86" t="s">
        <v>427</v>
      </c>
      <c r="N594" s="86" t="s">
        <v>82</v>
      </c>
      <c r="O594" s="86" t="s">
        <v>20</v>
      </c>
      <c r="P594" s="43" t="s">
        <v>82</v>
      </c>
      <c r="Q594" s="63" t="s">
        <v>603</v>
      </c>
      <c r="R594" s="43" t="s">
        <v>11</v>
      </c>
      <c r="S594" s="43" t="s">
        <v>127</v>
      </c>
      <c r="T594" s="43" t="s">
        <v>17</v>
      </c>
      <c r="U594" s="43"/>
      <c r="V594" s="43" t="s">
        <v>602</v>
      </c>
    </row>
    <row r="595" spans="1:22" s="11" customFormat="1" x14ac:dyDescent="0.2">
      <c r="A595" s="47"/>
      <c r="B595" s="59" t="s">
        <v>5</v>
      </c>
      <c r="C595" s="59" t="s">
        <v>5</v>
      </c>
      <c r="D595" s="9">
        <f>SUM(D596:D599)</f>
        <v>974734.73800000001</v>
      </c>
      <c r="E595" s="10">
        <f t="shared" ref="E595:G595" si="72">SUM(E596:E599)</f>
        <v>321865.47399999999</v>
      </c>
      <c r="F595" s="10">
        <f t="shared" si="72"/>
        <v>231143.05299999999</v>
      </c>
      <c r="G595" s="10">
        <f t="shared" si="72"/>
        <v>421726.21100000001</v>
      </c>
      <c r="H595" s="10"/>
      <c r="I595" s="10"/>
      <c r="J595" s="87"/>
      <c r="K595" s="87"/>
      <c r="L595" s="87"/>
      <c r="M595" s="87"/>
      <c r="N595" s="87"/>
      <c r="O595" s="87"/>
      <c r="P595" s="44"/>
      <c r="Q595" s="64"/>
      <c r="R595" s="44"/>
      <c r="S595" s="44"/>
      <c r="T595" s="44"/>
      <c r="U595" s="44"/>
      <c r="V595" s="44"/>
    </row>
    <row r="596" spans="1:22" s="11" customFormat="1" x14ac:dyDescent="0.2">
      <c r="A596" s="47"/>
      <c r="B596" s="59" t="s">
        <v>0</v>
      </c>
      <c r="C596" s="59" t="s">
        <v>0</v>
      </c>
      <c r="D596" s="9">
        <f>E596+F596+G596+H596+I596</f>
        <v>920440.5</v>
      </c>
      <c r="E596" s="13">
        <v>304394.7</v>
      </c>
      <c r="F596" s="10">
        <v>218388.9</v>
      </c>
      <c r="G596" s="10">
        <v>397656.9</v>
      </c>
      <c r="H596" s="10"/>
      <c r="I596" s="10"/>
      <c r="J596" s="87"/>
      <c r="K596" s="87"/>
      <c r="L596" s="87"/>
      <c r="M596" s="87"/>
      <c r="N596" s="87"/>
      <c r="O596" s="87"/>
      <c r="P596" s="44"/>
      <c r="Q596" s="64"/>
      <c r="R596" s="44"/>
      <c r="S596" s="44"/>
      <c r="T596" s="44"/>
      <c r="U596" s="44"/>
      <c r="V596" s="44"/>
    </row>
    <row r="597" spans="1:22" s="11" customFormat="1" x14ac:dyDescent="0.2">
      <c r="A597" s="47"/>
      <c r="B597" s="59" t="s">
        <v>1</v>
      </c>
      <c r="C597" s="59" t="s">
        <v>1</v>
      </c>
      <c r="D597" s="9">
        <f>E597+F597+G597+H597+I597</f>
        <v>54294.238000000005</v>
      </c>
      <c r="E597" s="10">
        <f>0+17470.774</f>
        <v>17470.774000000001</v>
      </c>
      <c r="F597" s="10">
        <f>0+12754.153</f>
        <v>12754.153</v>
      </c>
      <c r="G597" s="10">
        <f>0+24069.311</f>
        <v>24069.311000000002</v>
      </c>
      <c r="H597" s="10"/>
      <c r="I597" s="10"/>
      <c r="J597" s="87"/>
      <c r="K597" s="87"/>
      <c r="L597" s="87"/>
      <c r="M597" s="87"/>
      <c r="N597" s="87"/>
      <c r="O597" s="87"/>
      <c r="P597" s="44"/>
      <c r="Q597" s="64"/>
      <c r="R597" s="44"/>
      <c r="S597" s="44"/>
      <c r="T597" s="44"/>
      <c r="U597" s="44"/>
      <c r="V597" s="44"/>
    </row>
    <row r="598" spans="1:22" s="11" customFormat="1" x14ac:dyDescent="0.2">
      <c r="A598" s="47"/>
      <c r="B598" s="59" t="s">
        <v>2</v>
      </c>
      <c r="C598" s="59" t="s">
        <v>2</v>
      </c>
      <c r="D598" s="9">
        <f>E598+F598+G598+H598+I598</f>
        <v>0</v>
      </c>
      <c r="E598" s="10"/>
      <c r="F598" s="10"/>
      <c r="G598" s="10"/>
      <c r="H598" s="10"/>
      <c r="I598" s="10"/>
      <c r="J598" s="87"/>
      <c r="K598" s="87"/>
      <c r="L598" s="87"/>
      <c r="M598" s="87"/>
      <c r="N598" s="87"/>
      <c r="O598" s="87"/>
      <c r="P598" s="44"/>
      <c r="Q598" s="64"/>
      <c r="R598" s="44"/>
      <c r="S598" s="44"/>
      <c r="T598" s="44"/>
      <c r="U598" s="44"/>
      <c r="V598" s="44"/>
    </row>
    <row r="599" spans="1:22" s="11" customFormat="1" ht="15" customHeight="1" x14ac:dyDescent="0.2">
      <c r="A599" s="48"/>
      <c r="B599" s="59" t="s">
        <v>3</v>
      </c>
      <c r="C599" s="59" t="s">
        <v>3</v>
      </c>
      <c r="D599" s="9">
        <f>E599+F599+G599+H599+I599</f>
        <v>0</v>
      </c>
      <c r="E599" s="10"/>
      <c r="F599" s="10"/>
      <c r="G599" s="10"/>
      <c r="H599" s="10"/>
      <c r="I599" s="10"/>
      <c r="J599" s="88"/>
      <c r="K599" s="88"/>
      <c r="L599" s="88"/>
      <c r="M599" s="88"/>
      <c r="N599" s="88"/>
      <c r="O599" s="88"/>
      <c r="P599" s="45"/>
      <c r="Q599" s="65"/>
      <c r="R599" s="45"/>
      <c r="S599" s="45"/>
      <c r="T599" s="45"/>
      <c r="U599" s="45"/>
      <c r="V599" s="45"/>
    </row>
    <row r="600" spans="1:22" s="11" customFormat="1" x14ac:dyDescent="0.2">
      <c r="A600" s="46" t="s">
        <v>558</v>
      </c>
      <c r="B600" s="24" t="s">
        <v>20</v>
      </c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5"/>
    </row>
    <row r="601" spans="1:22" s="11" customFormat="1" x14ac:dyDescent="0.2">
      <c r="A601" s="47" t="s">
        <v>30</v>
      </c>
      <c r="B601" s="82" t="s">
        <v>556</v>
      </c>
      <c r="C601" s="82"/>
      <c r="D601" s="82"/>
      <c r="E601" s="82"/>
      <c r="F601" s="82"/>
      <c r="G601" s="82"/>
      <c r="H601" s="82"/>
      <c r="I601" s="82"/>
      <c r="J601" s="82"/>
      <c r="K601" s="82"/>
      <c r="L601" s="82"/>
      <c r="M601" s="82"/>
      <c r="N601" s="82"/>
      <c r="O601" s="82"/>
      <c r="P601" s="82"/>
      <c r="Q601" s="82"/>
      <c r="R601" s="82"/>
      <c r="S601" s="82"/>
      <c r="T601" s="82"/>
      <c r="U601" s="82"/>
      <c r="V601" s="82"/>
    </row>
    <row r="602" spans="1:22" s="11" customFormat="1" ht="72" customHeight="1" x14ac:dyDescent="0.2">
      <c r="A602" s="47"/>
      <c r="B602" s="54" t="s">
        <v>557</v>
      </c>
      <c r="C602" s="55" t="s">
        <v>355</v>
      </c>
      <c r="D602" s="55"/>
      <c r="E602" s="55"/>
      <c r="F602" s="55"/>
      <c r="G602" s="55"/>
      <c r="H602" s="55"/>
      <c r="I602" s="56"/>
      <c r="J602" s="43" t="s">
        <v>410</v>
      </c>
      <c r="K602" s="43" t="s">
        <v>66</v>
      </c>
      <c r="L602" s="43" t="s">
        <v>60</v>
      </c>
      <c r="M602" s="43"/>
      <c r="N602" s="43" t="s">
        <v>20</v>
      </c>
      <c r="O602" s="43" t="s">
        <v>20</v>
      </c>
      <c r="P602" s="43" t="s">
        <v>20</v>
      </c>
      <c r="Q602" s="63"/>
      <c r="R602" s="43" t="s">
        <v>11</v>
      </c>
      <c r="S602" s="43" t="s">
        <v>58</v>
      </c>
      <c r="T602" s="43" t="s">
        <v>171</v>
      </c>
      <c r="U602" s="43"/>
      <c r="V602" s="43"/>
    </row>
    <row r="603" spans="1:22" s="11" customFormat="1" x14ac:dyDescent="0.2">
      <c r="A603" s="47"/>
      <c r="B603" s="30" t="s">
        <v>5</v>
      </c>
      <c r="C603" s="30" t="s">
        <v>5</v>
      </c>
      <c r="D603" s="12">
        <f>SUM(D604:D607)</f>
        <v>83305.858579999986</v>
      </c>
      <c r="E603" s="13">
        <f t="shared" ref="E603:G603" si="73">SUM(E604:E607)</f>
        <v>10024.848480000001</v>
      </c>
      <c r="F603" s="13">
        <f t="shared" si="73"/>
        <v>23463.63636</v>
      </c>
      <c r="G603" s="13">
        <f t="shared" si="73"/>
        <v>49817.373739999995</v>
      </c>
      <c r="H603" s="13"/>
      <c r="I603" s="13"/>
      <c r="J603" s="44"/>
      <c r="K603" s="44"/>
      <c r="L603" s="44"/>
      <c r="M603" s="44"/>
      <c r="N603" s="44"/>
      <c r="O603" s="44"/>
      <c r="P603" s="44"/>
      <c r="Q603" s="64"/>
      <c r="R603" s="44"/>
      <c r="S603" s="44"/>
      <c r="T603" s="44"/>
      <c r="U603" s="44"/>
      <c r="V603" s="44"/>
    </row>
    <row r="604" spans="1:22" s="11" customFormat="1" x14ac:dyDescent="0.2">
      <c r="A604" s="47"/>
      <c r="B604" s="30" t="s">
        <v>0</v>
      </c>
      <c r="C604" s="30" t="s">
        <v>0</v>
      </c>
      <c r="D604" s="12">
        <f>E604+F604+G604+H604+I604</f>
        <v>82472.799999999988</v>
      </c>
      <c r="E604" s="13">
        <f>0+9924.6</f>
        <v>9924.6</v>
      </c>
      <c r="F604" s="13">
        <f>0+23229</f>
        <v>23229</v>
      </c>
      <c r="G604" s="13">
        <f>0+49319.2</f>
        <v>49319.199999999997</v>
      </c>
      <c r="H604" s="13"/>
      <c r="I604" s="13"/>
      <c r="J604" s="44"/>
      <c r="K604" s="44"/>
      <c r="L604" s="44"/>
      <c r="M604" s="44"/>
      <c r="N604" s="44"/>
      <c r="O604" s="44"/>
      <c r="P604" s="44"/>
      <c r="Q604" s="64"/>
      <c r="R604" s="44"/>
      <c r="S604" s="44"/>
      <c r="T604" s="44"/>
      <c r="U604" s="44"/>
      <c r="V604" s="44"/>
    </row>
    <row r="605" spans="1:22" s="11" customFormat="1" x14ac:dyDescent="0.2">
      <c r="A605" s="47"/>
      <c r="B605" s="30" t="s">
        <v>1</v>
      </c>
      <c r="C605" s="30" t="s">
        <v>1</v>
      </c>
      <c r="D605" s="12">
        <f>E605+F605+G605+H605+I605</f>
        <v>833.05858000000001</v>
      </c>
      <c r="E605" s="13">
        <f>0+100.24848</f>
        <v>100.24848</v>
      </c>
      <c r="F605" s="13">
        <f>0+234.63636</f>
        <v>234.63636</v>
      </c>
      <c r="G605" s="13">
        <f>0+498.17374</f>
        <v>498.17374000000001</v>
      </c>
      <c r="H605" s="13"/>
      <c r="I605" s="13"/>
      <c r="J605" s="44"/>
      <c r="K605" s="44"/>
      <c r="L605" s="44"/>
      <c r="M605" s="44"/>
      <c r="N605" s="44"/>
      <c r="O605" s="44"/>
      <c r="P605" s="44"/>
      <c r="Q605" s="64"/>
      <c r="R605" s="44"/>
      <c r="S605" s="44"/>
      <c r="T605" s="44"/>
      <c r="U605" s="44"/>
      <c r="V605" s="44"/>
    </row>
    <row r="606" spans="1:22" s="11" customFormat="1" x14ac:dyDescent="0.2">
      <c r="A606" s="47"/>
      <c r="B606" s="30" t="s">
        <v>2</v>
      </c>
      <c r="C606" s="30" t="s">
        <v>2</v>
      </c>
      <c r="D606" s="12">
        <f>E606+F606+G606+H606+I606</f>
        <v>0</v>
      </c>
      <c r="E606" s="13"/>
      <c r="F606" s="13"/>
      <c r="G606" s="13"/>
      <c r="H606" s="13"/>
      <c r="I606" s="13"/>
      <c r="J606" s="44"/>
      <c r="K606" s="44"/>
      <c r="L606" s="44"/>
      <c r="M606" s="44"/>
      <c r="N606" s="44"/>
      <c r="O606" s="44"/>
      <c r="P606" s="44"/>
      <c r="Q606" s="64"/>
      <c r="R606" s="44"/>
      <c r="S606" s="44"/>
      <c r="T606" s="44"/>
      <c r="U606" s="44"/>
      <c r="V606" s="44"/>
    </row>
    <row r="607" spans="1:22" s="11" customFormat="1" ht="14.25" customHeight="1" x14ac:dyDescent="0.2">
      <c r="A607" s="48"/>
      <c r="B607" s="30" t="s">
        <v>3</v>
      </c>
      <c r="C607" s="30" t="s">
        <v>3</v>
      </c>
      <c r="D607" s="12">
        <f>E607+F607+G607+H607+I607</f>
        <v>0</v>
      </c>
      <c r="E607" s="13"/>
      <c r="F607" s="13"/>
      <c r="G607" s="13"/>
      <c r="H607" s="13"/>
      <c r="I607" s="13"/>
      <c r="J607" s="45"/>
      <c r="K607" s="45"/>
      <c r="L607" s="45"/>
      <c r="M607" s="45"/>
      <c r="N607" s="45"/>
      <c r="O607" s="45"/>
      <c r="P607" s="45"/>
      <c r="Q607" s="65"/>
      <c r="R607" s="45"/>
      <c r="S607" s="45"/>
      <c r="T607" s="45"/>
      <c r="U607" s="45"/>
      <c r="V607" s="45"/>
    </row>
    <row r="608" spans="1:22" s="11" customFormat="1" x14ac:dyDescent="0.2">
      <c r="A608" s="46" t="s">
        <v>583</v>
      </c>
      <c r="B608" s="24" t="s">
        <v>20</v>
      </c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5"/>
    </row>
    <row r="609" spans="1:22" s="11" customFormat="1" x14ac:dyDescent="0.2">
      <c r="A609" s="47" t="s">
        <v>30</v>
      </c>
      <c r="B609" s="26" t="s">
        <v>556</v>
      </c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</row>
    <row r="610" spans="1:22" s="11" customFormat="1" ht="60" customHeight="1" x14ac:dyDescent="0.2">
      <c r="A610" s="47"/>
      <c r="B610" s="54" t="s">
        <v>582</v>
      </c>
      <c r="C610" s="55" t="s">
        <v>355</v>
      </c>
      <c r="D610" s="55"/>
      <c r="E610" s="55"/>
      <c r="F610" s="55"/>
      <c r="G610" s="55"/>
      <c r="H610" s="55"/>
      <c r="I610" s="56"/>
      <c r="J610" s="69" t="s">
        <v>117</v>
      </c>
      <c r="K610" s="69"/>
      <c r="L610" s="43" t="s">
        <v>597</v>
      </c>
      <c r="M610" s="69" t="s">
        <v>584</v>
      </c>
      <c r="N610" s="69" t="s">
        <v>20</v>
      </c>
      <c r="O610" s="69" t="s">
        <v>20</v>
      </c>
      <c r="P610" s="69" t="s">
        <v>580</v>
      </c>
      <c r="Q610" s="77">
        <v>363650.42088204081</v>
      </c>
      <c r="R610" s="69" t="s">
        <v>11</v>
      </c>
      <c r="S610" s="69" t="s">
        <v>10</v>
      </c>
      <c r="T610" s="69" t="s">
        <v>17</v>
      </c>
      <c r="U610" s="69"/>
      <c r="V610" s="69" t="s">
        <v>585</v>
      </c>
    </row>
    <row r="611" spans="1:22" s="11" customFormat="1" x14ac:dyDescent="0.2">
      <c r="A611" s="47"/>
      <c r="B611" s="30" t="s">
        <v>5</v>
      </c>
      <c r="C611" s="30" t="s">
        <v>5</v>
      </c>
      <c r="D611" s="12">
        <f>SUM(D612:D616)</f>
        <v>18592.088409999997</v>
      </c>
      <c r="E611" s="13">
        <f>SUM(E612:E616)</f>
        <v>18592.088409999997</v>
      </c>
      <c r="F611" s="13">
        <f t="shared" ref="F611:G611" si="74">SUM(F612:F616)</f>
        <v>0</v>
      </c>
      <c r="G611" s="13">
        <f t="shared" si="74"/>
        <v>0</v>
      </c>
      <c r="H611" s="13"/>
      <c r="I611" s="13"/>
      <c r="J611" s="69"/>
      <c r="K611" s="69"/>
      <c r="L611" s="44"/>
      <c r="M611" s="69"/>
      <c r="N611" s="69"/>
      <c r="O611" s="69"/>
      <c r="P611" s="69"/>
      <c r="Q611" s="77"/>
      <c r="R611" s="69"/>
      <c r="S611" s="69"/>
      <c r="T611" s="69"/>
      <c r="U611" s="69"/>
      <c r="V611" s="69"/>
    </row>
    <row r="612" spans="1:22" s="11" customFormat="1" x14ac:dyDescent="0.2">
      <c r="A612" s="47"/>
      <c r="B612" s="30" t="s">
        <v>0</v>
      </c>
      <c r="C612" s="30" t="s">
        <v>0</v>
      </c>
      <c r="D612" s="12">
        <f>E612+F612+G612+H612+I612</f>
        <v>0</v>
      </c>
      <c r="E612" s="13"/>
      <c r="F612" s="13"/>
      <c r="G612" s="13"/>
      <c r="H612" s="13"/>
      <c r="I612" s="13"/>
      <c r="J612" s="69"/>
      <c r="K612" s="69"/>
      <c r="L612" s="44"/>
      <c r="M612" s="69"/>
      <c r="N612" s="69"/>
      <c r="O612" s="69"/>
      <c r="P612" s="69"/>
      <c r="Q612" s="77"/>
      <c r="R612" s="69"/>
      <c r="S612" s="69"/>
      <c r="T612" s="69"/>
      <c r="U612" s="69"/>
      <c r="V612" s="69"/>
    </row>
    <row r="613" spans="1:22" s="11" customFormat="1" x14ac:dyDescent="0.2">
      <c r="A613" s="47"/>
      <c r="B613" s="30" t="s">
        <v>1</v>
      </c>
      <c r="C613" s="30" t="s">
        <v>1</v>
      </c>
      <c r="D613" s="12">
        <f>E613+F613+G613+H613+I613</f>
        <v>0</v>
      </c>
      <c r="E613" s="13"/>
      <c r="F613" s="13"/>
      <c r="G613" s="13"/>
      <c r="H613" s="13"/>
      <c r="I613" s="13"/>
      <c r="J613" s="69"/>
      <c r="K613" s="69"/>
      <c r="L613" s="44"/>
      <c r="M613" s="69"/>
      <c r="N613" s="69"/>
      <c r="O613" s="69"/>
      <c r="P613" s="69"/>
      <c r="Q613" s="77"/>
      <c r="R613" s="69"/>
      <c r="S613" s="69"/>
      <c r="T613" s="69"/>
      <c r="U613" s="69"/>
      <c r="V613" s="69"/>
    </row>
    <row r="614" spans="1:22" s="11" customFormat="1" ht="41.1" customHeight="1" x14ac:dyDescent="0.2">
      <c r="A614" s="47"/>
      <c r="B614" s="27" t="s">
        <v>514</v>
      </c>
      <c r="C614" s="29"/>
      <c r="D614" s="12">
        <f>E614+F614+G614+H614+I614</f>
        <v>18592.088409999997</v>
      </c>
      <c r="E614" s="13">
        <f>115107.091-96515.00259</f>
        <v>18592.088409999997</v>
      </c>
      <c r="F614" s="13"/>
      <c r="G614" s="13"/>
      <c r="H614" s="13"/>
      <c r="I614" s="13"/>
      <c r="J614" s="69"/>
      <c r="K614" s="69"/>
      <c r="L614" s="44"/>
      <c r="M614" s="69"/>
      <c r="N614" s="69"/>
      <c r="O614" s="69"/>
      <c r="P614" s="69"/>
      <c r="Q614" s="77"/>
      <c r="R614" s="69"/>
      <c r="S614" s="69"/>
      <c r="T614" s="69"/>
      <c r="U614" s="69"/>
      <c r="V614" s="69"/>
    </row>
    <row r="615" spans="1:22" s="11" customFormat="1" x14ac:dyDescent="0.2">
      <c r="A615" s="47"/>
      <c r="B615" s="30" t="s">
        <v>2</v>
      </c>
      <c r="C615" s="30" t="s">
        <v>2</v>
      </c>
      <c r="D615" s="12">
        <f>E615+F615+G615+H615+I615</f>
        <v>0</v>
      </c>
      <c r="E615" s="13"/>
      <c r="F615" s="13"/>
      <c r="G615" s="13"/>
      <c r="H615" s="13"/>
      <c r="I615" s="13"/>
      <c r="J615" s="69"/>
      <c r="K615" s="69"/>
      <c r="L615" s="44"/>
      <c r="M615" s="69"/>
      <c r="N615" s="69"/>
      <c r="O615" s="69"/>
      <c r="P615" s="69"/>
      <c r="Q615" s="77"/>
      <c r="R615" s="69"/>
      <c r="S615" s="69"/>
      <c r="T615" s="69"/>
      <c r="U615" s="69"/>
      <c r="V615" s="69"/>
    </row>
    <row r="616" spans="1:22" s="11" customFormat="1" ht="11.25" customHeight="1" x14ac:dyDescent="0.2">
      <c r="A616" s="48"/>
      <c r="B616" s="30" t="s">
        <v>3</v>
      </c>
      <c r="C616" s="30" t="s">
        <v>3</v>
      </c>
      <c r="D616" s="12">
        <f>E616+F616+G616+H616+I616</f>
        <v>0</v>
      </c>
      <c r="E616" s="13"/>
      <c r="F616" s="13"/>
      <c r="G616" s="13"/>
      <c r="H616" s="13"/>
      <c r="I616" s="13"/>
      <c r="J616" s="69"/>
      <c r="K616" s="69"/>
      <c r="L616" s="45"/>
      <c r="M616" s="69"/>
      <c r="N616" s="69"/>
      <c r="O616" s="69"/>
      <c r="P616" s="69"/>
      <c r="Q616" s="77"/>
      <c r="R616" s="69"/>
      <c r="S616" s="69"/>
      <c r="T616" s="69"/>
      <c r="U616" s="69"/>
      <c r="V616" s="69"/>
    </row>
    <row r="617" spans="1:22" s="11" customFormat="1" ht="11.25" customHeight="1" x14ac:dyDescent="0.2">
      <c r="A617" s="46" t="s">
        <v>680</v>
      </c>
      <c r="B617" s="24" t="s">
        <v>20</v>
      </c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5"/>
    </row>
    <row r="618" spans="1:22" s="11" customFormat="1" ht="14.25" customHeight="1" x14ac:dyDescent="0.2">
      <c r="A618" s="47"/>
      <c r="B618" s="26" t="s">
        <v>556</v>
      </c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</row>
    <row r="619" spans="1:22" s="11" customFormat="1" ht="54" customHeight="1" x14ac:dyDescent="0.2">
      <c r="A619" s="47"/>
      <c r="B619" s="27" t="s">
        <v>707</v>
      </c>
      <c r="C619" s="28"/>
      <c r="D619" s="28"/>
      <c r="E619" s="28"/>
      <c r="F619" s="28"/>
      <c r="G619" s="28"/>
      <c r="H619" s="28"/>
      <c r="I619" s="29"/>
      <c r="J619" s="43">
        <v>2019</v>
      </c>
      <c r="K619" s="43">
        <v>2019</v>
      </c>
      <c r="L619" s="43" t="s">
        <v>597</v>
      </c>
      <c r="M619" s="43" t="s">
        <v>678</v>
      </c>
      <c r="N619" s="43" t="s">
        <v>20</v>
      </c>
      <c r="O619" s="43" t="s">
        <v>20</v>
      </c>
      <c r="P619" s="43" t="s">
        <v>580</v>
      </c>
      <c r="Q619" s="43">
        <v>2076.27</v>
      </c>
      <c r="R619" s="43" t="s">
        <v>11</v>
      </c>
      <c r="S619" s="43" t="s">
        <v>679</v>
      </c>
      <c r="T619" s="43" t="s">
        <v>708</v>
      </c>
      <c r="U619" s="43"/>
      <c r="V619" s="43"/>
    </row>
    <row r="620" spans="1:22" s="11" customFormat="1" ht="11.25" customHeight="1" x14ac:dyDescent="0.2">
      <c r="A620" s="47"/>
      <c r="B620" s="30" t="s">
        <v>5</v>
      </c>
      <c r="C620" s="30" t="s">
        <v>5</v>
      </c>
      <c r="D620" s="12">
        <f>SUM(D621:D624)</f>
        <v>2076.26674</v>
      </c>
      <c r="E620" s="12">
        <f t="shared" ref="E620:G620" si="75">SUM(E621:E624)</f>
        <v>2076.26674</v>
      </c>
      <c r="F620" s="12">
        <f t="shared" si="75"/>
        <v>0</v>
      </c>
      <c r="G620" s="12">
        <f t="shared" si="75"/>
        <v>0</v>
      </c>
      <c r="H620" s="13"/>
      <c r="I620" s="13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</row>
    <row r="621" spans="1:22" s="11" customFormat="1" ht="11.25" customHeight="1" x14ac:dyDescent="0.2">
      <c r="A621" s="47"/>
      <c r="B621" s="30" t="s">
        <v>0</v>
      </c>
      <c r="C621" s="30" t="s">
        <v>0</v>
      </c>
      <c r="D621" s="12">
        <f>SUM(E621:I621)</f>
        <v>0</v>
      </c>
      <c r="E621" s="13"/>
      <c r="F621" s="13"/>
      <c r="G621" s="13"/>
      <c r="H621" s="13"/>
      <c r="I621" s="13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</row>
    <row r="622" spans="1:22" s="11" customFormat="1" ht="11.25" customHeight="1" x14ac:dyDescent="0.2">
      <c r="A622" s="47"/>
      <c r="B622" s="30" t="s">
        <v>1</v>
      </c>
      <c r="C622" s="30" t="s">
        <v>1</v>
      </c>
      <c r="D622" s="12">
        <f t="shared" ref="D622:D624" si="76">SUM(E622:I622)</f>
        <v>2076.26674</v>
      </c>
      <c r="E622" s="13">
        <f>0+2076.26674</f>
        <v>2076.26674</v>
      </c>
      <c r="F622" s="13"/>
      <c r="G622" s="13"/>
      <c r="H622" s="13"/>
      <c r="I622" s="13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</row>
    <row r="623" spans="1:22" s="11" customFormat="1" ht="11.25" customHeight="1" x14ac:dyDescent="0.2">
      <c r="A623" s="47"/>
      <c r="B623" s="30" t="s">
        <v>2</v>
      </c>
      <c r="C623" s="30" t="s">
        <v>2</v>
      </c>
      <c r="D623" s="12">
        <f t="shared" si="76"/>
        <v>0</v>
      </c>
      <c r="E623" s="13"/>
      <c r="F623" s="13"/>
      <c r="G623" s="13"/>
      <c r="H623" s="13"/>
      <c r="I623" s="13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</row>
    <row r="624" spans="1:22" s="11" customFormat="1" ht="11.25" customHeight="1" x14ac:dyDescent="0.2">
      <c r="A624" s="48"/>
      <c r="B624" s="30" t="s">
        <v>3</v>
      </c>
      <c r="C624" s="30" t="s">
        <v>3</v>
      </c>
      <c r="D624" s="12">
        <f t="shared" si="76"/>
        <v>0</v>
      </c>
      <c r="E624" s="13"/>
      <c r="F624" s="13"/>
      <c r="G624" s="13"/>
      <c r="H624" s="13"/>
      <c r="I624" s="13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</row>
    <row r="625" spans="1:22" s="11" customFormat="1" ht="12" customHeight="1" x14ac:dyDescent="0.2">
      <c r="A625" s="46" t="s">
        <v>681</v>
      </c>
      <c r="B625" s="24" t="s">
        <v>20</v>
      </c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5"/>
    </row>
    <row r="626" spans="1:22" s="11" customFormat="1" ht="14.25" customHeight="1" x14ac:dyDescent="0.2">
      <c r="A626" s="47"/>
      <c r="B626" s="26" t="s">
        <v>556</v>
      </c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</row>
    <row r="627" spans="1:22" s="11" customFormat="1" ht="50.25" customHeight="1" x14ac:dyDescent="0.2">
      <c r="A627" s="47"/>
      <c r="B627" s="27" t="s">
        <v>709</v>
      </c>
      <c r="C627" s="28"/>
      <c r="D627" s="28"/>
      <c r="E627" s="28"/>
      <c r="F627" s="28"/>
      <c r="G627" s="28"/>
      <c r="H627" s="28"/>
      <c r="I627" s="29"/>
      <c r="J627" s="43">
        <v>2022</v>
      </c>
      <c r="K627" s="43">
        <v>2019</v>
      </c>
      <c r="L627" s="43" t="s">
        <v>597</v>
      </c>
      <c r="M627" s="43" t="s">
        <v>682</v>
      </c>
      <c r="N627" s="43" t="s">
        <v>20</v>
      </c>
      <c r="O627" s="43" t="s">
        <v>20</v>
      </c>
      <c r="P627" s="43" t="s">
        <v>580</v>
      </c>
      <c r="Q627" s="43">
        <v>3309.94</v>
      </c>
      <c r="R627" s="43" t="s">
        <v>11</v>
      </c>
      <c r="S627" s="43" t="s">
        <v>10</v>
      </c>
      <c r="T627" s="43" t="s">
        <v>710</v>
      </c>
      <c r="U627" s="43"/>
      <c r="V627" s="43"/>
    </row>
    <row r="628" spans="1:22" s="11" customFormat="1" ht="11.25" customHeight="1" x14ac:dyDescent="0.2">
      <c r="A628" s="47"/>
      <c r="B628" s="30" t="s">
        <v>5</v>
      </c>
      <c r="C628" s="30" t="s">
        <v>5</v>
      </c>
      <c r="D628" s="12">
        <f>SUM(D629:D632)</f>
        <v>11047.585999999999</v>
      </c>
      <c r="E628" s="12">
        <f t="shared" ref="E628:G628" si="77">SUM(E629:E632)</f>
        <v>11047.585999999999</v>
      </c>
      <c r="F628" s="12">
        <f t="shared" si="77"/>
        <v>0</v>
      </c>
      <c r="G628" s="12">
        <f t="shared" si="77"/>
        <v>0</v>
      </c>
      <c r="H628" s="13"/>
      <c r="I628" s="13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</row>
    <row r="629" spans="1:22" s="11" customFormat="1" ht="11.25" customHeight="1" x14ac:dyDescent="0.2">
      <c r="A629" s="47"/>
      <c r="B629" s="30" t="s">
        <v>0</v>
      </c>
      <c r="C629" s="30" t="s">
        <v>0</v>
      </c>
      <c r="D629" s="12">
        <f>SUM(E629:I629)</f>
        <v>0</v>
      </c>
      <c r="E629" s="13"/>
      <c r="F629" s="13"/>
      <c r="G629" s="13"/>
      <c r="H629" s="13"/>
      <c r="I629" s="13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</row>
    <row r="630" spans="1:22" s="11" customFormat="1" ht="11.25" customHeight="1" x14ac:dyDescent="0.2">
      <c r="A630" s="47"/>
      <c r="B630" s="30" t="s">
        <v>1</v>
      </c>
      <c r="C630" s="30" t="s">
        <v>1</v>
      </c>
      <c r="D630" s="12">
        <f t="shared" ref="D630:D632" si="78">SUM(E630:I630)</f>
        <v>11047.585999999999</v>
      </c>
      <c r="E630" s="13">
        <f>0+11047.586</f>
        <v>11047.585999999999</v>
      </c>
      <c r="F630" s="13"/>
      <c r="G630" s="13"/>
      <c r="H630" s="13"/>
      <c r="I630" s="13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</row>
    <row r="631" spans="1:22" s="11" customFormat="1" ht="11.25" customHeight="1" x14ac:dyDescent="0.2">
      <c r="A631" s="47"/>
      <c r="B631" s="30" t="s">
        <v>2</v>
      </c>
      <c r="C631" s="30" t="s">
        <v>2</v>
      </c>
      <c r="D631" s="12">
        <f t="shared" si="78"/>
        <v>0</v>
      </c>
      <c r="E631" s="13"/>
      <c r="F631" s="13"/>
      <c r="G631" s="13"/>
      <c r="H631" s="13"/>
      <c r="I631" s="13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</row>
    <row r="632" spans="1:22" s="11" customFormat="1" ht="11.25" customHeight="1" x14ac:dyDescent="0.2">
      <c r="A632" s="47"/>
      <c r="B632" s="30" t="s">
        <v>3</v>
      </c>
      <c r="C632" s="30" t="s">
        <v>3</v>
      </c>
      <c r="D632" s="12">
        <f t="shared" si="78"/>
        <v>0</v>
      </c>
      <c r="E632" s="13"/>
      <c r="F632" s="13"/>
      <c r="G632" s="13"/>
      <c r="H632" s="13"/>
      <c r="I632" s="13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</row>
    <row r="633" spans="1:22" s="11" customFormat="1" ht="11.25" customHeight="1" x14ac:dyDescent="0.2">
      <c r="A633" s="118" t="s">
        <v>683</v>
      </c>
      <c r="B633" s="121" t="s">
        <v>20</v>
      </c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5"/>
    </row>
    <row r="634" spans="1:22" s="11" customFormat="1" ht="13.5" customHeight="1" x14ac:dyDescent="0.2">
      <c r="A634" s="119"/>
      <c r="B634" s="26" t="s">
        <v>556</v>
      </c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</row>
    <row r="635" spans="1:22" s="11" customFormat="1" ht="45" customHeight="1" x14ac:dyDescent="0.2">
      <c r="A635" s="119"/>
      <c r="B635" s="27" t="s">
        <v>711</v>
      </c>
      <c r="C635" s="28"/>
      <c r="D635" s="28"/>
      <c r="E635" s="28"/>
      <c r="F635" s="28"/>
      <c r="G635" s="28"/>
      <c r="H635" s="28"/>
      <c r="I635" s="29"/>
      <c r="J635" s="43">
        <v>2020</v>
      </c>
      <c r="K635" s="43">
        <v>2019</v>
      </c>
      <c r="L635" s="43" t="s">
        <v>597</v>
      </c>
      <c r="M635" s="43" t="s">
        <v>684</v>
      </c>
      <c r="N635" s="43" t="s">
        <v>20</v>
      </c>
      <c r="O635" s="43" t="s">
        <v>20</v>
      </c>
      <c r="P635" s="43" t="s">
        <v>580</v>
      </c>
      <c r="Q635" s="43">
        <v>57499.83</v>
      </c>
      <c r="R635" s="43" t="s">
        <v>11</v>
      </c>
      <c r="S635" s="43" t="s">
        <v>10</v>
      </c>
      <c r="T635" s="43" t="s">
        <v>710</v>
      </c>
      <c r="U635" s="43"/>
      <c r="V635" s="43"/>
    </row>
    <row r="636" spans="1:22" s="11" customFormat="1" ht="11.25" customHeight="1" x14ac:dyDescent="0.2">
      <c r="A636" s="119"/>
      <c r="B636" s="30" t="s">
        <v>5</v>
      </c>
      <c r="C636" s="30" t="s">
        <v>5</v>
      </c>
      <c r="D636" s="12">
        <f>SUM(D637:D640)</f>
        <v>28000</v>
      </c>
      <c r="E636" s="12">
        <f t="shared" ref="E636:G636" si="79">SUM(E637:E640)</f>
        <v>28000</v>
      </c>
      <c r="F636" s="12">
        <f t="shared" si="79"/>
        <v>0</v>
      </c>
      <c r="G636" s="12">
        <f t="shared" si="79"/>
        <v>0</v>
      </c>
      <c r="H636" s="13"/>
      <c r="I636" s="13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</row>
    <row r="637" spans="1:22" s="11" customFormat="1" ht="11.25" customHeight="1" x14ac:dyDescent="0.2">
      <c r="A637" s="119"/>
      <c r="B637" s="30" t="s">
        <v>0</v>
      </c>
      <c r="C637" s="30" t="s">
        <v>0</v>
      </c>
      <c r="D637" s="12">
        <f>SUM(E637:I637)</f>
        <v>0</v>
      </c>
      <c r="E637" s="13"/>
      <c r="F637" s="13"/>
      <c r="G637" s="13"/>
      <c r="H637" s="13"/>
      <c r="I637" s="13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</row>
    <row r="638" spans="1:22" s="11" customFormat="1" ht="11.25" customHeight="1" x14ac:dyDescent="0.2">
      <c r="A638" s="119"/>
      <c r="B638" s="30" t="s">
        <v>1</v>
      </c>
      <c r="C638" s="30" t="s">
        <v>1</v>
      </c>
      <c r="D638" s="12">
        <f t="shared" ref="D638:D640" si="80">SUM(E638:I638)</f>
        <v>28000</v>
      </c>
      <c r="E638" s="13">
        <f>0+28000</f>
        <v>28000</v>
      </c>
      <c r="F638" s="13"/>
      <c r="G638" s="13"/>
      <c r="H638" s="13"/>
      <c r="I638" s="13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</row>
    <row r="639" spans="1:22" s="11" customFormat="1" ht="11.25" customHeight="1" x14ac:dyDescent="0.2">
      <c r="A639" s="119"/>
      <c r="B639" s="30" t="s">
        <v>2</v>
      </c>
      <c r="C639" s="30" t="s">
        <v>2</v>
      </c>
      <c r="D639" s="12">
        <f t="shared" si="80"/>
        <v>0</v>
      </c>
      <c r="E639" s="13"/>
      <c r="F639" s="13"/>
      <c r="G639" s="13"/>
      <c r="H639" s="13"/>
      <c r="I639" s="13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</row>
    <row r="640" spans="1:22" s="11" customFormat="1" ht="11.25" customHeight="1" x14ac:dyDescent="0.2">
      <c r="A640" s="120"/>
      <c r="B640" s="30" t="s">
        <v>3</v>
      </c>
      <c r="C640" s="30" t="s">
        <v>3</v>
      </c>
      <c r="D640" s="12">
        <f t="shared" si="80"/>
        <v>0</v>
      </c>
      <c r="E640" s="13"/>
      <c r="F640" s="13"/>
      <c r="G640" s="13"/>
      <c r="H640" s="13"/>
      <c r="I640" s="13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</row>
    <row r="641" spans="1:22" s="11" customFormat="1" ht="13.5" customHeight="1" x14ac:dyDescent="0.2">
      <c r="A641" s="47" t="s">
        <v>685</v>
      </c>
      <c r="B641" s="24" t="s">
        <v>20</v>
      </c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5"/>
    </row>
    <row r="642" spans="1:22" s="11" customFormat="1" ht="15" customHeight="1" x14ac:dyDescent="0.2">
      <c r="A642" s="47"/>
      <c r="B642" s="104" t="s">
        <v>556</v>
      </c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</row>
    <row r="643" spans="1:22" s="11" customFormat="1" ht="45" customHeight="1" x14ac:dyDescent="0.2">
      <c r="A643" s="47"/>
      <c r="B643" s="27" t="s">
        <v>712</v>
      </c>
      <c r="C643" s="28"/>
      <c r="D643" s="28"/>
      <c r="E643" s="28"/>
      <c r="F643" s="28"/>
      <c r="G643" s="28"/>
      <c r="H643" s="28"/>
      <c r="I643" s="29"/>
      <c r="J643" s="43">
        <v>2020</v>
      </c>
      <c r="K643" s="43">
        <v>2019</v>
      </c>
      <c r="L643" s="43" t="s">
        <v>597</v>
      </c>
      <c r="M643" s="43" t="s">
        <v>686</v>
      </c>
      <c r="N643" s="43" t="s">
        <v>20</v>
      </c>
      <c r="O643" s="43" t="s">
        <v>20</v>
      </c>
      <c r="P643" s="43" t="s">
        <v>580</v>
      </c>
      <c r="Q643" s="43">
        <v>147342.89000000001</v>
      </c>
      <c r="R643" s="43" t="s">
        <v>11</v>
      </c>
      <c r="S643" s="43" t="s">
        <v>10</v>
      </c>
      <c r="T643" s="43" t="s">
        <v>710</v>
      </c>
      <c r="U643" s="43"/>
      <c r="V643" s="43"/>
    </row>
    <row r="644" spans="1:22" s="11" customFormat="1" ht="11.25" customHeight="1" x14ac:dyDescent="0.2">
      <c r="A644" s="47"/>
      <c r="B644" s="29" t="s">
        <v>5</v>
      </c>
      <c r="C644" s="30" t="s">
        <v>5</v>
      </c>
      <c r="D644" s="12">
        <f>SUM(D645:D648)</f>
        <v>23452.87156</v>
      </c>
      <c r="E644" s="12">
        <f t="shared" ref="E644:G644" si="81">SUM(E645:E648)</f>
        <v>23452.87156</v>
      </c>
      <c r="F644" s="12">
        <f t="shared" si="81"/>
        <v>0</v>
      </c>
      <c r="G644" s="12">
        <f t="shared" si="81"/>
        <v>0</v>
      </c>
      <c r="H644" s="13"/>
      <c r="I644" s="13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</row>
    <row r="645" spans="1:22" s="11" customFormat="1" ht="11.25" customHeight="1" x14ac:dyDescent="0.2">
      <c r="A645" s="47"/>
      <c r="B645" s="29" t="s">
        <v>0</v>
      </c>
      <c r="C645" s="30" t="s">
        <v>0</v>
      </c>
      <c r="D645" s="12">
        <f>SUM(E645:I645)</f>
        <v>0</v>
      </c>
      <c r="E645" s="13"/>
      <c r="F645" s="13"/>
      <c r="G645" s="13"/>
      <c r="H645" s="13"/>
      <c r="I645" s="13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</row>
    <row r="646" spans="1:22" s="11" customFormat="1" ht="11.25" customHeight="1" x14ac:dyDescent="0.2">
      <c r="A646" s="47"/>
      <c r="B646" s="29" t="s">
        <v>1</v>
      </c>
      <c r="C646" s="30" t="s">
        <v>1</v>
      </c>
      <c r="D646" s="12">
        <f t="shared" ref="D646:D648" si="82">SUM(E646:I646)</f>
        <v>23452.87156</v>
      </c>
      <c r="E646" s="13">
        <f>0+23452.87156</f>
        <v>23452.87156</v>
      </c>
      <c r="F646" s="13"/>
      <c r="G646" s="13"/>
      <c r="H646" s="13"/>
      <c r="I646" s="13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</row>
    <row r="647" spans="1:22" s="11" customFormat="1" ht="11.25" customHeight="1" x14ac:dyDescent="0.2">
      <c r="A647" s="47"/>
      <c r="B647" s="29" t="s">
        <v>2</v>
      </c>
      <c r="C647" s="30" t="s">
        <v>2</v>
      </c>
      <c r="D647" s="12">
        <f t="shared" si="82"/>
        <v>0</v>
      </c>
      <c r="E647" s="13"/>
      <c r="F647" s="13"/>
      <c r="G647" s="13"/>
      <c r="H647" s="13"/>
      <c r="I647" s="13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</row>
    <row r="648" spans="1:22" s="11" customFormat="1" ht="11.25" customHeight="1" x14ac:dyDescent="0.2">
      <c r="A648" s="47"/>
      <c r="B648" s="29" t="s">
        <v>3</v>
      </c>
      <c r="C648" s="30" t="s">
        <v>3</v>
      </c>
      <c r="D648" s="12">
        <f t="shared" si="82"/>
        <v>0</v>
      </c>
      <c r="E648" s="13"/>
      <c r="F648" s="13"/>
      <c r="G648" s="13"/>
      <c r="H648" s="13"/>
      <c r="I648" s="13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</row>
    <row r="649" spans="1:22" s="11" customFormat="1" ht="11.25" customHeight="1" x14ac:dyDescent="0.2">
      <c r="A649" s="46" t="s">
        <v>688</v>
      </c>
      <c r="B649" s="24" t="s">
        <v>20</v>
      </c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5"/>
    </row>
    <row r="650" spans="1:22" s="11" customFormat="1" ht="11.25" customHeight="1" x14ac:dyDescent="0.2">
      <c r="A650" s="47"/>
      <c r="B650" s="104" t="s">
        <v>556</v>
      </c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</row>
    <row r="651" spans="1:22" s="11" customFormat="1" ht="47.25" customHeight="1" x14ac:dyDescent="0.2">
      <c r="A651" s="47"/>
      <c r="B651" s="27" t="s">
        <v>687</v>
      </c>
      <c r="C651" s="28"/>
      <c r="D651" s="28"/>
      <c r="E651" s="28"/>
      <c r="F651" s="28"/>
      <c r="G651" s="28"/>
      <c r="H651" s="28"/>
      <c r="I651" s="29"/>
      <c r="J651" s="43">
        <v>2020</v>
      </c>
      <c r="K651" s="43"/>
      <c r="L651" s="43" t="s">
        <v>713</v>
      </c>
      <c r="M651" s="43"/>
      <c r="N651" s="43" t="s">
        <v>689</v>
      </c>
      <c r="O651" s="43" t="s">
        <v>689</v>
      </c>
      <c r="P651" s="43" t="s">
        <v>689</v>
      </c>
      <c r="Q651" s="43">
        <v>22261.80112</v>
      </c>
      <c r="R651" s="43" t="s">
        <v>9</v>
      </c>
      <c r="S651" s="43" t="s">
        <v>690</v>
      </c>
      <c r="T651" s="43" t="s">
        <v>17</v>
      </c>
      <c r="U651" s="43"/>
      <c r="V651" s="122" t="s">
        <v>714</v>
      </c>
    </row>
    <row r="652" spans="1:22" s="11" customFormat="1" ht="11.25" customHeight="1" x14ac:dyDescent="0.2">
      <c r="A652" s="47"/>
      <c r="B652" s="29" t="s">
        <v>5</v>
      </c>
      <c r="C652" s="30" t="s">
        <v>5</v>
      </c>
      <c r="D652" s="12">
        <f>SUM(D653:D656)</f>
        <v>22716.123589999999</v>
      </c>
      <c r="E652" s="12">
        <f t="shared" ref="E652:G652" si="83">SUM(E653:E656)</f>
        <v>22716.123589999999</v>
      </c>
      <c r="F652" s="12">
        <f t="shared" si="83"/>
        <v>0</v>
      </c>
      <c r="G652" s="12">
        <f t="shared" si="83"/>
        <v>0</v>
      </c>
      <c r="H652" s="13"/>
      <c r="I652" s="13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123"/>
    </row>
    <row r="653" spans="1:22" s="11" customFormat="1" ht="11.25" customHeight="1" x14ac:dyDescent="0.2">
      <c r="A653" s="47"/>
      <c r="B653" s="29" t="s">
        <v>0</v>
      </c>
      <c r="C653" s="30" t="s">
        <v>0</v>
      </c>
      <c r="D653" s="12">
        <f>SUM(E653:I653)</f>
        <v>0</v>
      </c>
      <c r="E653" s="13"/>
      <c r="F653" s="13"/>
      <c r="G653" s="13"/>
      <c r="H653" s="13"/>
      <c r="I653" s="13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123"/>
    </row>
    <row r="654" spans="1:22" s="11" customFormat="1" ht="11.25" customHeight="1" x14ac:dyDescent="0.2">
      <c r="A654" s="47"/>
      <c r="B654" s="29" t="s">
        <v>1</v>
      </c>
      <c r="C654" s="30" t="s">
        <v>1</v>
      </c>
      <c r="D654" s="12">
        <f t="shared" ref="D654:D656" si="84">SUM(E654:I654)</f>
        <v>22261.80112</v>
      </c>
      <c r="E654" s="13">
        <f>0+22261.80112</f>
        <v>22261.80112</v>
      </c>
      <c r="F654" s="13"/>
      <c r="G654" s="13"/>
      <c r="H654" s="13"/>
      <c r="I654" s="13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123"/>
    </row>
    <row r="655" spans="1:22" s="11" customFormat="1" ht="11.25" customHeight="1" x14ac:dyDescent="0.2">
      <c r="A655" s="47"/>
      <c r="B655" s="29" t="s">
        <v>2</v>
      </c>
      <c r="C655" s="30" t="s">
        <v>2</v>
      </c>
      <c r="D655" s="12">
        <f t="shared" si="84"/>
        <v>454.32247000000001</v>
      </c>
      <c r="E655" s="13">
        <v>454.32247000000001</v>
      </c>
      <c r="F655" s="13"/>
      <c r="G655" s="13"/>
      <c r="H655" s="13"/>
      <c r="I655" s="13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123"/>
    </row>
    <row r="656" spans="1:22" s="11" customFormat="1" ht="11.25" customHeight="1" x14ac:dyDescent="0.2">
      <c r="A656" s="48"/>
      <c r="B656" s="29" t="s">
        <v>3</v>
      </c>
      <c r="C656" s="30" t="s">
        <v>3</v>
      </c>
      <c r="D656" s="12">
        <f t="shared" si="84"/>
        <v>0</v>
      </c>
      <c r="E656" s="13"/>
      <c r="F656" s="13"/>
      <c r="G656" s="13"/>
      <c r="H656" s="13"/>
      <c r="I656" s="13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124"/>
    </row>
    <row r="657" spans="1:22" s="11" customFormat="1" ht="11.25" customHeight="1" x14ac:dyDescent="0.2">
      <c r="A657" s="46" t="s">
        <v>691</v>
      </c>
      <c r="B657" s="28" t="s">
        <v>20</v>
      </c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9"/>
    </row>
    <row r="658" spans="1:22" s="11" customFormat="1" ht="11.25" customHeight="1" x14ac:dyDescent="0.2">
      <c r="A658" s="47"/>
      <c r="B658" s="104" t="s">
        <v>556</v>
      </c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</row>
    <row r="659" spans="1:22" s="11" customFormat="1" ht="37.5" customHeight="1" x14ac:dyDescent="0.2">
      <c r="A659" s="47"/>
      <c r="B659" s="27" t="s">
        <v>715</v>
      </c>
      <c r="C659" s="28"/>
      <c r="D659" s="28"/>
      <c r="E659" s="28"/>
      <c r="F659" s="28"/>
      <c r="G659" s="28"/>
      <c r="H659" s="28"/>
      <c r="I659" s="29"/>
      <c r="J659" s="43">
        <v>2021</v>
      </c>
      <c r="K659" s="43">
        <v>2019</v>
      </c>
      <c r="L659" s="43" t="s">
        <v>713</v>
      </c>
      <c r="M659" s="43"/>
      <c r="N659" s="43" t="s">
        <v>698</v>
      </c>
      <c r="O659" s="43" t="s">
        <v>698</v>
      </c>
      <c r="P659" s="43" t="s">
        <v>698</v>
      </c>
      <c r="Q659" s="43">
        <v>54043.02</v>
      </c>
      <c r="R659" s="43" t="s">
        <v>9</v>
      </c>
      <c r="S659" s="43" t="s">
        <v>699</v>
      </c>
      <c r="T659" s="43" t="s">
        <v>17</v>
      </c>
      <c r="U659" s="43"/>
      <c r="V659" s="122" t="s">
        <v>716</v>
      </c>
    </row>
    <row r="660" spans="1:22" s="11" customFormat="1" ht="11.25" customHeight="1" x14ac:dyDescent="0.2">
      <c r="A660" s="47"/>
      <c r="B660" s="29" t="s">
        <v>5</v>
      </c>
      <c r="C660" s="30" t="s">
        <v>5</v>
      </c>
      <c r="D660" s="12">
        <f>SUM(D661:D664)</f>
        <v>54153.311879999994</v>
      </c>
      <c r="E660" s="12">
        <f t="shared" ref="E660:G660" si="85">SUM(E661:E664)</f>
        <v>54153.311879999994</v>
      </c>
      <c r="F660" s="12">
        <f t="shared" si="85"/>
        <v>0</v>
      </c>
      <c r="G660" s="12">
        <f t="shared" si="85"/>
        <v>0</v>
      </c>
      <c r="H660" s="13"/>
      <c r="I660" s="13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123"/>
    </row>
    <row r="661" spans="1:22" s="11" customFormat="1" ht="11.25" customHeight="1" x14ac:dyDescent="0.2">
      <c r="A661" s="47"/>
      <c r="B661" s="29" t="s">
        <v>0</v>
      </c>
      <c r="C661" s="30" t="s">
        <v>0</v>
      </c>
      <c r="D661" s="12">
        <f>SUM(E661:I661)</f>
        <v>0</v>
      </c>
      <c r="E661" s="13"/>
      <c r="F661" s="13"/>
      <c r="G661" s="13"/>
      <c r="H661" s="13"/>
      <c r="I661" s="13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123"/>
    </row>
    <row r="662" spans="1:22" s="11" customFormat="1" ht="11.25" customHeight="1" x14ac:dyDescent="0.2">
      <c r="A662" s="47"/>
      <c r="B662" s="29" t="s">
        <v>1</v>
      </c>
      <c r="C662" s="30" t="s">
        <v>1</v>
      </c>
      <c r="D662" s="12">
        <f t="shared" ref="D662:D664" si="86">SUM(E662:I662)</f>
        <v>54043.02</v>
      </c>
      <c r="E662" s="13">
        <f>0+54043.02</f>
        <v>54043.02</v>
      </c>
      <c r="F662" s="13"/>
      <c r="G662" s="13"/>
      <c r="H662" s="13"/>
      <c r="I662" s="13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123"/>
    </row>
    <row r="663" spans="1:22" s="11" customFormat="1" ht="11.25" customHeight="1" x14ac:dyDescent="0.2">
      <c r="A663" s="47"/>
      <c r="B663" s="29" t="s">
        <v>2</v>
      </c>
      <c r="C663" s="30" t="s">
        <v>2</v>
      </c>
      <c r="D663" s="12">
        <f t="shared" si="86"/>
        <v>110.29188000000001</v>
      </c>
      <c r="E663" s="13">
        <v>110.29188000000001</v>
      </c>
      <c r="F663" s="13"/>
      <c r="G663" s="13"/>
      <c r="H663" s="13"/>
      <c r="I663" s="13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123"/>
    </row>
    <row r="664" spans="1:22" s="11" customFormat="1" ht="11.25" customHeight="1" x14ac:dyDescent="0.2">
      <c r="A664" s="48"/>
      <c r="B664" s="29" t="s">
        <v>3</v>
      </c>
      <c r="C664" s="30" t="s">
        <v>3</v>
      </c>
      <c r="D664" s="12">
        <f t="shared" si="86"/>
        <v>0</v>
      </c>
      <c r="E664" s="13"/>
      <c r="F664" s="13"/>
      <c r="G664" s="13"/>
      <c r="H664" s="13"/>
      <c r="I664" s="13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124"/>
    </row>
    <row r="665" spans="1:22" s="11" customFormat="1" ht="11.25" customHeight="1" x14ac:dyDescent="0.2">
      <c r="A665" s="46" t="s">
        <v>693</v>
      </c>
      <c r="B665" s="24" t="s">
        <v>20</v>
      </c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5"/>
    </row>
    <row r="666" spans="1:22" s="11" customFormat="1" ht="11.25" customHeight="1" x14ac:dyDescent="0.2">
      <c r="A666" s="47"/>
      <c r="B666" s="104" t="s">
        <v>215</v>
      </c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</row>
    <row r="667" spans="1:22" s="11" customFormat="1" ht="48" customHeight="1" x14ac:dyDescent="0.2">
      <c r="A667" s="47"/>
      <c r="B667" s="27" t="s">
        <v>692</v>
      </c>
      <c r="C667" s="28"/>
      <c r="D667" s="28"/>
      <c r="E667" s="28"/>
      <c r="F667" s="28"/>
      <c r="G667" s="28"/>
      <c r="H667" s="28"/>
      <c r="I667" s="29"/>
      <c r="J667" s="43">
        <v>2019</v>
      </c>
      <c r="K667" s="43"/>
      <c r="L667" s="43" t="s">
        <v>713</v>
      </c>
      <c r="M667" s="43" t="s">
        <v>694</v>
      </c>
      <c r="N667" s="43" t="s">
        <v>695</v>
      </c>
      <c r="O667" s="43" t="s">
        <v>695</v>
      </c>
      <c r="P667" s="43" t="s">
        <v>695</v>
      </c>
      <c r="Q667" s="43" t="s">
        <v>696</v>
      </c>
      <c r="R667" s="43" t="s">
        <v>9</v>
      </c>
      <c r="S667" s="43" t="s">
        <v>697</v>
      </c>
      <c r="T667" s="43" t="s">
        <v>17</v>
      </c>
      <c r="U667" s="43"/>
      <c r="V667" s="122" t="s">
        <v>717</v>
      </c>
    </row>
    <row r="668" spans="1:22" s="11" customFormat="1" ht="11.25" customHeight="1" x14ac:dyDescent="0.2">
      <c r="A668" s="47"/>
      <c r="B668" s="29" t="s">
        <v>5</v>
      </c>
      <c r="C668" s="30" t="s">
        <v>5</v>
      </c>
      <c r="D668" s="12">
        <f>SUM(D669:D672)</f>
        <v>32590.079889999997</v>
      </c>
      <c r="E668" s="12">
        <f t="shared" ref="E668:G668" si="87">SUM(E669:E672)</f>
        <v>32590.079889999997</v>
      </c>
      <c r="F668" s="12">
        <f t="shared" si="87"/>
        <v>0</v>
      </c>
      <c r="G668" s="12">
        <f t="shared" si="87"/>
        <v>0</v>
      </c>
      <c r="H668" s="13"/>
      <c r="I668" s="13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123"/>
    </row>
    <row r="669" spans="1:22" s="11" customFormat="1" ht="11.25" customHeight="1" x14ac:dyDescent="0.2">
      <c r="A669" s="47"/>
      <c r="B669" s="29" t="s">
        <v>0</v>
      </c>
      <c r="C669" s="30" t="s">
        <v>0</v>
      </c>
      <c r="D669" s="12">
        <f>SUM(E669:I669)</f>
        <v>0</v>
      </c>
      <c r="E669" s="13"/>
      <c r="F669" s="13"/>
      <c r="G669" s="13"/>
      <c r="H669" s="13"/>
      <c r="I669" s="13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123"/>
    </row>
    <row r="670" spans="1:22" s="11" customFormat="1" ht="11.25" customHeight="1" x14ac:dyDescent="0.2">
      <c r="A670" s="47"/>
      <c r="B670" s="29" t="s">
        <v>1</v>
      </c>
      <c r="C670" s="30" t="s">
        <v>1</v>
      </c>
      <c r="D670" s="12">
        <f t="shared" ref="D670:D672" si="88">SUM(E670:I670)</f>
        <v>31938.278289999998</v>
      </c>
      <c r="E670" s="13">
        <v>31938.278289999998</v>
      </c>
      <c r="F670" s="13"/>
      <c r="G670" s="13"/>
      <c r="H670" s="13"/>
      <c r="I670" s="13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123"/>
    </row>
    <row r="671" spans="1:22" s="11" customFormat="1" ht="11.25" customHeight="1" x14ac:dyDescent="0.2">
      <c r="A671" s="47"/>
      <c r="B671" s="29" t="s">
        <v>2</v>
      </c>
      <c r="C671" s="30" t="s">
        <v>2</v>
      </c>
      <c r="D671" s="12">
        <f t="shared" si="88"/>
        <v>651.80160000000001</v>
      </c>
      <c r="E671" s="13">
        <f>0+651.8016</f>
        <v>651.80160000000001</v>
      </c>
      <c r="F671" s="13"/>
      <c r="G671" s="13"/>
      <c r="H671" s="13"/>
      <c r="I671" s="13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123"/>
    </row>
    <row r="672" spans="1:22" s="11" customFormat="1" ht="11.25" customHeight="1" x14ac:dyDescent="0.2">
      <c r="A672" s="48"/>
      <c r="B672" s="29" t="s">
        <v>3</v>
      </c>
      <c r="C672" s="30" t="s">
        <v>3</v>
      </c>
      <c r="D672" s="12">
        <f t="shared" si="88"/>
        <v>0</v>
      </c>
      <c r="E672" s="13"/>
      <c r="F672" s="13"/>
      <c r="G672" s="13"/>
      <c r="H672" s="13"/>
      <c r="I672" s="13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124"/>
    </row>
    <row r="673" spans="1:22" s="11" customFormat="1" x14ac:dyDescent="0.2">
      <c r="A673" s="31" t="s">
        <v>47</v>
      </c>
      <c r="B673" s="75" t="s">
        <v>94</v>
      </c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</row>
    <row r="674" spans="1:22" s="11" customFormat="1" x14ac:dyDescent="0.2">
      <c r="A674" s="32"/>
      <c r="B674" s="76" t="s">
        <v>5</v>
      </c>
      <c r="C674" s="76"/>
      <c r="D674" s="14">
        <f>SUM(D675:D678)</f>
        <v>9250825.8411978427</v>
      </c>
      <c r="E674" s="14">
        <f>SUM(E675:E678)</f>
        <v>1312180.8228919997</v>
      </c>
      <c r="F674" s="14">
        <f t="shared" ref="F674:I674" si="89">SUM(F675:F678)</f>
        <v>703851.88</v>
      </c>
      <c r="G674" s="14">
        <f t="shared" si="89"/>
        <v>271769.67000000004</v>
      </c>
      <c r="H674" s="14">
        <f t="shared" si="89"/>
        <v>6328414.9527122509</v>
      </c>
      <c r="I674" s="14">
        <f t="shared" si="89"/>
        <v>634608.51559358975</v>
      </c>
      <c r="J674" s="34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6"/>
    </row>
    <row r="675" spans="1:22" s="11" customFormat="1" x14ac:dyDescent="0.2">
      <c r="A675" s="32"/>
      <c r="B675" s="76" t="s">
        <v>0</v>
      </c>
      <c r="C675" s="76"/>
      <c r="D675" s="14">
        <f>E675+F675+G675+H675+I675</f>
        <v>550000</v>
      </c>
      <c r="E675" s="14">
        <f t="shared" ref="E675:I678" si="90">E683+E691+E699+E707+E715+E723+E731+E739+E747+E755+E763+E771+E779+E787+E795+E803+E811+E819+E827+E835+E843+E851+E859+E867+E875+E883+E891+E899+E907+E915+E923+E931+E939+E947+E955+E963+E971</f>
        <v>550000</v>
      </c>
      <c r="F675" s="14">
        <f t="shared" si="90"/>
        <v>0</v>
      </c>
      <c r="G675" s="14">
        <f t="shared" si="90"/>
        <v>0</v>
      </c>
      <c r="H675" s="14">
        <f t="shared" si="90"/>
        <v>0</v>
      </c>
      <c r="I675" s="14">
        <f t="shared" si="90"/>
        <v>0</v>
      </c>
      <c r="J675" s="37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9"/>
    </row>
    <row r="676" spans="1:22" s="11" customFormat="1" x14ac:dyDescent="0.2">
      <c r="A676" s="32"/>
      <c r="B676" s="76" t="s">
        <v>1</v>
      </c>
      <c r="C676" s="76"/>
      <c r="D676" s="14">
        <f>E676+F676+G676+H676+I676</f>
        <v>8618820.4301958419</v>
      </c>
      <c r="E676" s="14">
        <f t="shared" si="90"/>
        <v>748551.57488999993</v>
      </c>
      <c r="F676" s="14">
        <f t="shared" si="90"/>
        <v>703851.88</v>
      </c>
      <c r="G676" s="14">
        <f t="shared" si="90"/>
        <v>271769.67000000004</v>
      </c>
      <c r="H676" s="14">
        <f t="shared" si="90"/>
        <v>6274597.515712251</v>
      </c>
      <c r="I676" s="14">
        <f t="shared" si="90"/>
        <v>620049.78959358972</v>
      </c>
      <c r="J676" s="37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9"/>
    </row>
    <row r="677" spans="1:22" s="11" customFormat="1" x14ac:dyDescent="0.2">
      <c r="A677" s="32"/>
      <c r="B677" s="76" t="s">
        <v>2</v>
      </c>
      <c r="C677" s="76"/>
      <c r="D677" s="14">
        <f>E677+F677+G677+H677+I677</f>
        <v>82005.411002000008</v>
      </c>
      <c r="E677" s="14">
        <f t="shared" si="90"/>
        <v>13629.248002</v>
      </c>
      <c r="F677" s="14">
        <f t="shared" si="90"/>
        <v>0</v>
      </c>
      <c r="G677" s="14">
        <f t="shared" si="90"/>
        <v>0</v>
      </c>
      <c r="H677" s="14">
        <f t="shared" si="90"/>
        <v>53817.437000000005</v>
      </c>
      <c r="I677" s="14">
        <f t="shared" si="90"/>
        <v>14558.726000000001</v>
      </c>
      <c r="J677" s="37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9"/>
    </row>
    <row r="678" spans="1:22" s="11" customFormat="1" ht="21" customHeight="1" x14ac:dyDescent="0.2">
      <c r="A678" s="33"/>
      <c r="B678" s="76" t="s">
        <v>3</v>
      </c>
      <c r="C678" s="76"/>
      <c r="D678" s="14">
        <f>E678+F678+G678+H678+I678</f>
        <v>0</v>
      </c>
      <c r="E678" s="14">
        <f t="shared" si="90"/>
        <v>0</v>
      </c>
      <c r="F678" s="14">
        <f t="shared" si="90"/>
        <v>0</v>
      </c>
      <c r="G678" s="14">
        <f t="shared" si="90"/>
        <v>0</v>
      </c>
      <c r="H678" s="14">
        <f t="shared" si="90"/>
        <v>0</v>
      </c>
      <c r="I678" s="14">
        <f t="shared" si="90"/>
        <v>0</v>
      </c>
      <c r="J678" s="40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2"/>
    </row>
    <row r="679" spans="1:22" x14ac:dyDescent="0.2">
      <c r="A679" s="46" t="s">
        <v>48</v>
      </c>
      <c r="B679" s="24" t="s">
        <v>18</v>
      </c>
      <c r="C679" s="24" t="s">
        <v>18</v>
      </c>
      <c r="D679" s="24" t="s">
        <v>18</v>
      </c>
      <c r="E679" s="24" t="s">
        <v>18</v>
      </c>
      <c r="F679" s="24" t="s">
        <v>18</v>
      </c>
      <c r="G679" s="24" t="s">
        <v>18</v>
      </c>
      <c r="H679" s="24" t="s">
        <v>18</v>
      </c>
      <c r="I679" s="24" t="s">
        <v>18</v>
      </c>
      <c r="J679" s="24" t="s">
        <v>18</v>
      </c>
      <c r="K679" s="24" t="s">
        <v>18</v>
      </c>
      <c r="L679" s="24" t="s">
        <v>18</v>
      </c>
      <c r="M679" s="24" t="s">
        <v>18</v>
      </c>
      <c r="N679" s="24" t="s">
        <v>18</v>
      </c>
      <c r="O679" s="24" t="s">
        <v>18</v>
      </c>
      <c r="P679" s="24" t="s">
        <v>18</v>
      </c>
      <c r="Q679" s="24" t="s">
        <v>18</v>
      </c>
      <c r="R679" s="24" t="s">
        <v>18</v>
      </c>
      <c r="S679" s="24" t="s">
        <v>18</v>
      </c>
      <c r="T679" s="24" t="s">
        <v>18</v>
      </c>
      <c r="U679" s="24" t="s">
        <v>18</v>
      </c>
      <c r="V679" s="25" t="s">
        <v>18</v>
      </c>
    </row>
    <row r="680" spans="1:22" x14ac:dyDescent="0.2">
      <c r="A680" s="47" t="s">
        <v>30</v>
      </c>
      <c r="B680" s="82" t="s">
        <v>95</v>
      </c>
      <c r="C680" s="82"/>
      <c r="D680" s="82"/>
      <c r="E680" s="82"/>
      <c r="F680" s="82"/>
      <c r="G680" s="82"/>
      <c r="H680" s="82"/>
      <c r="I680" s="82"/>
      <c r="J680" s="82"/>
      <c r="K680" s="82"/>
      <c r="L680" s="82"/>
      <c r="M680" s="82"/>
      <c r="N680" s="82"/>
      <c r="O680" s="82"/>
      <c r="P680" s="82"/>
      <c r="Q680" s="82"/>
      <c r="R680" s="82"/>
      <c r="S680" s="82"/>
      <c r="T680" s="82"/>
      <c r="U680" s="82"/>
      <c r="V680" s="82"/>
    </row>
    <row r="681" spans="1:22" ht="86.25" customHeight="1" x14ac:dyDescent="0.2">
      <c r="A681" s="47"/>
      <c r="B681" s="60" t="s">
        <v>284</v>
      </c>
      <c r="C681" s="61" t="s">
        <v>284</v>
      </c>
      <c r="D681" s="61"/>
      <c r="E681" s="61"/>
      <c r="F681" s="61"/>
      <c r="G681" s="61"/>
      <c r="H681" s="61"/>
      <c r="I681" s="62"/>
      <c r="J681" s="57" t="s">
        <v>306</v>
      </c>
      <c r="K681" s="57"/>
      <c r="L681" s="57" t="s">
        <v>60</v>
      </c>
      <c r="M681" s="57" t="s">
        <v>392</v>
      </c>
      <c r="N681" s="57" t="s">
        <v>19</v>
      </c>
      <c r="O681" s="57" t="s">
        <v>289</v>
      </c>
      <c r="P681" s="57" t="s">
        <v>19</v>
      </c>
      <c r="Q681" s="85" t="s">
        <v>307</v>
      </c>
      <c r="R681" s="57" t="s">
        <v>11</v>
      </c>
      <c r="S681" s="57" t="s">
        <v>12</v>
      </c>
      <c r="T681" s="57" t="s">
        <v>17</v>
      </c>
      <c r="U681" s="57"/>
      <c r="V681" s="57"/>
    </row>
    <row r="682" spans="1:22" x14ac:dyDescent="0.2">
      <c r="A682" s="47"/>
      <c r="B682" s="59" t="s">
        <v>5</v>
      </c>
      <c r="C682" s="59" t="s">
        <v>5</v>
      </c>
      <c r="D682" s="9">
        <f>SUM(D683:D686)</f>
        <v>127956.85791000001</v>
      </c>
      <c r="E682" s="10">
        <f>SUM(E683:E686)</f>
        <v>2644.0680000000011</v>
      </c>
      <c r="F682" s="10">
        <f>SUM(F683:F686)</f>
        <v>9346.7794599999997</v>
      </c>
      <c r="G682" s="10">
        <f t="shared" ref="G682" si="91">SUM(G683:G686)</f>
        <v>0</v>
      </c>
      <c r="H682" s="10">
        <f t="shared" ref="H682:I682" si="92">SUM(H683:H686)</f>
        <v>54716.010450000002</v>
      </c>
      <c r="I682" s="10">
        <f t="shared" si="92"/>
        <v>61250</v>
      </c>
      <c r="J682" s="57"/>
      <c r="K682" s="57"/>
      <c r="L682" s="57"/>
      <c r="M682" s="57"/>
      <c r="N682" s="57"/>
      <c r="O682" s="57"/>
      <c r="P682" s="57"/>
      <c r="Q682" s="85"/>
      <c r="R682" s="57"/>
      <c r="S682" s="57"/>
      <c r="T682" s="57"/>
      <c r="U682" s="57"/>
      <c r="V682" s="57"/>
    </row>
    <row r="683" spans="1:22" x14ac:dyDescent="0.2">
      <c r="A683" s="47"/>
      <c r="B683" s="59" t="s">
        <v>0</v>
      </c>
      <c r="C683" s="59" t="s">
        <v>0</v>
      </c>
      <c r="D683" s="9">
        <f>E683+F683+G683+H683+I683</f>
        <v>0</v>
      </c>
      <c r="E683" s="10"/>
      <c r="F683" s="10"/>
      <c r="G683" s="10"/>
      <c r="H683" s="10"/>
      <c r="I683" s="10"/>
      <c r="J683" s="57"/>
      <c r="K683" s="57"/>
      <c r="L683" s="57"/>
      <c r="M683" s="57"/>
      <c r="N683" s="57"/>
      <c r="O683" s="57"/>
      <c r="P683" s="57"/>
      <c r="Q683" s="85"/>
      <c r="R683" s="57"/>
      <c r="S683" s="57"/>
      <c r="T683" s="57"/>
      <c r="U683" s="57"/>
      <c r="V683" s="57"/>
    </row>
    <row r="684" spans="1:22" x14ac:dyDescent="0.2">
      <c r="A684" s="47"/>
      <c r="B684" s="59" t="s">
        <v>1</v>
      </c>
      <c r="C684" s="59" t="s">
        <v>1</v>
      </c>
      <c r="D684" s="9">
        <f>E684+F684+G684+H684+I684</f>
        <v>127956.85791000001</v>
      </c>
      <c r="E684" s="13">
        <f>10000+1990.84746-9346.77946</f>
        <v>2644.0680000000011</v>
      </c>
      <c r="F684" s="13">
        <f>21750-12403.22054</f>
        <v>9346.7794599999997</v>
      </c>
      <c r="G684" s="13">
        <f>56675-56675</f>
        <v>0</v>
      </c>
      <c r="H684" s="13">
        <f>59000-4283.98955</f>
        <v>54716.010450000002</v>
      </c>
      <c r="I684" s="10">
        <v>61250</v>
      </c>
      <c r="J684" s="57"/>
      <c r="K684" s="57"/>
      <c r="L684" s="57"/>
      <c r="M684" s="57"/>
      <c r="N684" s="57"/>
      <c r="O684" s="57"/>
      <c r="P684" s="57"/>
      <c r="Q684" s="85"/>
      <c r="R684" s="57"/>
      <c r="S684" s="57"/>
      <c r="T684" s="57"/>
      <c r="U684" s="57"/>
      <c r="V684" s="57"/>
    </row>
    <row r="685" spans="1:22" x14ac:dyDescent="0.2">
      <c r="A685" s="47"/>
      <c r="B685" s="59" t="s">
        <v>2</v>
      </c>
      <c r="C685" s="59" t="s">
        <v>2</v>
      </c>
      <c r="D685" s="9">
        <f>E685+F685+G685+H685+I685</f>
        <v>0</v>
      </c>
      <c r="E685" s="10"/>
      <c r="F685" s="10"/>
      <c r="G685" s="10"/>
      <c r="H685" s="10"/>
      <c r="I685" s="10"/>
      <c r="J685" s="57"/>
      <c r="K685" s="57"/>
      <c r="L685" s="57"/>
      <c r="M685" s="57"/>
      <c r="N685" s="57"/>
      <c r="O685" s="57"/>
      <c r="P685" s="57"/>
      <c r="Q685" s="85"/>
      <c r="R685" s="57"/>
      <c r="S685" s="57"/>
      <c r="T685" s="57"/>
      <c r="U685" s="57"/>
      <c r="V685" s="57"/>
    </row>
    <row r="686" spans="1:22" s="11" customFormat="1" ht="21" customHeight="1" x14ac:dyDescent="0.2">
      <c r="A686" s="48"/>
      <c r="B686" s="59" t="s">
        <v>3</v>
      </c>
      <c r="C686" s="59" t="s">
        <v>3</v>
      </c>
      <c r="D686" s="9">
        <f>E686+F686+G686+H686+I686</f>
        <v>0</v>
      </c>
      <c r="E686" s="10"/>
      <c r="F686" s="10"/>
      <c r="G686" s="10"/>
      <c r="H686" s="10"/>
      <c r="I686" s="10"/>
      <c r="J686" s="57"/>
      <c r="K686" s="57"/>
      <c r="L686" s="57"/>
      <c r="M686" s="57"/>
      <c r="N686" s="57"/>
      <c r="O686" s="57"/>
      <c r="P686" s="57"/>
      <c r="Q686" s="85"/>
      <c r="R686" s="57"/>
      <c r="S686" s="57"/>
      <c r="T686" s="57"/>
      <c r="U686" s="57"/>
      <c r="V686" s="57"/>
    </row>
    <row r="687" spans="1:22" s="11" customFormat="1" x14ac:dyDescent="0.2">
      <c r="A687" s="46" t="s">
        <v>102</v>
      </c>
      <c r="B687" s="24" t="s">
        <v>18</v>
      </c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5"/>
    </row>
    <row r="688" spans="1:22" s="11" customFormat="1" x14ac:dyDescent="0.2">
      <c r="A688" s="47" t="s">
        <v>30</v>
      </c>
      <c r="B688" s="82" t="s">
        <v>95</v>
      </c>
      <c r="C688" s="82"/>
      <c r="D688" s="82"/>
      <c r="E688" s="82"/>
      <c r="F688" s="82"/>
      <c r="G688" s="82"/>
      <c r="H688" s="82"/>
      <c r="I688" s="82"/>
      <c r="J688" s="82"/>
      <c r="K688" s="82"/>
      <c r="L688" s="82"/>
      <c r="M688" s="82"/>
      <c r="N688" s="82"/>
      <c r="O688" s="82"/>
      <c r="P688" s="82"/>
      <c r="Q688" s="82"/>
      <c r="R688" s="82"/>
      <c r="S688" s="82"/>
      <c r="T688" s="82"/>
      <c r="U688" s="82"/>
      <c r="V688" s="82"/>
    </row>
    <row r="689" spans="1:23" s="11" customFormat="1" ht="80.25" customHeight="1" x14ac:dyDescent="0.2">
      <c r="A689" s="47"/>
      <c r="B689" s="60" t="s">
        <v>251</v>
      </c>
      <c r="C689" s="61" t="s">
        <v>251</v>
      </c>
      <c r="D689" s="61"/>
      <c r="E689" s="61"/>
      <c r="F689" s="61"/>
      <c r="G689" s="61"/>
      <c r="H689" s="61"/>
      <c r="I689" s="62"/>
      <c r="J689" s="57" t="s">
        <v>338</v>
      </c>
      <c r="K689" s="57"/>
      <c r="L689" s="57" t="s">
        <v>60</v>
      </c>
      <c r="M689" s="57" t="s">
        <v>339</v>
      </c>
      <c r="N689" s="57" t="s">
        <v>19</v>
      </c>
      <c r="O689" s="57" t="s">
        <v>289</v>
      </c>
      <c r="P689" s="57" t="s">
        <v>19</v>
      </c>
      <c r="Q689" s="85" t="s">
        <v>340</v>
      </c>
      <c r="R689" s="57" t="s">
        <v>11</v>
      </c>
      <c r="S689" s="57" t="s">
        <v>12</v>
      </c>
      <c r="T689" s="57" t="s">
        <v>7</v>
      </c>
      <c r="U689" s="57"/>
      <c r="V689" s="57" t="s">
        <v>465</v>
      </c>
    </row>
    <row r="690" spans="1:23" s="11" customFormat="1" x14ac:dyDescent="0.2">
      <c r="A690" s="47"/>
      <c r="B690" s="59" t="s">
        <v>5</v>
      </c>
      <c r="C690" s="59" t="s">
        <v>5</v>
      </c>
      <c r="D690" s="9">
        <f>SUM(D691:D694)</f>
        <v>28849.175609999998</v>
      </c>
      <c r="E690" s="10">
        <f>SUM(E691:E694)</f>
        <v>28849.175609999998</v>
      </c>
      <c r="F690" s="10"/>
      <c r="G690" s="10"/>
      <c r="H690" s="10"/>
      <c r="I690" s="10"/>
      <c r="J690" s="57"/>
      <c r="K690" s="57"/>
      <c r="L690" s="57"/>
      <c r="M690" s="57"/>
      <c r="N690" s="57"/>
      <c r="O690" s="57"/>
      <c r="P690" s="57"/>
      <c r="Q690" s="85"/>
      <c r="R690" s="57"/>
      <c r="S690" s="57"/>
      <c r="T690" s="57"/>
      <c r="U690" s="57"/>
      <c r="V690" s="57"/>
    </row>
    <row r="691" spans="1:23" s="11" customFormat="1" x14ac:dyDescent="0.2">
      <c r="A691" s="47"/>
      <c r="B691" s="59" t="s">
        <v>0</v>
      </c>
      <c r="C691" s="59" t="s">
        <v>0</v>
      </c>
      <c r="D691" s="9">
        <f>E691+F691+G691+H691+I691</f>
        <v>0</v>
      </c>
      <c r="E691" s="10"/>
      <c r="F691" s="10"/>
      <c r="G691" s="10"/>
      <c r="H691" s="10"/>
      <c r="I691" s="10"/>
      <c r="J691" s="57"/>
      <c r="K691" s="57"/>
      <c r="L691" s="57"/>
      <c r="M691" s="57"/>
      <c r="N691" s="57"/>
      <c r="O691" s="57"/>
      <c r="P691" s="57"/>
      <c r="Q691" s="85"/>
      <c r="R691" s="57"/>
      <c r="S691" s="57"/>
      <c r="T691" s="57"/>
      <c r="U691" s="57"/>
      <c r="V691" s="57"/>
    </row>
    <row r="692" spans="1:23" s="11" customFormat="1" x14ac:dyDescent="0.2">
      <c r="A692" s="47"/>
      <c r="B692" s="59" t="s">
        <v>1</v>
      </c>
      <c r="C692" s="59" t="s">
        <v>1</v>
      </c>
      <c r="D692" s="9">
        <f>E692+F692+G692+H692+I692</f>
        <v>28849.175609999998</v>
      </c>
      <c r="E692" s="10">
        <f>21285.46+7563.71561</f>
        <v>28849.175609999998</v>
      </c>
      <c r="F692" s="10"/>
      <c r="G692" s="10"/>
      <c r="H692" s="10"/>
      <c r="I692" s="10"/>
      <c r="J692" s="57"/>
      <c r="K692" s="57"/>
      <c r="L692" s="57"/>
      <c r="M692" s="57"/>
      <c r="N692" s="57"/>
      <c r="O692" s="57"/>
      <c r="P692" s="57"/>
      <c r="Q692" s="85"/>
      <c r="R692" s="57"/>
      <c r="S692" s="57"/>
      <c r="T692" s="57"/>
      <c r="U692" s="57"/>
      <c r="V692" s="57"/>
    </row>
    <row r="693" spans="1:23" x14ac:dyDescent="0.2">
      <c r="A693" s="47"/>
      <c r="B693" s="59" t="s">
        <v>2</v>
      </c>
      <c r="C693" s="59" t="s">
        <v>2</v>
      </c>
      <c r="D693" s="9">
        <f>E693+F693+G693+H693+I693</f>
        <v>0</v>
      </c>
      <c r="E693" s="10"/>
      <c r="F693" s="10"/>
      <c r="G693" s="10"/>
      <c r="H693" s="10"/>
      <c r="I693" s="10"/>
      <c r="J693" s="57"/>
      <c r="K693" s="57"/>
      <c r="L693" s="57"/>
      <c r="M693" s="57"/>
      <c r="N693" s="57"/>
      <c r="O693" s="57"/>
      <c r="P693" s="57"/>
      <c r="Q693" s="85"/>
      <c r="R693" s="57"/>
      <c r="S693" s="57"/>
      <c r="T693" s="57"/>
      <c r="U693" s="57"/>
      <c r="V693" s="57"/>
    </row>
    <row r="694" spans="1:23" ht="21" customHeight="1" x14ac:dyDescent="0.2">
      <c r="A694" s="48"/>
      <c r="B694" s="59" t="s">
        <v>3</v>
      </c>
      <c r="C694" s="59" t="s">
        <v>3</v>
      </c>
      <c r="D694" s="9">
        <f>E694+F694+G694+H694+I694</f>
        <v>0</v>
      </c>
      <c r="E694" s="10"/>
      <c r="F694" s="10"/>
      <c r="G694" s="10"/>
      <c r="H694" s="10"/>
      <c r="I694" s="10"/>
      <c r="J694" s="57"/>
      <c r="K694" s="57"/>
      <c r="L694" s="57"/>
      <c r="M694" s="57"/>
      <c r="N694" s="57"/>
      <c r="O694" s="57"/>
      <c r="P694" s="57"/>
      <c r="Q694" s="85"/>
      <c r="R694" s="57"/>
      <c r="S694" s="57"/>
      <c r="T694" s="57"/>
      <c r="U694" s="57"/>
      <c r="V694" s="57"/>
    </row>
    <row r="695" spans="1:23" s="11" customFormat="1" x14ac:dyDescent="0.2">
      <c r="A695" s="46" t="s">
        <v>250</v>
      </c>
      <c r="B695" s="24" t="s">
        <v>18</v>
      </c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5"/>
      <c r="W695" s="1"/>
    </row>
    <row r="696" spans="1:23" x14ac:dyDescent="0.2">
      <c r="A696" s="47" t="s">
        <v>30</v>
      </c>
      <c r="B696" s="82" t="s">
        <v>249</v>
      </c>
      <c r="C696" s="82"/>
      <c r="D696" s="82"/>
      <c r="E696" s="82"/>
      <c r="F696" s="82"/>
      <c r="G696" s="82"/>
      <c r="H696" s="82"/>
      <c r="I696" s="82"/>
      <c r="J696" s="82"/>
      <c r="K696" s="82"/>
      <c r="L696" s="82"/>
      <c r="M696" s="82"/>
      <c r="N696" s="82"/>
      <c r="O696" s="82"/>
      <c r="P696" s="82"/>
      <c r="Q696" s="82"/>
      <c r="R696" s="82"/>
      <c r="S696" s="82"/>
      <c r="T696" s="82"/>
      <c r="U696" s="82"/>
      <c r="V696" s="82"/>
    </row>
    <row r="697" spans="1:23" ht="69" customHeight="1" x14ac:dyDescent="0.2">
      <c r="A697" s="47"/>
      <c r="B697" s="60" t="s">
        <v>252</v>
      </c>
      <c r="C697" s="61" t="s">
        <v>252</v>
      </c>
      <c r="D697" s="61"/>
      <c r="E697" s="61"/>
      <c r="F697" s="61"/>
      <c r="G697" s="61"/>
      <c r="H697" s="61"/>
      <c r="I697" s="62"/>
      <c r="J697" s="57" t="s">
        <v>117</v>
      </c>
      <c r="K697" s="57"/>
      <c r="L697" s="57" t="s">
        <v>61</v>
      </c>
      <c r="M697" s="57" t="s">
        <v>121</v>
      </c>
      <c r="N697" s="57" t="s">
        <v>120</v>
      </c>
      <c r="O697" s="57" t="s">
        <v>120</v>
      </c>
      <c r="P697" s="57" t="s">
        <v>120</v>
      </c>
      <c r="Q697" s="85">
        <v>1494597.13</v>
      </c>
      <c r="R697" s="57" t="s">
        <v>9</v>
      </c>
      <c r="S697" s="57" t="s">
        <v>10</v>
      </c>
      <c r="T697" s="57" t="s">
        <v>374</v>
      </c>
      <c r="U697" s="57"/>
      <c r="V697" s="57" t="s">
        <v>466</v>
      </c>
    </row>
    <row r="698" spans="1:23" x14ac:dyDescent="0.2">
      <c r="A698" s="47"/>
      <c r="B698" s="59" t="s">
        <v>5</v>
      </c>
      <c r="C698" s="59" t="s">
        <v>5</v>
      </c>
      <c r="D698" s="9">
        <f>SUM(D699:D702)</f>
        <v>62207.287812000002</v>
      </c>
      <c r="E698" s="10">
        <f>SUM(E699:E702)</f>
        <v>62207.287812000002</v>
      </c>
      <c r="F698" s="10"/>
      <c r="G698" s="10"/>
      <c r="H698" s="10"/>
      <c r="I698" s="10"/>
      <c r="J698" s="57"/>
      <c r="K698" s="57"/>
      <c r="L698" s="57"/>
      <c r="M698" s="57"/>
      <c r="N698" s="57"/>
      <c r="O698" s="57"/>
      <c r="P698" s="57"/>
      <c r="Q698" s="85"/>
      <c r="R698" s="57"/>
      <c r="S698" s="57"/>
      <c r="T698" s="57"/>
      <c r="U698" s="57"/>
      <c r="V698" s="57"/>
    </row>
    <row r="699" spans="1:23" x14ac:dyDescent="0.2">
      <c r="A699" s="47"/>
      <c r="B699" s="59" t="s">
        <v>0</v>
      </c>
      <c r="C699" s="59" t="s">
        <v>0</v>
      </c>
      <c r="D699" s="9">
        <f>E699+F699+G699+H699+I699</f>
        <v>0</v>
      </c>
      <c r="E699" s="10"/>
      <c r="F699" s="10"/>
      <c r="G699" s="10"/>
      <c r="H699" s="10"/>
      <c r="I699" s="10"/>
      <c r="J699" s="57"/>
      <c r="K699" s="57"/>
      <c r="L699" s="57"/>
      <c r="M699" s="57"/>
      <c r="N699" s="57"/>
      <c r="O699" s="57"/>
      <c r="P699" s="57"/>
      <c r="Q699" s="85"/>
      <c r="R699" s="57"/>
      <c r="S699" s="57"/>
      <c r="T699" s="57"/>
      <c r="U699" s="57"/>
      <c r="V699" s="57"/>
    </row>
    <row r="700" spans="1:23" x14ac:dyDescent="0.2">
      <c r="A700" s="47"/>
      <c r="B700" s="59" t="s">
        <v>1</v>
      </c>
      <c r="C700" s="59" t="s">
        <v>1</v>
      </c>
      <c r="D700" s="9">
        <f>E700+F700+G700+H700+I700</f>
        <v>57820.500910000002</v>
      </c>
      <c r="E700" s="13">
        <f>43867.87+13952.63091</f>
        <v>57820.500910000002</v>
      </c>
      <c r="F700" s="10"/>
      <c r="G700" s="10"/>
      <c r="H700" s="10"/>
      <c r="I700" s="10"/>
      <c r="J700" s="57"/>
      <c r="K700" s="57"/>
      <c r="L700" s="57"/>
      <c r="M700" s="57"/>
      <c r="N700" s="57"/>
      <c r="O700" s="57"/>
      <c r="P700" s="57"/>
      <c r="Q700" s="85"/>
      <c r="R700" s="57"/>
      <c r="S700" s="57"/>
      <c r="T700" s="57"/>
      <c r="U700" s="57"/>
      <c r="V700" s="57"/>
    </row>
    <row r="701" spans="1:23" x14ac:dyDescent="0.2">
      <c r="A701" s="47"/>
      <c r="B701" s="59" t="s">
        <v>2</v>
      </c>
      <c r="C701" s="59" t="s">
        <v>2</v>
      </c>
      <c r="D701" s="9">
        <f>E701+F701+G701+H701+I701</f>
        <v>4386.7869019999998</v>
      </c>
      <c r="E701" s="10">
        <v>4386.7869019999998</v>
      </c>
      <c r="F701" s="10"/>
      <c r="G701" s="10"/>
      <c r="H701" s="10"/>
      <c r="I701" s="10"/>
      <c r="J701" s="57"/>
      <c r="K701" s="57"/>
      <c r="L701" s="57"/>
      <c r="M701" s="57"/>
      <c r="N701" s="57"/>
      <c r="O701" s="57"/>
      <c r="P701" s="57"/>
      <c r="Q701" s="85"/>
      <c r="R701" s="57"/>
      <c r="S701" s="57"/>
      <c r="T701" s="57"/>
      <c r="U701" s="57"/>
      <c r="V701" s="57"/>
    </row>
    <row r="702" spans="1:23" ht="21" customHeight="1" x14ac:dyDescent="0.2">
      <c r="A702" s="48"/>
      <c r="B702" s="59" t="s">
        <v>3</v>
      </c>
      <c r="C702" s="59" t="s">
        <v>3</v>
      </c>
      <c r="D702" s="9">
        <f>E702+F702+G702+H702+I702</f>
        <v>0</v>
      </c>
      <c r="E702" s="10"/>
      <c r="F702" s="10"/>
      <c r="G702" s="10"/>
      <c r="H702" s="10"/>
      <c r="I702" s="10"/>
      <c r="J702" s="57"/>
      <c r="K702" s="57"/>
      <c r="L702" s="57"/>
      <c r="M702" s="57"/>
      <c r="N702" s="57"/>
      <c r="O702" s="57"/>
      <c r="P702" s="57"/>
      <c r="Q702" s="85"/>
      <c r="R702" s="57"/>
      <c r="S702" s="57"/>
      <c r="T702" s="57"/>
      <c r="U702" s="57"/>
      <c r="V702" s="57"/>
    </row>
    <row r="703" spans="1:23" x14ac:dyDescent="0.2">
      <c r="A703" s="46" t="s">
        <v>108</v>
      </c>
      <c r="B703" s="24" t="s">
        <v>18</v>
      </c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5"/>
    </row>
    <row r="704" spans="1:23" x14ac:dyDescent="0.2">
      <c r="A704" s="47" t="s">
        <v>30</v>
      </c>
      <c r="B704" s="82" t="s">
        <v>249</v>
      </c>
      <c r="C704" s="82"/>
      <c r="D704" s="82"/>
      <c r="E704" s="82"/>
      <c r="F704" s="82"/>
      <c r="G704" s="82"/>
      <c r="H704" s="82"/>
      <c r="I704" s="82"/>
      <c r="J704" s="82"/>
      <c r="K704" s="82"/>
      <c r="L704" s="82"/>
      <c r="M704" s="82"/>
      <c r="N704" s="82"/>
      <c r="O704" s="82"/>
      <c r="P704" s="82"/>
      <c r="Q704" s="82"/>
      <c r="R704" s="82"/>
      <c r="S704" s="82"/>
      <c r="T704" s="82"/>
      <c r="U704" s="82"/>
      <c r="V704" s="82"/>
    </row>
    <row r="705" spans="1:22" ht="99.95" customHeight="1" x14ac:dyDescent="0.2">
      <c r="A705" s="47"/>
      <c r="B705" s="60" t="s">
        <v>122</v>
      </c>
      <c r="C705" s="61" t="s">
        <v>122</v>
      </c>
      <c r="D705" s="61"/>
      <c r="E705" s="61"/>
      <c r="F705" s="61"/>
      <c r="G705" s="61"/>
      <c r="H705" s="61"/>
      <c r="I705" s="62"/>
      <c r="J705" s="57" t="s">
        <v>117</v>
      </c>
      <c r="K705" s="57"/>
      <c r="L705" s="57" t="s">
        <v>61</v>
      </c>
      <c r="M705" s="57" t="s">
        <v>123</v>
      </c>
      <c r="N705" s="57" t="s">
        <v>120</v>
      </c>
      <c r="O705" s="57" t="s">
        <v>120</v>
      </c>
      <c r="P705" s="57" t="s">
        <v>120</v>
      </c>
      <c r="Q705" s="85">
        <v>784117.62</v>
      </c>
      <c r="R705" s="57" t="s">
        <v>9</v>
      </c>
      <c r="S705" s="57" t="s">
        <v>10</v>
      </c>
      <c r="T705" s="57" t="s">
        <v>7</v>
      </c>
      <c r="U705" s="57"/>
      <c r="V705" s="57" t="s">
        <v>467</v>
      </c>
    </row>
    <row r="706" spans="1:22" x14ac:dyDescent="0.2">
      <c r="A706" s="47"/>
      <c r="B706" s="59" t="s">
        <v>5</v>
      </c>
      <c r="C706" s="59" t="s">
        <v>5</v>
      </c>
      <c r="D706" s="9">
        <f>SUM(D707:D710)</f>
        <v>119667.0811</v>
      </c>
      <c r="E706" s="10">
        <f>SUM(E707:E710)</f>
        <v>119667.0811</v>
      </c>
      <c r="F706" s="10"/>
      <c r="G706" s="10"/>
      <c r="H706" s="10"/>
      <c r="I706" s="10"/>
      <c r="J706" s="57"/>
      <c r="K706" s="57"/>
      <c r="L706" s="57"/>
      <c r="M706" s="57"/>
      <c r="N706" s="57"/>
      <c r="O706" s="57"/>
      <c r="P706" s="57"/>
      <c r="Q706" s="85"/>
      <c r="R706" s="57"/>
      <c r="S706" s="57"/>
      <c r="T706" s="57"/>
      <c r="U706" s="57"/>
      <c r="V706" s="57"/>
    </row>
    <row r="707" spans="1:22" x14ac:dyDescent="0.2">
      <c r="A707" s="47"/>
      <c r="B707" s="59" t="s">
        <v>0</v>
      </c>
      <c r="C707" s="59" t="s">
        <v>0</v>
      </c>
      <c r="D707" s="9">
        <f>E707+F707+G707+H707+I707</f>
        <v>0</v>
      </c>
      <c r="E707" s="10"/>
      <c r="F707" s="10"/>
      <c r="G707" s="10"/>
      <c r="H707" s="10"/>
      <c r="I707" s="10"/>
      <c r="J707" s="57"/>
      <c r="K707" s="57"/>
      <c r="L707" s="57"/>
      <c r="M707" s="57"/>
      <c r="N707" s="57"/>
      <c r="O707" s="57"/>
      <c r="P707" s="57"/>
      <c r="Q707" s="85"/>
      <c r="R707" s="57"/>
      <c r="S707" s="57"/>
      <c r="T707" s="57"/>
      <c r="U707" s="57"/>
      <c r="V707" s="57"/>
    </row>
    <row r="708" spans="1:22" s="11" customFormat="1" x14ac:dyDescent="0.2">
      <c r="A708" s="47"/>
      <c r="B708" s="59" t="s">
        <v>1</v>
      </c>
      <c r="C708" s="59" t="s">
        <v>1</v>
      </c>
      <c r="D708" s="9">
        <f>E708+F708+G708+H708+I708</f>
        <v>112424.62</v>
      </c>
      <c r="E708" s="13">
        <f>72424.62+34000+6000</f>
        <v>112424.62</v>
      </c>
      <c r="F708" s="10"/>
      <c r="G708" s="10"/>
      <c r="H708" s="10"/>
      <c r="I708" s="10"/>
      <c r="J708" s="57"/>
      <c r="K708" s="57"/>
      <c r="L708" s="57"/>
      <c r="M708" s="57"/>
      <c r="N708" s="57"/>
      <c r="O708" s="57"/>
      <c r="P708" s="57"/>
      <c r="Q708" s="85"/>
      <c r="R708" s="57"/>
      <c r="S708" s="57"/>
      <c r="T708" s="57"/>
      <c r="U708" s="57"/>
      <c r="V708" s="57"/>
    </row>
    <row r="709" spans="1:22" s="11" customFormat="1" x14ac:dyDescent="0.2">
      <c r="A709" s="47"/>
      <c r="B709" s="59" t="s">
        <v>2</v>
      </c>
      <c r="C709" s="59" t="s">
        <v>2</v>
      </c>
      <c r="D709" s="9">
        <f>E709+F709+G709+H709+I709</f>
        <v>7242.4611000000004</v>
      </c>
      <c r="E709" s="10">
        <v>7242.4611000000004</v>
      </c>
      <c r="F709" s="10"/>
      <c r="G709" s="10"/>
      <c r="H709" s="10"/>
      <c r="I709" s="10"/>
      <c r="J709" s="57"/>
      <c r="K709" s="57"/>
      <c r="L709" s="57"/>
      <c r="M709" s="57"/>
      <c r="N709" s="57"/>
      <c r="O709" s="57"/>
      <c r="P709" s="57"/>
      <c r="Q709" s="85"/>
      <c r="R709" s="57"/>
      <c r="S709" s="57"/>
      <c r="T709" s="57"/>
      <c r="U709" s="57"/>
      <c r="V709" s="57"/>
    </row>
    <row r="710" spans="1:22" s="11" customFormat="1" ht="21" customHeight="1" x14ac:dyDescent="0.2">
      <c r="A710" s="48"/>
      <c r="B710" s="59" t="s">
        <v>3</v>
      </c>
      <c r="C710" s="59" t="s">
        <v>3</v>
      </c>
      <c r="D710" s="9">
        <f>E710+F710+G710+H710+I710</f>
        <v>0</v>
      </c>
      <c r="E710" s="10"/>
      <c r="F710" s="10"/>
      <c r="G710" s="10"/>
      <c r="H710" s="10"/>
      <c r="I710" s="10"/>
      <c r="J710" s="57"/>
      <c r="K710" s="57"/>
      <c r="L710" s="57"/>
      <c r="M710" s="57"/>
      <c r="N710" s="57"/>
      <c r="O710" s="57"/>
      <c r="P710" s="57"/>
      <c r="Q710" s="85"/>
      <c r="R710" s="57"/>
      <c r="S710" s="57"/>
      <c r="T710" s="57"/>
      <c r="U710" s="57"/>
      <c r="V710" s="57"/>
    </row>
    <row r="711" spans="1:22" s="11" customFormat="1" x14ac:dyDescent="0.2">
      <c r="A711" s="46" t="s">
        <v>398</v>
      </c>
      <c r="B711" s="24" t="s">
        <v>18</v>
      </c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5"/>
    </row>
    <row r="712" spans="1:22" s="11" customFormat="1" x14ac:dyDescent="0.2">
      <c r="A712" s="47" t="s">
        <v>30</v>
      </c>
      <c r="B712" s="82" t="s">
        <v>249</v>
      </c>
      <c r="C712" s="82"/>
      <c r="D712" s="82"/>
      <c r="E712" s="82"/>
      <c r="F712" s="82"/>
      <c r="G712" s="82"/>
      <c r="H712" s="82"/>
      <c r="I712" s="82"/>
      <c r="J712" s="82"/>
      <c r="K712" s="82"/>
      <c r="L712" s="82"/>
      <c r="M712" s="82"/>
      <c r="N712" s="82"/>
      <c r="O712" s="82"/>
      <c r="P712" s="82"/>
      <c r="Q712" s="82"/>
      <c r="R712" s="82"/>
      <c r="S712" s="82"/>
      <c r="T712" s="82"/>
      <c r="U712" s="82"/>
      <c r="V712" s="82"/>
    </row>
    <row r="713" spans="1:22" s="11" customFormat="1" ht="99.95" customHeight="1" x14ac:dyDescent="0.2">
      <c r="A713" s="47"/>
      <c r="B713" s="60" t="s">
        <v>78</v>
      </c>
      <c r="C713" s="61" t="s">
        <v>78</v>
      </c>
      <c r="D713" s="61"/>
      <c r="E713" s="61"/>
      <c r="F713" s="61"/>
      <c r="G713" s="61"/>
      <c r="H713" s="61"/>
      <c r="I713" s="62"/>
      <c r="J713" s="57" t="s">
        <v>66</v>
      </c>
      <c r="K713" s="57"/>
      <c r="L713" s="57" t="s">
        <v>60</v>
      </c>
      <c r="M713" s="57" t="s">
        <v>254</v>
      </c>
      <c r="N713" s="57" t="s">
        <v>19</v>
      </c>
      <c r="O713" s="57" t="s">
        <v>18</v>
      </c>
      <c r="P713" s="57" t="s">
        <v>19</v>
      </c>
      <c r="Q713" s="85" t="s">
        <v>255</v>
      </c>
      <c r="R713" s="57" t="s">
        <v>11</v>
      </c>
      <c r="S713" s="57" t="s">
        <v>13</v>
      </c>
      <c r="T713" s="57" t="s">
        <v>7</v>
      </c>
      <c r="U713" s="57"/>
      <c r="V713" s="57" t="s">
        <v>468</v>
      </c>
    </row>
    <row r="714" spans="1:22" s="11" customFormat="1" x14ac:dyDescent="0.2">
      <c r="A714" s="47"/>
      <c r="B714" s="59" t="s">
        <v>5</v>
      </c>
      <c r="C714" s="59" t="s">
        <v>5</v>
      </c>
      <c r="D714" s="9">
        <f>SUM(D715:D718)</f>
        <v>327500.17599999998</v>
      </c>
      <c r="E714" s="10">
        <f>E716+E719+E721</f>
        <v>0</v>
      </c>
      <c r="F714" s="10"/>
      <c r="G714" s="10"/>
      <c r="H714" s="10"/>
      <c r="I714" s="10"/>
      <c r="J714" s="57"/>
      <c r="K714" s="57"/>
      <c r="L714" s="57"/>
      <c r="M714" s="57"/>
      <c r="N714" s="57"/>
      <c r="O714" s="57"/>
      <c r="P714" s="57"/>
      <c r="Q714" s="85"/>
      <c r="R714" s="57"/>
      <c r="S714" s="57"/>
      <c r="T714" s="57"/>
      <c r="U714" s="57"/>
      <c r="V714" s="57"/>
    </row>
    <row r="715" spans="1:22" x14ac:dyDescent="0.2">
      <c r="A715" s="47"/>
      <c r="B715" s="59" t="s">
        <v>0</v>
      </c>
      <c r="C715" s="59" t="s">
        <v>0</v>
      </c>
      <c r="D715" s="9">
        <f>E715+F715+G715+H715+I715</f>
        <v>327500.17599999998</v>
      </c>
      <c r="E715" s="13">
        <f>0+327500.176</f>
        <v>327500.17599999998</v>
      </c>
      <c r="F715" s="10"/>
      <c r="G715" s="10"/>
      <c r="H715" s="10"/>
      <c r="I715" s="10"/>
      <c r="J715" s="57"/>
      <c r="K715" s="57"/>
      <c r="L715" s="57"/>
      <c r="M715" s="57"/>
      <c r="N715" s="57"/>
      <c r="O715" s="57"/>
      <c r="P715" s="57"/>
      <c r="Q715" s="85"/>
      <c r="R715" s="57"/>
      <c r="S715" s="57"/>
      <c r="T715" s="57"/>
      <c r="U715" s="57"/>
      <c r="V715" s="57"/>
    </row>
    <row r="716" spans="1:22" x14ac:dyDescent="0.2">
      <c r="A716" s="47"/>
      <c r="B716" s="59" t="s">
        <v>1</v>
      </c>
      <c r="C716" s="59" t="s">
        <v>1</v>
      </c>
      <c r="D716" s="9">
        <f>E716+F716+G716+H716+I716</f>
        <v>0</v>
      </c>
      <c r="E716" s="13">
        <f>41324.75-41324.75</f>
        <v>0</v>
      </c>
      <c r="F716" s="10"/>
      <c r="G716" s="10"/>
      <c r="H716" s="10"/>
      <c r="I716" s="10"/>
      <c r="J716" s="57"/>
      <c r="K716" s="57"/>
      <c r="L716" s="57"/>
      <c r="M716" s="57"/>
      <c r="N716" s="57"/>
      <c r="O716" s="57"/>
      <c r="P716" s="57"/>
      <c r="Q716" s="85"/>
      <c r="R716" s="57"/>
      <c r="S716" s="57"/>
      <c r="T716" s="57"/>
      <c r="U716" s="57"/>
      <c r="V716" s="57"/>
    </row>
    <row r="717" spans="1:22" x14ac:dyDescent="0.2">
      <c r="A717" s="47"/>
      <c r="B717" s="59" t="s">
        <v>2</v>
      </c>
      <c r="C717" s="59" t="s">
        <v>2</v>
      </c>
      <c r="D717" s="9">
        <f>E717+F717+G717+H717+I717</f>
        <v>0</v>
      </c>
      <c r="E717" s="10"/>
      <c r="F717" s="10"/>
      <c r="G717" s="10"/>
      <c r="H717" s="10"/>
      <c r="I717" s="10"/>
      <c r="J717" s="57"/>
      <c r="K717" s="57"/>
      <c r="L717" s="57"/>
      <c r="M717" s="57"/>
      <c r="N717" s="57"/>
      <c r="O717" s="57"/>
      <c r="P717" s="57"/>
      <c r="Q717" s="85"/>
      <c r="R717" s="57"/>
      <c r="S717" s="57"/>
      <c r="T717" s="57"/>
      <c r="U717" s="57"/>
      <c r="V717" s="57"/>
    </row>
    <row r="718" spans="1:22" ht="21" customHeight="1" x14ac:dyDescent="0.2">
      <c r="A718" s="48"/>
      <c r="B718" s="59" t="s">
        <v>3</v>
      </c>
      <c r="C718" s="59" t="s">
        <v>3</v>
      </c>
      <c r="D718" s="9">
        <f>E718+F718+G718+H718+I718</f>
        <v>0</v>
      </c>
      <c r="E718" s="10"/>
      <c r="F718" s="10"/>
      <c r="G718" s="10"/>
      <c r="H718" s="10"/>
      <c r="I718" s="10"/>
      <c r="J718" s="57"/>
      <c r="K718" s="57"/>
      <c r="L718" s="57"/>
      <c r="M718" s="57"/>
      <c r="N718" s="57"/>
      <c r="O718" s="57"/>
      <c r="P718" s="57"/>
      <c r="Q718" s="85"/>
      <c r="R718" s="57"/>
      <c r="S718" s="57"/>
      <c r="T718" s="57"/>
      <c r="U718" s="57"/>
      <c r="V718" s="57"/>
    </row>
    <row r="719" spans="1:22" x14ac:dyDescent="0.2">
      <c r="A719" s="46" t="s">
        <v>253</v>
      </c>
      <c r="B719" s="24" t="s">
        <v>18</v>
      </c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5"/>
    </row>
    <row r="720" spans="1:22" x14ac:dyDescent="0.2">
      <c r="A720" s="47" t="s">
        <v>30</v>
      </c>
      <c r="B720" s="82" t="s">
        <v>249</v>
      </c>
      <c r="C720" s="82"/>
      <c r="D720" s="82"/>
      <c r="E720" s="82"/>
      <c r="F720" s="82"/>
      <c r="G720" s="82"/>
      <c r="H720" s="82"/>
      <c r="I720" s="82"/>
      <c r="J720" s="82"/>
      <c r="K720" s="82"/>
      <c r="L720" s="82"/>
      <c r="M720" s="82"/>
      <c r="N720" s="82"/>
      <c r="O720" s="82"/>
      <c r="P720" s="82"/>
      <c r="Q720" s="82"/>
      <c r="R720" s="82"/>
      <c r="S720" s="82"/>
      <c r="T720" s="82"/>
      <c r="U720" s="82"/>
      <c r="V720" s="82"/>
    </row>
    <row r="721" spans="1:22" ht="99.95" customHeight="1" x14ac:dyDescent="0.2">
      <c r="A721" s="47"/>
      <c r="B721" s="60" t="s">
        <v>79</v>
      </c>
      <c r="C721" s="61" t="s">
        <v>79</v>
      </c>
      <c r="D721" s="61"/>
      <c r="E721" s="61"/>
      <c r="F721" s="61"/>
      <c r="G721" s="61"/>
      <c r="H721" s="61"/>
      <c r="I721" s="62"/>
      <c r="J721" s="57" t="s">
        <v>66</v>
      </c>
      <c r="K721" s="57"/>
      <c r="L721" s="57" t="s">
        <v>60</v>
      </c>
      <c r="M721" s="57" t="s">
        <v>84</v>
      </c>
      <c r="N721" s="57" t="s">
        <v>19</v>
      </c>
      <c r="O721" s="57" t="s">
        <v>18</v>
      </c>
      <c r="P721" s="57" t="s">
        <v>19</v>
      </c>
      <c r="Q721" s="85" t="s">
        <v>257</v>
      </c>
      <c r="R721" s="57" t="s">
        <v>11</v>
      </c>
      <c r="S721" s="57" t="s">
        <v>13</v>
      </c>
      <c r="T721" s="57" t="s">
        <v>7</v>
      </c>
      <c r="U721" s="57"/>
      <c r="V721" s="57" t="s">
        <v>469</v>
      </c>
    </row>
    <row r="722" spans="1:22" s="11" customFormat="1" x14ac:dyDescent="0.2">
      <c r="A722" s="47"/>
      <c r="B722" s="59" t="s">
        <v>5</v>
      </c>
      <c r="C722" s="59" t="s">
        <v>5</v>
      </c>
      <c r="D722" s="9">
        <f>SUM(D723:D726)</f>
        <v>222499.82399999999</v>
      </c>
      <c r="E722" s="10">
        <f>SUM(E723:E726)</f>
        <v>222499.82399999999</v>
      </c>
      <c r="F722" s="10"/>
      <c r="G722" s="10"/>
      <c r="H722" s="10"/>
      <c r="I722" s="10"/>
      <c r="J722" s="57"/>
      <c r="K722" s="57"/>
      <c r="L722" s="57"/>
      <c r="M722" s="57"/>
      <c r="N722" s="57"/>
      <c r="O722" s="57"/>
      <c r="P722" s="57"/>
      <c r="Q722" s="85"/>
      <c r="R722" s="57"/>
      <c r="S722" s="57"/>
      <c r="T722" s="57"/>
      <c r="U722" s="57"/>
      <c r="V722" s="57"/>
    </row>
    <row r="723" spans="1:22" s="11" customFormat="1" x14ac:dyDescent="0.2">
      <c r="A723" s="47"/>
      <c r="B723" s="59" t="s">
        <v>0</v>
      </c>
      <c r="C723" s="59" t="s">
        <v>0</v>
      </c>
      <c r="D723" s="9">
        <f>E723+F723+G723+H723+I723</f>
        <v>222499.82399999999</v>
      </c>
      <c r="E723" s="13">
        <f>0+222499.824</f>
        <v>222499.82399999999</v>
      </c>
      <c r="F723" s="10"/>
      <c r="G723" s="10"/>
      <c r="H723" s="10"/>
      <c r="I723" s="10"/>
      <c r="J723" s="57"/>
      <c r="K723" s="57"/>
      <c r="L723" s="57"/>
      <c r="M723" s="57"/>
      <c r="N723" s="57"/>
      <c r="O723" s="57"/>
      <c r="P723" s="57"/>
      <c r="Q723" s="85"/>
      <c r="R723" s="57"/>
      <c r="S723" s="57"/>
      <c r="T723" s="57"/>
      <c r="U723" s="57"/>
      <c r="V723" s="57"/>
    </row>
    <row r="724" spans="1:22" s="11" customFormat="1" x14ac:dyDescent="0.2">
      <c r="A724" s="47"/>
      <c r="B724" s="59" t="s">
        <v>1</v>
      </c>
      <c r="C724" s="59" t="s">
        <v>1</v>
      </c>
      <c r="D724" s="9">
        <f>E724+F724+G724+H724+I724</f>
        <v>0</v>
      </c>
      <c r="E724" s="13">
        <f>36633.33-36633.33</f>
        <v>0</v>
      </c>
      <c r="F724" s="10"/>
      <c r="G724" s="10"/>
      <c r="H724" s="10"/>
      <c r="I724" s="10"/>
      <c r="J724" s="57"/>
      <c r="K724" s="57"/>
      <c r="L724" s="57"/>
      <c r="M724" s="57"/>
      <c r="N724" s="57"/>
      <c r="O724" s="57"/>
      <c r="P724" s="57"/>
      <c r="Q724" s="85"/>
      <c r="R724" s="57"/>
      <c r="S724" s="57"/>
      <c r="T724" s="57"/>
      <c r="U724" s="57"/>
      <c r="V724" s="57"/>
    </row>
    <row r="725" spans="1:22" s="11" customFormat="1" x14ac:dyDescent="0.2">
      <c r="A725" s="47"/>
      <c r="B725" s="59" t="s">
        <v>2</v>
      </c>
      <c r="C725" s="59" t="s">
        <v>2</v>
      </c>
      <c r="D725" s="9">
        <f>E725+F725+G725+H725+I725</f>
        <v>0</v>
      </c>
      <c r="E725" s="10"/>
      <c r="F725" s="10"/>
      <c r="G725" s="10"/>
      <c r="H725" s="10"/>
      <c r="I725" s="10"/>
      <c r="J725" s="57"/>
      <c r="K725" s="57"/>
      <c r="L725" s="57"/>
      <c r="M725" s="57"/>
      <c r="N725" s="57"/>
      <c r="O725" s="57"/>
      <c r="P725" s="57"/>
      <c r="Q725" s="85"/>
      <c r="R725" s="57"/>
      <c r="S725" s="57"/>
      <c r="T725" s="57"/>
      <c r="U725" s="57"/>
      <c r="V725" s="57"/>
    </row>
    <row r="726" spans="1:22" s="11" customFormat="1" ht="21" customHeight="1" x14ac:dyDescent="0.2">
      <c r="A726" s="48"/>
      <c r="B726" s="59" t="s">
        <v>3</v>
      </c>
      <c r="C726" s="59" t="s">
        <v>3</v>
      </c>
      <c r="D726" s="9">
        <f>E726+F726+G726+H726+I726</f>
        <v>0</v>
      </c>
      <c r="E726" s="10"/>
      <c r="F726" s="10"/>
      <c r="G726" s="10"/>
      <c r="H726" s="10"/>
      <c r="I726" s="10"/>
      <c r="J726" s="57"/>
      <c r="K726" s="57"/>
      <c r="L726" s="57"/>
      <c r="M726" s="57"/>
      <c r="N726" s="57"/>
      <c r="O726" s="57"/>
      <c r="P726" s="57"/>
      <c r="Q726" s="85"/>
      <c r="R726" s="57"/>
      <c r="S726" s="57"/>
      <c r="T726" s="57"/>
      <c r="U726" s="57"/>
      <c r="V726" s="57"/>
    </row>
    <row r="727" spans="1:22" s="11" customFormat="1" x14ac:dyDescent="0.2">
      <c r="A727" s="46" t="s">
        <v>109</v>
      </c>
      <c r="B727" s="24" t="s">
        <v>18</v>
      </c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5"/>
    </row>
    <row r="728" spans="1:22" s="11" customFormat="1" x14ac:dyDescent="0.2">
      <c r="A728" s="47" t="s">
        <v>30</v>
      </c>
      <c r="B728" s="82" t="s">
        <v>249</v>
      </c>
      <c r="C728" s="82"/>
      <c r="D728" s="82"/>
      <c r="E728" s="82"/>
      <c r="F728" s="82"/>
      <c r="G728" s="82"/>
      <c r="H728" s="82"/>
      <c r="I728" s="82"/>
      <c r="J728" s="82"/>
      <c r="K728" s="82"/>
      <c r="L728" s="82"/>
      <c r="M728" s="82"/>
      <c r="N728" s="82"/>
      <c r="O728" s="82"/>
      <c r="P728" s="82"/>
      <c r="Q728" s="82"/>
      <c r="R728" s="82"/>
      <c r="S728" s="82"/>
      <c r="T728" s="82"/>
      <c r="U728" s="82"/>
      <c r="V728" s="82"/>
    </row>
    <row r="729" spans="1:22" s="11" customFormat="1" ht="99.95" customHeight="1" x14ac:dyDescent="0.2">
      <c r="A729" s="47"/>
      <c r="B729" s="60" t="s">
        <v>80</v>
      </c>
      <c r="C729" s="61" t="s">
        <v>80</v>
      </c>
      <c r="D729" s="61"/>
      <c r="E729" s="61"/>
      <c r="F729" s="61"/>
      <c r="G729" s="61"/>
      <c r="H729" s="61"/>
      <c r="I729" s="62"/>
      <c r="J729" s="57" t="s">
        <v>288</v>
      </c>
      <c r="K729" s="57"/>
      <c r="L729" s="57" t="s">
        <v>60</v>
      </c>
      <c r="M729" s="57" t="s">
        <v>308</v>
      </c>
      <c r="N729" s="57" t="s">
        <v>19</v>
      </c>
      <c r="O729" s="57" t="s">
        <v>289</v>
      </c>
      <c r="P729" s="57" t="s">
        <v>19</v>
      </c>
      <c r="Q729" s="85">
        <v>869303.65</v>
      </c>
      <c r="R729" s="57" t="s">
        <v>11</v>
      </c>
      <c r="S729" s="57" t="s">
        <v>15</v>
      </c>
      <c r="T729" s="57" t="s">
        <v>17</v>
      </c>
      <c r="U729" s="57"/>
      <c r="V729" s="57" t="s">
        <v>470</v>
      </c>
    </row>
    <row r="730" spans="1:22" s="11" customFormat="1" x14ac:dyDescent="0.2">
      <c r="A730" s="47"/>
      <c r="B730" s="59" t="s">
        <v>5</v>
      </c>
      <c r="C730" s="59" t="s">
        <v>5</v>
      </c>
      <c r="D730" s="9">
        <f>SUM(D731:D734)</f>
        <v>459705.19802000001</v>
      </c>
      <c r="E730" s="10">
        <f>SUM(E731:E734)</f>
        <v>84591.107929999998</v>
      </c>
      <c r="F730" s="10">
        <f>SUM(F731:F734)</f>
        <v>237505.10054000001</v>
      </c>
      <c r="G730" s="10"/>
      <c r="H730" s="10"/>
      <c r="I730" s="10"/>
      <c r="J730" s="57"/>
      <c r="K730" s="57"/>
      <c r="L730" s="57"/>
      <c r="M730" s="57"/>
      <c r="N730" s="57"/>
      <c r="O730" s="57"/>
      <c r="P730" s="57"/>
      <c r="Q730" s="85"/>
      <c r="R730" s="57"/>
      <c r="S730" s="57"/>
      <c r="T730" s="57"/>
      <c r="U730" s="57"/>
      <c r="V730" s="57"/>
    </row>
    <row r="731" spans="1:22" s="11" customFormat="1" x14ac:dyDescent="0.2">
      <c r="A731" s="47"/>
      <c r="B731" s="59" t="s">
        <v>0</v>
      </c>
      <c r="C731" s="59" t="s">
        <v>0</v>
      </c>
      <c r="D731" s="9">
        <f>E731+F731+G731+H731+I731</f>
        <v>0</v>
      </c>
      <c r="E731" s="10"/>
      <c r="F731" s="10"/>
      <c r="G731" s="10"/>
      <c r="H731" s="10"/>
      <c r="I731" s="10"/>
      <c r="J731" s="57"/>
      <c r="K731" s="57"/>
      <c r="L731" s="57"/>
      <c r="M731" s="57"/>
      <c r="N731" s="57"/>
      <c r="O731" s="57"/>
      <c r="P731" s="57"/>
      <c r="Q731" s="85"/>
      <c r="R731" s="57"/>
      <c r="S731" s="57"/>
      <c r="T731" s="57"/>
      <c r="U731" s="57"/>
      <c r="V731" s="57"/>
    </row>
    <row r="732" spans="1:22" s="11" customFormat="1" x14ac:dyDescent="0.2">
      <c r="A732" s="47"/>
      <c r="B732" s="59" t="s">
        <v>1</v>
      </c>
      <c r="C732" s="59" t="s">
        <v>1</v>
      </c>
      <c r="D732" s="9">
        <f>E732+F732+G732+H732+I732</f>
        <v>459705.19802000001</v>
      </c>
      <c r="E732" s="13">
        <f>40926.3+100729.26031-57064.45238</f>
        <v>84591.107929999998</v>
      </c>
      <c r="F732" s="13">
        <f>202740+34765.10054</f>
        <v>237505.10054000001</v>
      </c>
      <c r="G732" s="13">
        <f>0+133325</f>
        <v>133325</v>
      </c>
      <c r="H732" s="13">
        <f>0+4283.98955</f>
        <v>4283.9895500000002</v>
      </c>
      <c r="I732" s="10"/>
      <c r="J732" s="57"/>
      <c r="K732" s="57"/>
      <c r="L732" s="57"/>
      <c r="M732" s="57"/>
      <c r="N732" s="57"/>
      <c r="O732" s="57"/>
      <c r="P732" s="57"/>
      <c r="Q732" s="85"/>
      <c r="R732" s="57"/>
      <c r="S732" s="57"/>
      <c r="T732" s="57"/>
      <c r="U732" s="57"/>
      <c r="V732" s="57"/>
    </row>
    <row r="733" spans="1:22" s="11" customFormat="1" x14ac:dyDescent="0.2">
      <c r="A733" s="47"/>
      <c r="B733" s="59" t="s">
        <v>2</v>
      </c>
      <c r="C733" s="59" t="s">
        <v>2</v>
      </c>
      <c r="D733" s="9">
        <f>E733+F733+G733+H733+I733</f>
        <v>0</v>
      </c>
      <c r="E733" s="10"/>
      <c r="F733" s="10"/>
      <c r="G733" s="10"/>
      <c r="H733" s="10"/>
      <c r="I733" s="10"/>
      <c r="J733" s="57"/>
      <c r="K733" s="57"/>
      <c r="L733" s="57"/>
      <c r="M733" s="57"/>
      <c r="N733" s="57"/>
      <c r="O733" s="57"/>
      <c r="P733" s="57"/>
      <c r="Q733" s="85"/>
      <c r="R733" s="57"/>
      <c r="S733" s="57"/>
      <c r="T733" s="57"/>
      <c r="U733" s="57"/>
      <c r="V733" s="57"/>
    </row>
    <row r="734" spans="1:22" s="11" customFormat="1" ht="21" customHeight="1" x14ac:dyDescent="0.2">
      <c r="A734" s="48"/>
      <c r="B734" s="59" t="s">
        <v>3</v>
      </c>
      <c r="C734" s="59" t="s">
        <v>3</v>
      </c>
      <c r="D734" s="9">
        <f>E734+F734+G734+H734+I734</f>
        <v>0</v>
      </c>
      <c r="E734" s="10"/>
      <c r="F734" s="10"/>
      <c r="G734" s="10"/>
      <c r="H734" s="10"/>
      <c r="I734" s="10"/>
      <c r="J734" s="57"/>
      <c r="K734" s="57"/>
      <c r="L734" s="57"/>
      <c r="M734" s="57"/>
      <c r="N734" s="57"/>
      <c r="O734" s="57"/>
      <c r="P734" s="57"/>
      <c r="Q734" s="85"/>
      <c r="R734" s="57"/>
      <c r="S734" s="57"/>
      <c r="T734" s="57"/>
      <c r="U734" s="57"/>
      <c r="V734" s="57"/>
    </row>
    <row r="735" spans="1:22" s="11" customFormat="1" x14ac:dyDescent="0.2">
      <c r="A735" s="46" t="s">
        <v>256</v>
      </c>
      <c r="B735" s="24" t="s">
        <v>18</v>
      </c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5"/>
    </row>
    <row r="736" spans="1:22" s="11" customFormat="1" x14ac:dyDescent="0.2">
      <c r="A736" s="47" t="s">
        <v>30</v>
      </c>
      <c r="B736" s="82" t="s">
        <v>249</v>
      </c>
      <c r="C736" s="82"/>
      <c r="D736" s="82"/>
      <c r="E736" s="82"/>
      <c r="F736" s="82"/>
      <c r="G736" s="82"/>
      <c r="H736" s="82"/>
      <c r="I736" s="82"/>
      <c r="J736" s="82"/>
      <c r="K736" s="82"/>
      <c r="L736" s="82"/>
      <c r="M736" s="82"/>
      <c r="N736" s="82"/>
      <c r="O736" s="82"/>
      <c r="P736" s="82"/>
      <c r="Q736" s="82"/>
      <c r="R736" s="82"/>
      <c r="S736" s="82"/>
      <c r="T736" s="82"/>
      <c r="U736" s="82"/>
      <c r="V736" s="82"/>
    </row>
    <row r="737" spans="1:22" s="11" customFormat="1" ht="99.95" customHeight="1" x14ac:dyDescent="0.2">
      <c r="A737" s="47"/>
      <c r="B737" s="60" t="s">
        <v>309</v>
      </c>
      <c r="C737" s="61" t="s">
        <v>309</v>
      </c>
      <c r="D737" s="61"/>
      <c r="E737" s="61"/>
      <c r="F737" s="61"/>
      <c r="G737" s="61"/>
      <c r="H737" s="61"/>
      <c r="I737" s="62"/>
      <c r="J737" s="57" t="s">
        <v>310</v>
      </c>
      <c r="K737" s="57"/>
      <c r="L737" s="57" t="s">
        <v>60</v>
      </c>
      <c r="M737" s="57" t="s">
        <v>311</v>
      </c>
      <c r="N737" s="57" t="s">
        <v>19</v>
      </c>
      <c r="O737" s="57" t="s">
        <v>289</v>
      </c>
      <c r="P737" s="57" t="s">
        <v>19</v>
      </c>
      <c r="Q737" s="85">
        <v>391101.83799999999</v>
      </c>
      <c r="R737" s="57" t="s">
        <v>11</v>
      </c>
      <c r="S737" s="57" t="s">
        <v>15</v>
      </c>
      <c r="T737" s="57" t="s">
        <v>17</v>
      </c>
      <c r="U737" s="57"/>
      <c r="V737" s="57" t="s">
        <v>471</v>
      </c>
    </row>
    <row r="738" spans="1:22" s="11" customFormat="1" x14ac:dyDescent="0.2">
      <c r="A738" s="47"/>
      <c r="B738" s="59" t="s">
        <v>5</v>
      </c>
      <c r="C738" s="59" t="s">
        <v>5</v>
      </c>
      <c r="D738" s="9">
        <f>SUM(D739:D742)</f>
        <v>244324.283</v>
      </c>
      <c r="E738" s="10"/>
      <c r="F738" s="10"/>
      <c r="G738" s="10"/>
      <c r="H738" s="10">
        <f t="shared" ref="H738:I738" si="93">SUM(H739:H742)</f>
        <v>129000</v>
      </c>
      <c r="I738" s="10">
        <f t="shared" si="93"/>
        <v>115324.283</v>
      </c>
      <c r="J738" s="57"/>
      <c r="K738" s="57"/>
      <c r="L738" s="57"/>
      <c r="M738" s="57"/>
      <c r="N738" s="57"/>
      <c r="O738" s="57"/>
      <c r="P738" s="57"/>
      <c r="Q738" s="85"/>
      <c r="R738" s="57"/>
      <c r="S738" s="57"/>
      <c r="T738" s="57"/>
      <c r="U738" s="57"/>
      <c r="V738" s="57"/>
    </row>
    <row r="739" spans="1:22" s="11" customFormat="1" x14ac:dyDescent="0.2">
      <c r="A739" s="47"/>
      <c r="B739" s="59" t="s">
        <v>0</v>
      </c>
      <c r="C739" s="59" t="s">
        <v>0</v>
      </c>
      <c r="D739" s="9">
        <f>E739+F739+G739+H739+I739</f>
        <v>0</v>
      </c>
      <c r="E739" s="10"/>
      <c r="F739" s="10"/>
      <c r="G739" s="10"/>
      <c r="H739" s="10"/>
      <c r="I739" s="10"/>
      <c r="J739" s="57"/>
      <c r="K739" s="57"/>
      <c r="L739" s="57"/>
      <c r="M739" s="57"/>
      <c r="N739" s="57"/>
      <c r="O739" s="57"/>
      <c r="P739" s="57"/>
      <c r="Q739" s="85"/>
      <c r="R739" s="57"/>
      <c r="S739" s="57"/>
      <c r="T739" s="57"/>
      <c r="U739" s="57"/>
      <c r="V739" s="57"/>
    </row>
    <row r="740" spans="1:22" s="11" customFormat="1" x14ac:dyDescent="0.2">
      <c r="A740" s="47"/>
      <c r="B740" s="59" t="s">
        <v>1</v>
      </c>
      <c r="C740" s="59" t="s">
        <v>1</v>
      </c>
      <c r="D740" s="9">
        <f>E740+F740+G740+H740+I740</f>
        <v>244324.283</v>
      </c>
      <c r="E740" s="10"/>
      <c r="F740" s="10"/>
      <c r="G740" s="10"/>
      <c r="H740" s="10">
        <v>129000</v>
      </c>
      <c r="I740" s="10">
        <v>115324.283</v>
      </c>
      <c r="J740" s="57"/>
      <c r="K740" s="57"/>
      <c r="L740" s="57"/>
      <c r="M740" s="57"/>
      <c r="N740" s="57"/>
      <c r="O740" s="57"/>
      <c r="P740" s="57"/>
      <c r="Q740" s="85"/>
      <c r="R740" s="57"/>
      <c r="S740" s="57"/>
      <c r="T740" s="57"/>
      <c r="U740" s="57"/>
      <c r="V740" s="57"/>
    </row>
    <row r="741" spans="1:22" s="11" customFormat="1" x14ac:dyDescent="0.2">
      <c r="A741" s="47"/>
      <c r="B741" s="59" t="s">
        <v>2</v>
      </c>
      <c r="C741" s="59" t="s">
        <v>2</v>
      </c>
      <c r="D741" s="9">
        <f>E741+F741+G741+H741+I741</f>
        <v>0</v>
      </c>
      <c r="E741" s="10"/>
      <c r="F741" s="10"/>
      <c r="G741" s="10"/>
      <c r="H741" s="10"/>
      <c r="I741" s="10"/>
      <c r="J741" s="57"/>
      <c r="K741" s="57"/>
      <c r="L741" s="57"/>
      <c r="M741" s="57"/>
      <c r="N741" s="57"/>
      <c r="O741" s="57"/>
      <c r="P741" s="57"/>
      <c r="Q741" s="85"/>
      <c r="R741" s="57"/>
      <c r="S741" s="57"/>
      <c r="T741" s="57"/>
      <c r="U741" s="57"/>
      <c r="V741" s="57"/>
    </row>
    <row r="742" spans="1:22" s="11" customFormat="1" ht="21" customHeight="1" x14ac:dyDescent="0.2">
      <c r="A742" s="48"/>
      <c r="B742" s="59" t="s">
        <v>3</v>
      </c>
      <c r="C742" s="59" t="s">
        <v>3</v>
      </c>
      <c r="D742" s="9">
        <f>E742+F742+G742+H742+I742</f>
        <v>0</v>
      </c>
      <c r="E742" s="10"/>
      <c r="F742" s="10"/>
      <c r="G742" s="10"/>
      <c r="H742" s="10"/>
      <c r="I742" s="10"/>
      <c r="J742" s="57"/>
      <c r="K742" s="57"/>
      <c r="L742" s="57"/>
      <c r="M742" s="57"/>
      <c r="N742" s="57"/>
      <c r="O742" s="57"/>
      <c r="P742" s="57"/>
      <c r="Q742" s="85"/>
      <c r="R742" s="57"/>
      <c r="S742" s="57"/>
      <c r="T742" s="57"/>
      <c r="U742" s="57"/>
      <c r="V742" s="57"/>
    </row>
    <row r="743" spans="1:22" s="11" customFormat="1" x14ac:dyDescent="0.2">
      <c r="A743" s="46" t="s">
        <v>258</v>
      </c>
      <c r="B743" s="24" t="s">
        <v>18</v>
      </c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5"/>
    </row>
    <row r="744" spans="1:22" s="11" customFormat="1" x14ac:dyDescent="0.2">
      <c r="A744" s="47" t="s">
        <v>30</v>
      </c>
      <c r="B744" s="82" t="s">
        <v>249</v>
      </c>
      <c r="C744" s="82"/>
      <c r="D744" s="82"/>
      <c r="E744" s="82"/>
      <c r="F744" s="82"/>
      <c r="G744" s="82"/>
      <c r="H744" s="82"/>
      <c r="I744" s="82"/>
      <c r="J744" s="82"/>
      <c r="K744" s="82"/>
      <c r="L744" s="82"/>
      <c r="M744" s="82"/>
      <c r="N744" s="82"/>
      <c r="O744" s="82"/>
      <c r="P744" s="82"/>
      <c r="Q744" s="82"/>
      <c r="R744" s="82"/>
      <c r="S744" s="82"/>
      <c r="T744" s="82"/>
      <c r="U744" s="82"/>
      <c r="V744" s="82"/>
    </row>
    <row r="745" spans="1:22" s="11" customFormat="1" ht="99.95" customHeight="1" x14ac:dyDescent="0.2">
      <c r="A745" s="47"/>
      <c r="B745" s="60" t="s">
        <v>317</v>
      </c>
      <c r="C745" s="61" t="s">
        <v>317</v>
      </c>
      <c r="D745" s="61"/>
      <c r="E745" s="61"/>
      <c r="F745" s="61"/>
      <c r="G745" s="61"/>
      <c r="H745" s="61"/>
      <c r="I745" s="62"/>
      <c r="J745" s="57" t="s">
        <v>303</v>
      </c>
      <c r="K745" s="57"/>
      <c r="L745" s="57" t="s">
        <v>60</v>
      </c>
      <c r="M745" s="57" t="s">
        <v>315</v>
      </c>
      <c r="N745" s="57" t="s">
        <v>19</v>
      </c>
      <c r="O745" s="57" t="s">
        <v>289</v>
      </c>
      <c r="P745" s="57" t="s">
        <v>19</v>
      </c>
      <c r="Q745" s="85" t="s">
        <v>316</v>
      </c>
      <c r="R745" s="57" t="s">
        <v>11</v>
      </c>
      <c r="S745" s="57" t="s">
        <v>112</v>
      </c>
      <c r="T745" s="57" t="s">
        <v>17</v>
      </c>
      <c r="U745" s="57"/>
      <c r="V745" s="57"/>
    </row>
    <row r="746" spans="1:22" s="11" customFormat="1" x14ac:dyDescent="0.2">
      <c r="A746" s="47"/>
      <c r="B746" s="59" t="s">
        <v>5</v>
      </c>
      <c r="C746" s="59" t="s">
        <v>5</v>
      </c>
      <c r="D746" s="9">
        <f>SUM(D747:D750)</f>
        <v>439874.15399999998</v>
      </c>
      <c r="E746" s="10"/>
      <c r="F746" s="10"/>
      <c r="G746" s="10"/>
      <c r="H746" s="10">
        <f t="shared" ref="H746:I746" si="94">SUM(H747:H750)</f>
        <v>210000</v>
      </c>
      <c r="I746" s="10">
        <f t="shared" si="94"/>
        <v>229874.15399999998</v>
      </c>
      <c r="J746" s="57"/>
      <c r="K746" s="57"/>
      <c r="L746" s="57"/>
      <c r="M746" s="57"/>
      <c r="N746" s="57"/>
      <c r="O746" s="57"/>
      <c r="P746" s="57"/>
      <c r="Q746" s="85"/>
      <c r="R746" s="57"/>
      <c r="S746" s="57"/>
      <c r="T746" s="57"/>
      <c r="U746" s="57"/>
      <c r="V746" s="57"/>
    </row>
    <row r="747" spans="1:22" s="11" customFormat="1" x14ac:dyDescent="0.2">
      <c r="A747" s="47"/>
      <c r="B747" s="59" t="s">
        <v>0</v>
      </c>
      <c r="C747" s="59" t="s">
        <v>0</v>
      </c>
      <c r="D747" s="9">
        <f>E747+F747+G747+H747+I747</f>
        <v>0</v>
      </c>
      <c r="E747" s="10"/>
      <c r="F747" s="10"/>
      <c r="G747" s="10"/>
      <c r="H747" s="10"/>
      <c r="I747" s="10"/>
      <c r="J747" s="57"/>
      <c r="K747" s="57"/>
      <c r="L747" s="57"/>
      <c r="M747" s="57"/>
      <c r="N747" s="57"/>
      <c r="O747" s="57"/>
      <c r="P747" s="57"/>
      <c r="Q747" s="85"/>
      <c r="R747" s="57"/>
      <c r="S747" s="57"/>
      <c r="T747" s="57"/>
      <c r="U747" s="57"/>
      <c r="V747" s="57"/>
    </row>
    <row r="748" spans="1:22" s="11" customFormat="1" x14ac:dyDescent="0.2">
      <c r="A748" s="47"/>
      <c r="B748" s="59" t="s">
        <v>1</v>
      </c>
      <c r="C748" s="59" t="s">
        <v>1</v>
      </c>
      <c r="D748" s="9">
        <f>E748+F748+G748+H748+I748</f>
        <v>439874.15399999998</v>
      </c>
      <c r="E748" s="10"/>
      <c r="F748" s="10"/>
      <c r="G748" s="10"/>
      <c r="H748" s="10">
        <v>210000</v>
      </c>
      <c r="I748" s="10">
        <v>229874.15399999998</v>
      </c>
      <c r="J748" s="57"/>
      <c r="K748" s="57"/>
      <c r="L748" s="57"/>
      <c r="M748" s="57"/>
      <c r="N748" s="57"/>
      <c r="O748" s="57"/>
      <c r="P748" s="57"/>
      <c r="Q748" s="85"/>
      <c r="R748" s="57"/>
      <c r="S748" s="57"/>
      <c r="T748" s="57"/>
      <c r="U748" s="57"/>
      <c r="V748" s="57"/>
    </row>
    <row r="749" spans="1:22" s="11" customFormat="1" x14ac:dyDescent="0.2">
      <c r="A749" s="47"/>
      <c r="B749" s="59" t="s">
        <v>2</v>
      </c>
      <c r="C749" s="59" t="s">
        <v>2</v>
      </c>
      <c r="D749" s="9">
        <f>E749+F749+G749+H749+I749</f>
        <v>0</v>
      </c>
      <c r="E749" s="10"/>
      <c r="F749" s="10"/>
      <c r="G749" s="10"/>
      <c r="H749" s="10"/>
      <c r="I749" s="10"/>
      <c r="J749" s="57"/>
      <c r="K749" s="57"/>
      <c r="L749" s="57"/>
      <c r="M749" s="57"/>
      <c r="N749" s="57"/>
      <c r="O749" s="57"/>
      <c r="P749" s="57"/>
      <c r="Q749" s="85"/>
      <c r="R749" s="57"/>
      <c r="S749" s="57"/>
      <c r="T749" s="57"/>
      <c r="U749" s="57"/>
      <c r="V749" s="57"/>
    </row>
    <row r="750" spans="1:22" s="11" customFormat="1" ht="21" customHeight="1" x14ac:dyDescent="0.2">
      <c r="A750" s="48"/>
      <c r="B750" s="59" t="s">
        <v>3</v>
      </c>
      <c r="C750" s="59" t="s">
        <v>3</v>
      </c>
      <c r="D750" s="9">
        <f>E750+F750+G750+H750+I750</f>
        <v>0</v>
      </c>
      <c r="E750" s="10"/>
      <c r="F750" s="10"/>
      <c r="G750" s="10"/>
      <c r="H750" s="10"/>
      <c r="I750" s="10"/>
      <c r="J750" s="57"/>
      <c r="K750" s="57"/>
      <c r="L750" s="57"/>
      <c r="M750" s="57"/>
      <c r="N750" s="57"/>
      <c r="O750" s="57"/>
      <c r="P750" s="57"/>
      <c r="Q750" s="85"/>
      <c r="R750" s="57"/>
      <c r="S750" s="57"/>
      <c r="T750" s="57"/>
      <c r="U750" s="57"/>
      <c r="V750" s="57"/>
    </row>
    <row r="751" spans="1:22" s="11" customFormat="1" x14ac:dyDescent="0.2">
      <c r="A751" s="46" t="s">
        <v>399</v>
      </c>
      <c r="B751" s="24" t="s">
        <v>18</v>
      </c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5"/>
    </row>
    <row r="752" spans="1:22" s="11" customFormat="1" x14ac:dyDescent="0.2">
      <c r="A752" s="47" t="s">
        <v>30</v>
      </c>
      <c r="B752" s="82" t="s">
        <v>249</v>
      </c>
      <c r="C752" s="82"/>
      <c r="D752" s="82"/>
      <c r="E752" s="82"/>
      <c r="F752" s="82"/>
      <c r="G752" s="82"/>
      <c r="H752" s="82"/>
      <c r="I752" s="82"/>
      <c r="J752" s="82"/>
      <c r="K752" s="82"/>
      <c r="L752" s="82"/>
      <c r="M752" s="82"/>
      <c r="N752" s="82"/>
      <c r="O752" s="82"/>
      <c r="P752" s="82"/>
      <c r="Q752" s="82"/>
      <c r="R752" s="82"/>
      <c r="S752" s="82"/>
      <c r="T752" s="82"/>
      <c r="U752" s="82"/>
      <c r="V752" s="82"/>
    </row>
    <row r="753" spans="1:22" ht="89.25" customHeight="1" x14ac:dyDescent="0.2">
      <c r="A753" s="47"/>
      <c r="B753" s="60" t="s">
        <v>259</v>
      </c>
      <c r="C753" s="61" t="s">
        <v>259</v>
      </c>
      <c r="D753" s="61"/>
      <c r="E753" s="61"/>
      <c r="F753" s="61"/>
      <c r="G753" s="61"/>
      <c r="H753" s="61"/>
      <c r="I753" s="62"/>
      <c r="J753" s="57" t="s">
        <v>298</v>
      </c>
      <c r="K753" s="57"/>
      <c r="L753" s="57" t="s">
        <v>60</v>
      </c>
      <c r="M753" s="57" t="s">
        <v>118</v>
      </c>
      <c r="N753" s="57" t="s">
        <v>19</v>
      </c>
      <c r="O753" s="57" t="s">
        <v>289</v>
      </c>
      <c r="P753" s="57" t="s">
        <v>19</v>
      </c>
      <c r="Q753" s="85">
        <v>458460.66499999998</v>
      </c>
      <c r="R753" s="57" t="s">
        <v>11</v>
      </c>
      <c r="S753" s="57" t="s">
        <v>12</v>
      </c>
      <c r="T753" s="57" t="s">
        <v>17</v>
      </c>
      <c r="U753" s="57"/>
      <c r="V753" s="57" t="s">
        <v>472</v>
      </c>
    </row>
    <row r="754" spans="1:22" x14ac:dyDescent="0.2">
      <c r="A754" s="47"/>
      <c r="B754" s="59" t="s">
        <v>5</v>
      </c>
      <c r="C754" s="59" t="s">
        <v>5</v>
      </c>
      <c r="D754" s="9">
        <f>SUM(D755:D758)</f>
        <v>3000</v>
      </c>
      <c r="E754" s="10">
        <f>SUM(E755:E758)</f>
        <v>3000</v>
      </c>
      <c r="F754" s="10">
        <f>SUM(F755:F758)</f>
        <v>0</v>
      </c>
      <c r="G754" s="10"/>
      <c r="H754" s="10"/>
      <c r="I754" s="10"/>
      <c r="J754" s="57"/>
      <c r="K754" s="57"/>
      <c r="L754" s="57"/>
      <c r="M754" s="57"/>
      <c r="N754" s="57"/>
      <c r="O754" s="57"/>
      <c r="P754" s="57"/>
      <c r="Q754" s="85"/>
      <c r="R754" s="57"/>
      <c r="S754" s="57"/>
      <c r="T754" s="57"/>
      <c r="U754" s="57"/>
      <c r="V754" s="57"/>
    </row>
    <row r="755" spans="1:22" x14ac:dyDescent="0.2">
      <c r="A755" s="47"/>
      <c r="B755" s="59" t="s">
        <v>0</v>
      </c>
      <c r="C755" s="59" t="s">
        <v>0</v>
      </c>
      <c r="D755" s="9">
        <f>E755+F755+G755+H755+I755</f>
        <v>0</v>
      </c>
      <c r="E755" s="10"/>
      <c r="F755" s="10"/>
      <c r="G755" s="10"/>
      <c r="H755" s="10"/>
      <c r="I755" s="10"/>
      <c r="J755" s="57"/>
      <c r="K755" s="57"/>
      <c r="L755" s="57"/>
      <c r="M755" s="57"/>
      <c r="N755" s="57"/>
      <c r="O755" s="57"/>
      <c r="P755" s="57"/>
      <c r="Q755" s="85"/>
      <c r="R755" s="57"/>
      <c r="S755" s="57"/>
      <c r="T755" s="57"/>
      <c r="U755" s="57"/>
      <c r="V755" s="57"/>
    </row>
    <row r="756" spans="1:22" x14ac:dyDescent="0.2">
      <c r="A756" s="47"/>
      <c r="B756" s="59" t="s">
        <v>1</v>
      </c>
      <c r="C756" s="59" t="s">
        <v>1</v>
      </c>
      <c r="D756" s="9">
        <f>E756+F756+G756+H756+I756</f>
        <v>3000</v>
      </c>
      <c r="E756" s="10">
        <v>3000</v>
      </c>
      <c r="F756" s="13">
        <f>10461.88-10461.88</f>
        <v>0</v>
      </c>
      <c r="G756" s="10"/>
      <c r="H756" s="10"/>
      <c r="I756" s="10"/>
      <c r="J756" s="57"/>
      <c r="K756" s="57"/>
      <c r="L756" s="57"/>
      <c r="M756" s="57"/>
      <c r="N756" s="57"/>
      <c r="O756" s="57"/>
      <c r="P756" s="57"/>
      <c r="Q756" s="85"/>
      <c r="R756" s="57"/>
      <c r="S756" s="57"/>
      <c r="T756" s="57"/>
      <c r="U756" s="57"/>
      <c r="V756" s="57"/>
    </row>
    <row r="757" spans="1:22" x14ac:dyDescent="0.2">
      <c r="A757" s="47"/>
      <c r="B757" s="59" t="s">
        <v>2</v>
      </c>
      <c r="C757" s="59" t="s">
        <v>2</v>
      </c>
      <c r="D757" s="9">
        <f>E757+F757+G757+H757+I757</f>
        <v>0</v>
      </c>
      <c r="E757" s="10"/>
      <c r="F757" s="10"/>
      <c r="G757" s="10"/>
      <c r="H757" s="10"/>
      <c r="I757" s="10"/>
      <c r="J757" s="57"/>
      <c r="K757" s="57"/>
      <c r="L757" s="57"/>
      <c r="M757" s="57"/>
      <c r="N757" s="57"/>
      <c r="O757" s="57"/>
      <c r="P757" s="57"/>
      <c r="Q757" s="85"/>
      <c r="R757" s="57"/>
      <c r="S757" s="57"/>
      <c r="T757" s="57"/>
      <c r="U757" s="57"/>
      <c r="V757" s="57"/>
    </row>
    <row r="758" spans="1:22" ht="21" customHeight="1" x14ac:dyDescent="0.2">
      <c r="A758" s="48"/>
      <c r="B758" s="59" t="s">
        <v>3</v>
      </c>
      <c r="C758" s="59" t="s">
        <v>3</v>
      </c>
      <c r="D758" s="9">
        <f>E758+F758+G758+H758+I758</f>
        <v>0</v>
      </c>
      <c r="E758" s="10"/>
      <c r="F758" s="10"/>
      <c r="G758" s="10"/>
      <c r="H758" s="10"/>
      <c r="I758" s="10"/>
      <c r="J758" s="57"/>
      <c r="K758" s="57"/>
      <c r="L758" s="57"/>
      <c r="M758" s="57"/>
      <c r="N758" s="57"/>
      <c r="O758" s="57"/>
      <c r="P758" s="57"/>
      <c r="Q758" s="85"/>
      <c r="R758" s="57"/>
      <c r="S758" s="57"/>
      <c r="T758" s="57"/>
      <c r="U758" s="57"/>
      <c r="V758" s="57"/>
    </row>
    <row r="759" spans="1:22" s="11" customFormat="1" x14ac:dyDescent="0.2">
      <c r="A759" s="46" t="s">
        <v>111</v>
      </c>
      <c r="B759" s="24" t="s">
        <v>18</v>
      </c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5"/>
    </row>
    <row r="760" spans="1:22" s="11" customFormat="1" x14ac:dyDescent="0.2">
      <c r="A760" s="47" t="s">
        <v>30</v>
      </c>
      <c r="B760" s="82" t="s">
        <v>249</v>
      </c>
      <c r="C760" s="82"/>
      <c r="D760" s="82"/>
      <c r="E760" s="82"/>
      <c r="F760" s="82"/>
      <c r="G760" s="82"/>
      <c r="H760" s="82"/>
      <c r="I760" s="82"/>
      <c r="J760" s="82"/>
      <c r="K760" s="82"/>
      <c r="L760" s="82"/>
      <c r="M760" s="82"/>
      <c r="N760" s="82"/>
      <c r="O760" s="82"/>
      <c r="P760" s="82"/>
      <c r="Q760" s="82"/>
      <c r="R760" s="82"/>
      <c r="S760" s="82"/>
      <c r="T760" s="82"/>
      <c r="U760" s="82"/>
      <c r="V760" s="82"/>
    </row>
    <row r="761" spans="1:22" ht="78.75" customHeight="1" x14ac:dyDescent="0.2">
      <c r="A761" s="47"/>
      <c r="B761" s="60" t="s">
        <v>299</v>
      </c>
      <c r="C761" s="61" t="s">
        <v>299</v>
      </c>
      <c r="D761" s="61"/>
      <c r="E761" s="61"/>
      <c r="F761" s="61"/>
      <c r="G761" s="61"/>
      <c r="H761" s="61"/>
      <c r="I761" s="62"/>
      <c r="J761" s="57" t="s">
        <v>300</v>
      </c>
      <c r="K761" s="57"/>
      <c r="L761" s="57" t="s">
        <v>60</v>
      </c>
      <c r="M761" s="57" t="s">
        <v>301</v>
      </c>
      <c r="N761" s="57" t="s">
        <v>19</v>
      </c>
      <c r="O761" s="57" t="s">
        <v>289</v>
      </c>
      <c r="P761" s="57" t="s">
        <v>19</v>
      </c>
      <c r="Q761" s="85">
        <v>868650.625</v>
      </c>
      <c r="R761" s="57" t="s">
        <v>11</v>
      </c>
      <c r="S761" s="57" t="s">
        <v>12</v>
      </c>
      <c r="T761" s="57" t="s">
        <v>17</v>
      </c>
      <c r="U761" s="57"/>
      <c r="V761" s="57" t="s">
        <v>473</v>
      </c>
    </row>
    <row r="762" spans="1:22" x14ac:dyDescent="0.2">
      <c r="A762" s="47"/>
      <c r="B762" s="59" t="s">
        <v>5</v>
      </c>
      <c r="C762" s="59" t="s">
        <v>5</v>
      </c>
      <c r="D762" s="9">
        <f>SUM(D763:D766)</f>
        <v>16583.486188034189</v>
      </c>
      <c r="E762" s="10"/>
      <c r="F762" s="10">
        <f>SUM(F763:F766)</f>
        <v>0</v>
      </c>
      <c r="G762" s="10">
        <f t="shared" ref="G762" si="95">SUM(G763:G766)</f>
        <v>0</v>
      </c>
      <c r="H762" s="10">
        <f t="shared" ref="H762" si="96">SUM(H763:H766)</f>
        <v>16583.486188034189</v>
      </c>
      <c r="I762" s="10"/>
      <c r="J762" s="57"/>
      <c r="K762" s="57"/>
      <c r="L762" s="57"/>
      <c r="M762" s="57"/>
      <c r="N762" s="57"/>
      <c r="O762" s="57"/>
      <c r="P762" s="57"/>
      <c r="Q762" s="85"/>
      <c r="R762" s="57"/>
      <c r="S762" s="57"/>
      <c r="T762" s="57"/>
      <c r="U762" s="57"/>
      <c r="V762" s="57"/>
    </row>
    <row r="763" spans="1:22" x14ac:dyDescent="0.2">
      <c r="A763" s="47"/>
      <c r="B763" s="59" t="s">
        <v>0</v>
      </c>
      <c r="C763" s="59" t="s">
        <v>0</v>
      </c>
      <c r="D763" s="9">
        <f>E763+F763+G763+H763+I763</f>
        <v>0</v>
      </c>
      <c r="E763" s="10"/>
      <c r="F763" s="10"/>
      <c r="G763" s="10"/>
      <c r="H763" s="10"/>
      <c r="I763" s="10"/>
      <c r="J763" s="57"/>
      <c r="K763" s="57"/>
      <c r="L763" s="57"/>
      <c r="M763" s="57"/>
      <c r="N763" s="57"/>
      <c r="O763" s="57"/>
      <c r="P763" s="57"/>
      <c r="Q763" s="85"/>
      <c r="R763" s="57"/>
      <c r="S763" s="57"/>
      <c r="T763" s="57"/>
      <c r="U763" s="57"/>
      <c r="V763" s="57"/>
    </row>
    <row r="764" spans="1:22" x14ac:dyDescent="0.2">
      <c r="A764" s="47"/>
      <c r="B764" s="59" t="s">
        <v>1</v>
      </c>
      <c r="C764" s="59" t="s">
        <v>1</v>
      </c>
      <c r="D764" s="9">
        <f>E764+F764+G764+H764+I764</f>
        <v>16583.486188034189</v>
      </c>
      <c r="E764" s="10"/>
      <c r="F764" s="13">
        <f>11900-11900</f>
        <v>0</v>
      </c>
      <c r="G764" s="13">
        <f>14250-14250</f>
        <v>0</v>
      </c>
      <c r="H764" s="10">
        <v>16583.486188034189</v>
      </c>
      <c r="I764" s="10"/>
      <c r="J764" s="57"/>
      <c r="K764" s="57"/>
      <c r="L764" s="57"/>
      <c r="M764" s="57"/>
      <c r="N764" s="57"/>
      <c r="O764" s="57"/>
      <c r="P764" s="57"/>
      <c r="Q764" s="85"/>
      <c r="R764" s="57"/>
      <c r="S764" s="57"/>
      <c r="T764" s="57"/>
      <c r="U764" s="57"/>
      <c r="V764" s="57"/>
    </row>
    <row r="765" spans="1:22" x14ac:dyDescent="0.2">
      <c r="A765" s="47"/>
      <c r="B765" s="59" t="s">
        <v>2</v>
      </c>
      <c r="C765" s="59" t="s">
        <v>2</v>
      </c>
      <c r="D765" s="9">
        <f>E765+F765+G765+H765+I765</f>
        <v>0</v>
      </c>
      <c r="E765" s="10"/>
      <c r="F765" s="10"/>
      <c r="G765" s="10"/>
      <c r="H765" s="10"/>
      <c r="I765" s="10"/>
      <c r="J765" s="57"/>
      <c r="K765" s="57"/>
      <c r="L765" s="57"/>
      <c r="M765" s="57"/>
      <c r="N765" s="57"/>
      <c r="O765" s="57"/>
      <c r="P765" s="57"/>
      <c r="Q765" s="85"/>
      <c r="R765" s="57"/>
      <c r="S765" s="57"/>
      <c r="T765" s="57"/>
      <c r="U765" s="57"/>
      <c r="V765" s="57"/>
    </row>
    <row r="766" spans="1:22" ht="21" customHeight="1" x14ac:dyDescent="0.2">
      <c r="A766" s="48"/>
      <c r="B766" s="59" t="s">
        <v>3</v>
      </c>
      <c r="C766" s="59" t="s">
        <v>3</v>
      </c>
      <c r="D766" s="9">
        <f>E766+F766+G766+H766+I766</f>
        <v>0</v>
      </c>
      <c r="E766" s="10"/>
      <c r="F766" s="10"/>
      <c r="G766" s="10"/>
      <c r="H766" s="10"/>
      <c r="I766" s="10"/>
      <c r="J766" s="57"/>
      <c r="K766" s="57"/>
      <c r="L766" s="57"/>
      <c r="M766" s="57"/>
      <c r="N766" s="57"/>
      <c r="O766" s="57"/>
      <c r="P766" s="57"/>
      <c r="Q766" s="85"/>
      <c r="R766" s="57"/>
      <c r="S766" s="57"/>
      <c r="T766" s="57"/>
      <c r="U766" s="57"/>
      <c r="V766" s="57"/>
    </row>
    <row r="767" spans="1:22" s="11" customFormat="1" x14ac:dyDescent="0.2">
      <c r="A767" s="46" t="s">
        <v>260</v>
      </c>
      <c r="B767" s="24" t="s">
        <v>18</v>
      </c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5"/>
    </row>
    <row r="768" spans="1:22" s="11" customFormat="1" x14ac:dyDescent="0.2">
      <c r="A768" s="47" t="s">
        <v>30</v>
      </c>
      <c r="B768" s="82" t="s">
        <v>249</v>
      </c>
      <c r="C768" s="82"/>
      <c r="D768" s="82"/>
      <c r="E768" s="82"/>
      <c r="F768" s="82"/>
      <c r="G768" s="82"/>
      <c r="H768" s="82"/>
      <c r="I768" s="82"/>
      <c r="J768" s="82"/>
      <c r="K768" s="82"/>
      <c r="L768" s="82"/>
      <c r="M768" s="82"/>
      <c r="N768" s="82"/>
      <c r="O768" s="82"/>
      <c r="P768" s="82"/>
      <c r="Q768" s="82"/>
      <c r="R768" s="82"/>
      <c r="S768" s="82"/>
      <c r="T768" s="82"/>
      <c r="U768" s="82"/>
      <c r="V768" s="82"/>
    </row>
    <row r="769" spans="1:22" ht="99.95" customHeight="1" x14ac:dyDescent="0.2">
      <c r="A769" s="47"/>
      <c r="B769" s="60" t="s">
        <v>302</v>
      </c>
      <c r="C769" s="61" t="s">
        <v>302</v>
      </c>
      <c r="D769" s="61"/>
      <c r="E769" s="61"/>
      <c r="F769" s="61"/>
      <c r="G769" s="61"/>
      <c r="H769" s="61"/>
      <c r="I769" s="62"/>
      <c r="J769" s="57" t="s">
        <v>303</v>
      </c>
      <c r="K769" s="57"/>
      <c r="L769" s="57" t="s">
        <v>60</v>
      </c>
      <c r="M769" s="57" t="s">
        <v>304</v>
      </c>
      <c r="N769" s="57" t="s">
        <v>19</v>
      </c>
      <c r="O769" s="57" t="s">
        <v>289</v>
      </c>
      <c r="P769" s="57" t="s">
        <v>19</v>
      </c>
      <c r="Q769" s="85" t="s">
        <v>305</v>
      </c>
      <c r="R769" s="57" t="s">
        <v>11</v>
      </c>
      <c r="S769" s="57" t="s">
        <v>12</v>
      </c>
      <c r="T769" s="57" t="s">
        <v>17</v>
      </c>
      <c r="U769" s="57"/>
      <c r="V769" s="57"/>
    </row>
    <row r="770" spans="1:22" x14ac:dyDescent="0.2">
      <c r="A770" s="47"/>
      <c r="B770" s="59" t="s">
        <v>5</v>
      </c>
      <c r="C770" s="59" t="s">
        <v>5</v>
      </c>
      <c r="D770" s="9">
        <f>SUM(D771:D774)</f>
        <v>73899.341267806274</v>
      </c>
      <c r="E770" s="10"/>
      <c r="F770" s="10"/>
      <c r="G770" s="10">
        <f t="shared" ref="G770" si="97">SUM(G771:G774)</f>
        <v>0</v>
      </c>
      <c r="H770" s="10">
        <f t="shared" ref="H770:I770" si="98">SUM(H771:H774)</f>
        <v>41524.216524216521</v>
      </c>
      <c r="I770" s="10">
        <f t="shared" si="98"/>
        <v>32375.124743589749</v>
      </c>
      <c r="J770" s="57"/>
      <c r="K770" s="57"/>
      <c r="L770" s="57"/>
      <c r="M770" s="57"/>
      <c r="N770" s="57"/>
      <c r="O770" s="57"/>
      <c r="P770" s="57"/>
      <c r="Q770" s="85"/>
      <c r="R770" s="57"/>
      <c r="S770" s="57"/>
      <c r="T770" s="57"/>
      <c r="U770" s="57"/>
      <c r="V770" s="57"/>
    </row>
    <row r="771" spans="1:22" x14ac:dyDescent="0.2">
      <c r="A771" s="47"/>
      <c r="B771" s="59" t="s">
        <v>0</v>
      </c>
      <c r="C771" s="59" t="s">
        <v>0</v>
      </c>
      <c r="D771" s="9">
        <f>E771+F771+G771+H771+I771</f>
        <v>0</v>
      </c>
      <c r="E771" s="10"/>
      <c r="F771" s="10"/>
      <c r="G771" s="10"/>
      <c r="H771" s="10"/>
      <c r="I771" s="10"/>
      <c r="J771" s="57"/>
      <c r="K771" s="57"/>
      <c r="L771" s="57"/>
      <c r="M771" s="57"/>
      <c r="N771" s="57"/>
      <c r="O771" s="57"/>
      <c r="P771" s="57"/>
      <c r="Q771" s="85"/>
      <c r="R771" s="57"/>
      <c r="S771" s="57"/>
      <c r="T771" s="57"/>
      <c r="U771" s="57"/>
      <c r="V771" s="57"/>
    </row>
    <row r="772" spans="1:22" x14ac:dyDescent="0.2">
      <c r="A772" s="47"/>
      <c r="B772" s="59" t="s">
        <v>1</v>
      </c>
      <c r="C772" s="59" t="s">
        <v>1</v>
      </c>
      <c r="D772" s="9">
        <f>E772+F772+G772+H772+I772</f>
        <v>73899.341267806274</v>
      </c>
      <c r="E772" s="10"/>
      <c r="F772" s="10"/>
      <c r="G772" s="13">
        <f>45250-45250</f>
        <v>0</v>
      </c>
      <c r="H772" s="10">
        <v>41524.216524216521</v>
      </c>
      <c r="I772" s="10">
        <v>32375.124743589749</v>
      </c>
      <c r="J772" s="57"/>
      <c r="K772" s="57"/>
      <c r="L772" s="57"/>
      <c r="M772" s="57"/>
      <c r="N772" s="57"/>
      <c r="O772" s="57"/>
      <c r="P772" s="57"/>
      <c r="Q772" s="85"/>
      <c r="R772" s="57"/>
      <c r="S772" s="57"/>
      <c r="T772" s="57"/>
      <c r="U772" s="57"/>
      <c r="V772" s="57"/>
    </row>
    <row r="773" spans="1:22" x14ac:dyDescent="0.2">
      <c r="A773" s="47"/>
      <c r="B773" s="59" t="s">
        <v>2</v>
      </c>
      <c r="C773" s="59" t="s">
        <v>2</v>
      </c>
      <c r="D773" s="9">
        <f>E773+F773+G773+H773+I773</f>
        <v>0</v>
      </c>
      <c r="E773" s="10"/>
      <c r="F773" s="10"/>
      <c r="G773" s="10"/>
      <c r="H773" s="10"/>
      <c r="I773" s="10"/>
      <c r="J773" s="57"/>
      <c r="K773" s="57"/>
      <c r="L773" s="57"/>
      <c r="M773" s="57"/>
      <c r="N773" s="57"/>
      <c r="O773" s="57"/>
      <c r="P773" s="57"/>
      <c r="Q773" s="85"/>
      <c r="R773" s="57"/>
      <c r="S773" s="57"/>
      <c r="T773" s="57"/>
      <c r="U773" s="57"/>
      <c r="V773" s="57"/>
    </row>
    <row r="774" spans="1:22" ht="21" customHeight="1" x14ac:dyDescent="0.2">
      <c r="A774" s="48"/>
      <c r="B774" s="59" t="s">
        <v>3</v>
      </c>
      <c r="C774" s="59" t="s">
        <v>3</v>
      </c>
      <c r="D774" s="9">
        <f>E774+F774+G774+H774+I774</f>
        <v>0</v>
      </c>
      <c r="E774" s="10"/>
      <c r="F774" s="10"/>
      <c r="G774" s="10"/>
      <c r="H774" s="10"/>
      <c r="I774" s="10"/>
      <c r="J774" s="57"/>
      <c r="K774" s="57"/>
      <c r="L774" s="57"/>
      <c r="M774" s="57"/>
      <c r="N774" s="57"/>
      <c r="O774" s="57"/>
      <c r="P774" s="57"/>
      <c r="Q774" s="85"/>
      <c r="R774" s="57"/>
      <c r="S774" s="57"/>
      <c r="T774" s="57"/>
      <c r="U774" s="57"/>
      <c r="V774" s="57"/>
    </row>
    <row r="775" spans="1:22" x14ac:dyDescent="0.2">
      <c r="A775" s="46" t="s">
        <v>261</v>
      </c>
      <c r="B775" s="24" t="s">
        <v>18</v>
      </c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5"/>
    </row>
    <row r="776" spans="1:22" x14ac:dyDescent="0.2">
      <c r="A776" s="47" t="s">
        <v>30</v>
      </c>
      <c r="B776" s="82" t="s">
        <v>249</v>
      </c>
      <c r="C776" s="82"/>
      <c r="D776" s="82"/>
      <c r="E776" s="82"/>
      <c r="F776" s="82"/>
      <c r="G776" s="82"/>
      <c r="H776" s="82"/>
      <c r="I776" s="82"/>
      <c r="J776" s="82"/>
      <c r="K776" s="82"/>
      <c r="L776" s="82"/>
      <c r="M776" s="82"/>
      <c r="N776" s="82"/>
      <c r="O776" s="82"/>
      <c r="P776" s="82"/>
      <c r="Q776" s="82"/>
      <c r="R776" s="82"/>
      <c r="S776" s="82"/>
      <c r="T776" s="82"/>
      <c r="U776" s="82"/>
      <c r="V776" s="82"/>
    </row>
    <row r="777" spans="1:22" ht="99.95" customHeight="1" x14ac:dyDescent="0.2">
      <c r="A777" s="47"/>
      <c r="B777" s="54" t="s">
        <v>640</v>
      </c>
      <c r="C777" s="55" t="s">
        <v>290</v>
      </c>
      <c r="D777" s="55"/>
      <c r="E777" s="55"/>
      <c r="F777" s="55"/>
      <c r="G777" s="55"/>
      <c r="H777" s="55"/>
      <c r="I777" s="56"/>
      <c r="J777" s="43" t="s">
        <v>627</v>
      </c>
      <c r="K777" s="43"/>
      <c r="L777" s="43" t="s">
        <v>60</v>
      </c>
      <c r="M777" s="43" t="s">
        <v>291</v>
      </c>
      <c r="N777" s="43" t="s">
        <v>19</v>
      </c>
      <c r="O777" s="43" t="s">
        <v>289</v>
      </c>
      <c r="P777" s="43" t="s">
        <v>19</v>
      </c>
      <c r="Q777" s="63">
        <v>921414.46699999995</v>
      </c>
      <c r="R777" s="43" t="s">
        <v>11</v>
      </c>
      <c r="S777" s="43" t="s">
        <v>12</v>
      </c>
      <c r="T777" s="43" t="s">
        <v>17</v>
      </c>
      <c r="U777" s="43"/>
      <c r="V777" s="43" t="s">
        <v>474</v>
      </c>
    </row>
    <row r="778" spans="1:22" x14ac:dyDescent="0.2">
      <c r="A778" s="47"/>
      <c r="B778" s="30" t="s">
        <v>5</v>
      </c>
      <c r="C778" s="30" t="s">
        <v>5</v>
      </c>
      <c r="D778" s="12">
        <f>SUM(D779:D782)</f>
        <v>914926.46500000008</v>
      </c>
      <c r="E778" s="13">
        <f>SUM(E779:E782)</f>
        <v>13500</v>
      </c>
      <c r="F778" s="13">
        <f>SUM(F779:F782)</f>
        <v>26750</v>
      </c>
      <c r="G778" s="13">
        <f>SUM(G779:G782)</f>
        <v>24831.93</v>
      </c>
      <c r="H778" s="13">
        <f t="shared" ref="H778:I778" si="99">SUM(H779:H782)</f>
        <v>849844.53500000003</v>
      </c>
      <c r="I778" s="13">
        <f t="shared" si="99"/>
        <v>0</v>
      </c>
      <c r="J778" s="44"/>
      <c r="K778" s="44"/>
      <c r="L778" s="44"/>
      <c r="M778" s="44"/>
      <c r="N778" s="44"/>
      <c r="O778" s="44"/>
      <c r="P778" s="44"/>
      <c r="Q778" s="64"/>
      <c r="R778" s="44"/>
      <c r="S778" s="44"/>
      <c r="T778" s="44"/>
      <c r="U778" s="44"/>
      <c r="V778" s="44"/>
    </row>
    <row r="779" spans="1:22" x14ac:dyDescent="0.2">
      <c r="A779" s="47"/>
      <c r="B779" s="30" t="s">
        <v>0</v>
      </c>
      <c r="C779" s="30" t="s">
        <v>0</v>
      </c>
      <c r="D779" s="12">
        <f>E779+F779+G779+H779+I779</f>
        <v>0</v>
      </c>
      <c r="E779" s="13"/>
      <c r="F779" s="13"/>
      <c r="G779" s="13"/>
      <c r="H779" s="13"/>
      <c r="I779" s="13"/>
      <c r="J779" s="44"/>
      <c r="K779" s="44"/>
      <c r="L779" s="44"/>
      <c r="M779" s="44"/>
      <c r="N779" s="44"/>
      <c r="O779" s="44"/>
      <c r="P779" s="44"/>
      <c r="Q779" s="64"/>
      <c r="R779" s="44"/>
      <c r="S779" s="44"/>
      <c r="T779" s="44"/>
      <c r="U779" s="44"/>
      <c r="V779" s="44"/>
    </row>
    <row r="780" spans="1:22" x14ac:dyDescent="0.2">
      <c r="A780" s="47"/>
      <c r="B780" s="30" t="s">
        <v>1</v>
      </c>
      <c r="C780" s="30" t="s">
        <v>1</v>
      </c>
      <c r="D780" s="12">
        <f>E780+F780+G780+H780+I780</f>
        <v>914926.46500000008</v>
      </c>
      <c r="E780" s="13">
        <f>1000+12500</f>
        <v>13500</v>
      </c>
      <c r="F780" s="13">
        <f>14250+12500</f>
        <v>26750</v>
      </c>
      <c r="G780" s="13">
        <f>12331.93+12500</f>
        <v>24831.93</v>
      </c>
      <c r="H780" s="13">
        <f>0+849844.535</f>
        <v>849844.53500000003</v>
      </c>
      <c r="I780" s="13"/>
      <c r="J780" s="44"/>
      <c r="K780" s="44"/>
      <c r="L780" s="44"/>
      <c r="M780" s="44"/>
      <c r="N780" s="44"/>
      <c r="O780" s="44"/>
      <c r="P780" s="44"/>
      <c r="Q780" s="64"/>
      <c r="R780" s="44"/>
      <c r="S780" s="44"/>
      <c r="T780" s="44"/>
      <c r="U780" s="44"/>
      <c r="V780" s="44"/>
    </row>
    <row r="781" spans="1:22" x14ac:dyDescent="0.2">
      <c r="A781" s="47"/>
      <c r="B781" s="30" t="s">
        <v>2</v>
      </c>
      <c r="C781" s="30" t="s">
        <v>2</v>
      </c>
      <c r="D781" s="12">
        <f>E781+F781+G781+H781+I781</f>
        <v>0</v>
      </c>
      <c r="E781" s="13"/>
      <c r="F781" s="13"/>
      <c r="G781" s="13"/>
      <c r="H781" s="13"/>
      <c r="I781" s="13"/>
      <c r="J781" s="44"/>
      <c r="K781" s="44"/>
      <c r="L781" s="44"/>
      <c r="M781" s="44"/>
      <c r="N781" s="44"/>
      <c r="O781" s="44"/>
      <c r="P781" s="44"/>
      <c r="Q781" s="64"/>
      <c r="R781" s="44"/>
      <c r="S781" s="44"/>
      <c r="T781" s="44"/>
      <c r="U781" s="44"/>
      <c r="V781" s="44"/>
    </row>
    <row r="782" spans="1:22" ht="21" customHeight="1" x14ac:dyDescent="0.2">
      <c r="A782" s="48"/>
      <c r="B782" s="30" t="s">
        <v>3</v>
      </c>
      <c r="C782" s="30" t="s">
        <v>3</v>
      </c>
      <c r="D782" s="12">
        <f>E782+F782+G782+H782+I782</f>
        <v>0</v>
      </c>
      <c r="E782" s="13"/>
      <c r="F782" s="13"/>
      <c r="G782" s="13"/>
      <c r="H782" s="13"/>
      <c r="I782" s="13"/>
      <c r="J782" s="45"/>
      <c r="K782" s="45"/>
      <c r="L782" s="45"/>
      <c r="M782" s="45"/>
      <c r="N782" s="45"/>
      <c r="O782" s="45"/>
      <c r="P782" s="45"/>
      <c r="Q782" s="65"/>
      <c r="R782" s="45"/>
      <c r="S782" s="45"/>
      <c r="T782" s="45"/>
      <c r="U782" s="45"/>
      <c r="V782" s="45"/>
    </row>
    <row r="783" spans="1:22" x14ac:dyDescent="0.2">
      <c r="A783" s="46" t="s">
        <v>262</v>
      </c>
      <c r="B783" s="24" t="s">
        <v>18</v>
      </c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5"/>
    </row>
    <row r="784" spans="1:22" x14ac:dyDescent="0.2">
      <c r="A784" s="47" t="s">
        <v>30</v>
      </c>
      <c r="B784" s="82" t="s">
        <v>249</v>
      </c>
      <c r="C784" s="82"/>
      <c r="D784" s="82"/>
      <c r="E784" s="82"/>
      <c r="F784" s="82"/>
      <c r="G784" s="82"/>
      <c r="H784" s="82"/>
      <c r="I784" s="82"/>
      <c r="J784" s="82"/>
      <c r="K784" s="82"/>
      <c r="L784" s="82"/>
      <c r="M784" s="82"/>
      <c r="N784" s="82"/>
      <c r="O784" s="82"/>
      <c r="P784" s="82"/>
      <c r="Q784" s="82"/>
      <c r="R784" s="82"/>
      <c r="S784" s="82"/>
      <c r="T784" s="82"/>
      <c r="U784" s="82"/>
      <c r="V784" s="82"/>
    </row>
    <row r="785" spans="1:22" ht="99.95" customHeight="1" x14ac:dyDescent="0.2">
      <c r="A785" s="47"/>
      <c r="B785" s="54" t="s">
        <v>641</v>
      </c>
      <c r="C785" s="55" t="s">
        <v>292</v>
      </c>
      <c r="D785" s="55"/>
      <c r="E785" s="55"/>
      <c r="F785" s="55"/>
      <c r="G785" s="55"/>
      <c r="H785" s="55"/>
      <c r="I785" s="56"/>
      <c r="J785" s="69" t="s">
        <v>627</v>
      </c>
      <c r="K785" s="69"/>
      <c r="L785" s="69" t="s">
        <v>60</v>
      </c>
      <c r="M785" s="69" t="s">
        <v>293</v>
      </c>
      <c r="N785" s="69" t="s">
        <v>19</v>
      </c>
      <c r="O785" s="69" t="s">
        <v>289</v>
      </c>
      <c r="P785" s="69" t="s">
        <v>19</v>
      </c>
      <c r="Q785" s="77">
        <v>881520.40500000003</v>
      </c>
      <c r="R785" s="69" t="s">
        <v>11</v>
      </c>
      <c r="S785" s="69" t="s">
        <v>12</v>
      </c>
      <c r="T785" s="69" t="s">
        <v>17</v>
      </c>
      <c r="U785" s="69"/>
      <c r="V785" s="69" t="s">
        <v>475</v>
      </c>
    </row>
    <row r="786" spans="1:22" x14ac:dyDescent="0.2">
      <c r="A786" s="47"/>
      <c r="B786" s="30" t="s">
        <v>5</v>
      </c>
      <c r="C786" s="30" t="s">
        <v>5</v>
      </c>
      <c r="D786" s="12">
        <f>SUM(D787:D790)</f>
        <v>874610.53</v>
      </c>
      <c r="E786" s="13">
        <f>SUM(E787:E790)</f>
        <v>13500</v>
      </c>
      <c r="F786" s="13">
        <f t="shared" ref="F786" si="100">SUM(F787:F790)</f>
        <v>26750</v>
      </c>
      <c r="G786" s="13">
        <f t="shared" ref="G786:I786" si="101">SUM(G787:G790)</f>
        <v>22109.78</v>
      </c>
      <c r="H786" s="13">
        <f t="shared" si="101"/>
        <v>812250.75</v>
      </c>
      <c r="I786" s="13">
        <f t="shared" si="101"/>
        <v>0</v>
      </c>
      <c r="J786" s="69"/>
      <c r="K786" s="69"/>
      <c r="L786" s="69"/>
      <c r="M786" s="69"/>
      <c r="N786" s="69"/>
      <c r="O786" s="69"/>
      <c r="P786" s="69"/>
      <c r="Q786" s="77"/>
      <c r="R786" s="69"/>
      <c r="S786" s="69"/>
      <c r="T786" s="69"/>
      <c r="U786" s="69"/>
      <c r="V786" s="69"/>
    </row>
    <row r="787" spans="1:22" x14ac:dyDescent="0.2">
      <c r="A787" s="47"/>
      <c r="B787" s="30" t="s">
        <v>0</v>
      </c>
      <c r="C787" s="30" t="s">
        <v>0</v>
      </c>
      <c r="D787" s="12">
        <f>E787+F787+G787+H787+I787</f>
        <v>0</v>
      </c>
      <c r="E787" s="13"/>
      <c r="F787" s="13"/>
      <c r="G787" s="13"/>
      <c r="H787" s="13"/>
      <c r="I787" s="13"/>
      <c r="J787" s="69"/>
      <c r="K787" s="69"/>
      <c r="L787" s="69"/>
      <c r="M787" s="69"/>
      <c r="N787" s="69"/>
      <c r="O787" s="69"/>
      <c r="P787" s="69"/>
      <c r="Q787" s="77"/>
      <c r="R787" s="69"/>
      <c r="S787" s="69"/>
      <c r="T787" s="69"/>
      <c r="U787" s="69"/>
      <c r="V787" s="69"/>
    </row>
    <row r="788" spans="1:22" x14ac:dyDescent="0.2">
      <c r="A788" s="47"/>
      <c r="B788" s="30" t="s">
        <v>1</v>
      </c>
      <c r="C788" s="30" t="s">
        <v>1</v>
      </c>
      <c r="D788" s="12">
        <f>E788+F788+G788+H788+I788</f>
        <v>874610.53</v>
      </c>
      <c r="E788" s="13">
        <f>1000+12500</f>
        <v>13500</v>
      </c>
      <c r="F788" s="13">
        <f>14250+12500</f>
        <v>26750</v>
      </c>
      <c r="G788" s="13">
        <f>9609.78+12500</f>
        <v>22109.78</v>
      </c>
      <c r="H788" s="13">
        <f>0+812250.75</f>
        <v>812250.75</v>
      </c>
      <c r="I788" s="13"/>
      <c r="J788" s="69"/>
      <c r="K788" s="69"/>
      <c r="L788" s="69"/>
      <c r="M788" s="69"/>
      <c r="N788" s="69"/>
      <c r="O788" s="69"/>
      <c r="P788" s="69"/>
      <c r="Q788" s="77"/>
      <c r="R788" s="69"/>
      <c r="S788" s="69"/>
      <c r="T788" s="69"/>
      <c r="U788" s="69"/>
      <c r="V788" s="69"/>
    </row>
    <row r="789" spans="1:22" x14ac:dyDescent="0.2">
      <c r="A789" s="47"/>
      <c r="B789" s="30" t="s">
        <v>2</v>
      </c>
      <c r="C789" s="30" t="s">
        <v>2</v>
      </c>
      <c r="D789" s="12">
        <f>E789+F789+G789+H789+I789</f>
        <v>0</v>
      </c>
      <c r="E789" s="13"/>
      <c r="F789" s="13"/>
      <c r="G789" s="13"/>
      <c r="H789" s="13"/>
      <c r="I789" s="13"/>
      <c r="J789" s="69"/>
      <c r="K789" s="69"/>
      <c r="L789" s="69"/>
      <c r="M789" s="69"/>
      <c r="N789" s="69"/>
      <c r="O789" s="69"/>
      <c r="P789" s="69"/>
      <c r="Q789" s="77"/>
      <c r="R789" s="69"/>
      <c r="S789" s="69"/>
      <c r="T789" s="69"/>
      <c r="U789" s="69"/>
      <c r="V789" s="69"/>
    </row>
    <row r="790" spans="1:22" ht="21" customHeight="1" x14ac:dyDescent="0.2">
      <c r="A790" s="48"/>
      <c r="B790" s="30" t="s">
        <v>3</v>
      </c>
      <c r="C790" s="30" t="s">
        <v>3</v>
      </c>
      <c r="D790" s="12">
        <f>E790+F790+G790+H790+I790</f>
        <v>0</v>
      </c>
      <c r="E790" s="13"/>
      <c r="F790" s="13"/>
      <c r="G790" s="13"/>
      <c r="H790" s="13"/>
      <c r="I790" s="13"/>
      <c r="J790" s="69"/>
      <c r="K790" s="69"/>
      <c r="L790" s="69"/>
      <c r="M790" s="69"/>
      <c r="N790" s="69"/>
      <c r="O790" s="69"/>
      <c r="P790" s="69"/>
      <c r="Q790" s="77"/>
      <c r="R790" s="69"/>
      <c r="S790" s="69"/>
      <c r="T790" s="69"/>
      <c r="U790" s="69"/>
      <c r="V790" s="69"/>
    </row>
    <row r="791" spans="1:22" x14ac:dyDescent="0.2">
      <c r="A791" s="46" t="s">
        <v>263</v>
      </c>
      <c r="B791" s="24" t="s">
        <v>18</v>
      </c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5"/>
    </row>
    <row r="792" spans="1:22" x14ac:dyDescent="0.2">
      <c r="A792" s="47" t="s">
        <v>30</v>
      </c>
      <c r="B792" s="82" t="s">
        <v>249</v>
      </c>
      <c r="C792" s="82"/>
      <c r="D792" s="82"/>
      <c r="E792" s="82"/>
      <c r="F792" s="82"/>
      <c r="G792" s="82"/>
      <c r="H792" s="82"/>
      <c r="I792" s="82"/>
      <c r="J792" s="82"/>
      <c r="K792" s="82"/>
      <c r="L792" s="82"/>
      <c r="M792" s="82"/>
      <c r="N792" s="82"/>
      <c r="O792" s="82"/>
      <c r="P792" s="82"/>
      <c r="Q792" s="82"/>
      <c r="R792" s="82"/>
      <c r="S792" s="82"/>
      <c r="T792" s="82"/>
      <c r="U792" s="82"/>
      <c r="V792" s="82"/>
    </row>
    <row r="793" spans="1:22" ht="99.95" customHeight="1" x14ac:dyDescent="0.2">
      <c r="A793" s="47"/>
      <c r="B793" s="54" t="s">
        <v>642</v>
      </c>
      <c r="C793" s="55" t="s">
        <v>294</v>
      </c>
      <c r="D793" s="55"/>
      <c r="E793" s="55"/>
      <c r="F793" s="55"/>
      <c r="G793" s="55"/>
      <c r="H793" s="55"/>
      <c r="I793" s="56"/>
      <c r="J793" s="69" t="s">
        <v>627</v>
      </c>
      <c r="K793" s="69"/>
      <c r="L793" s="69" t="s">
        <v>60</v>
      </c>
      <c r="M793" s="69" t="s">
        <v>295</v>
      </c>
      <c r="N793" s="69" t="s">
        <v>19</v>
      </c>
      <c r="O793" s="69" t="s">
        <v>289</v>
      </c>
      <c r="P793" s="69" t="s">
        <v>19</v>
      </c>
      <c r="Q793" s="77">
        <v>852176.88699999999</v>
      </c>
      <c r="R793" s="69" t="s">
        <v>11</v>
      </c>
      <c r="S793" s="69" t="s">
        <v>12</v>
      </c>
      <c r="T793" s="69" t="s">
        <v>17</v>
      </c>
      <c r="U793" s="69"/>
      <c r="V793" s="69" t="s">
        <v>476</v>
      </c>
    </row>
    <row r="794" spans="1:22" x14ac:dyDescent="0.2">
      <c r="A794" s="47"/>
      <c r="B794" s="30" t="s">
        <v>5</v>
      </c>
      <c r="C794" s="30" t="s">
        <v>5</v>
      </c>
      <c r="D794" s="12">
        <f>SUM(D795:D798)</f>
        <v>844326.45400000003</v>
      </c>
      <c r="E794" s="13">
        <f>SUM(E795:E798)</f>
        <v>13500</v>
      </c>
      <c r="F794" s="13">
        <f>SUM(F795:F798)</f>
        <v>26750</v>
      </c>
      <c r="G794" s="13">
        <f>SUM(G795:G798)</f>
        <v>21557.17</v>
      </c>
      <c r="H794" s="13">
        <f t="shared" ref="H794:I794" si="102">SUM(H795:H798)</f>
        <v>782519.28399999999</v>
      </c>
      <c r="I794" s="13">
        <f t="shared" si="102"/>
        <v>0</v>
      </c>
      <c r="J794" s="69"/>
      <c r="K794" s="69"/>
      <c r="L794" s="69"/>
      <c r="M794" s="69"/>
      <c r="N794" s="69"/>
      <c r="O794" s="69"/>
      <c r="P794" s="69"/>
      <c r="Q794" s="77"/>
      <c r="R794" s="69"/>
      <c r="S794" s="69"/>
      <c r="T794" s="69"/>
      <c r="U794" s="69"/>
      <c r="V794" s="69"/>
    </row>
    <row r="795" spans="1:22" x14ac:dyDescent="0.2">
      <c r="A795" s="47"/>
      <c r="B795" s="30" t="s">
        <v>0</v>
      </c>
      <c r="C795" s="30" t="s">
        <v>0</v>
      </c>
      <c r="D795" s="12">
        <f>E795+F795+G795+H795+I795</f>
        <v>0</v>
      </c>
      <c r="E795" s="13"/>
      <c r="F795" s="13"/>
      <c r="G795" s="13"/>
      <c r="H795" s="13"/>
      <c r="I795" s="13"/>
      <c r="J795" s="69"/>
      <c r="K795" s="69"/>
      <c r="L795" s="69"/>
      <c r="M795" s="69"/>
      <c r="N795" s="69"/>
      <c r="O795" s="69"/>
      <c r="P795" s="69"/>
      <c r="Q795" s="77"/>
      <c r="R795" s="69"/>
      <c r="S795" s="69"/>
      <c r="T795" s="69"/>
      <c r="U795" s="69"/>
      <c r="V795" s="69"/>
    </row>
    <row r="796" spans="1:22" x14ac:dyDescent="0.2">
      <c r="A796" s="47"/>
      <c r="B796" s="30" t="s">
        <v>1</v>
      </c>
      <c r="C796" s="30" t="s">
        <v>1</v>
      </c>
      <c r="D796" s="12">
        <f>E796+F796+G796+H796+I796</f>
        <v>844326.45400000003</v>
      </c>
      <c r="E796" s="13">
        <f>1000+12500</f>
        <v>13500</v>
      </c>
      <c r="F796" s="13">
        <f>14250+12500</f>
        <v>26750</v>
      </c>
      <c r="G796" s="13">
        <f>9057.17+12500</f>
        <v>21557.17</v>
      </c>
      <c r="H796" s="13">
        <f>0+782519.284</f>
        <v>782519.28399999999</v>
      </c>
      <c r="I796" s="13"/>
      <c r="J796" s="69"/>
      <c r="K796" s="69"/>
      <c r="L796" s="69"/>
      <c r="M796" s="69"/>
      <c r="N796" s="69"/>
      <c r="O796" s="69"/>
      <c r="P796" s="69"/>
      <c r="Q796" s="77"/>
      <c r="R796" s="69"/>
      <c r="S796" s="69"/>
      <c r="T796" s="69"/>
      <c r="U796" s="69"/>
      <c r="V796" s="69"/>
    </row>
    <row r="797" spans="1:22" x14ac:dyDescent="0.2">
      <c r="A797" s="47"/>
      <c r="B797" s="30" t="s">
        <v>2</v>
      </c>
      <c r="C797" s="30" t="s">
        <v>2</v>
      </c>
      <c r="D797" s="12">
        <f>E797+F797+G797+H797+I797</f>
        <v>0</v>
      </c>
      <c r="E797" s="13"/>
      <c r="F797" s="13"/>
      <c r="G797" s="13"/>
      <c r="H797" s="13"/>
      <c r="I797" s="13"/>
      <c r="J797" s="69"/>
      <c r="K797" s="69"/>
      <c r="L797" s="69"/>
      <c r="M797" s="69"/>
      <c r="N797" s="69"/>
      <c r="O797" s="69"/>
      <c r="P797" s="69"/>
      <c r="Q797" s="77"/>
      <c r="R797" s="69"/>
      <c r="S797" s="69"/>
      <c r="T797" s="69"/>
      <c r="U797" s="69"/>
      <c r="V797" s="69"/>
    </row>
    <row r="798" spans="1:22" ht="21" customHeight="1" x14ac:dyDescent="0.2">
      <c r="A798" s="48"/>
      <c r="B798" s="30" t="s">
        <v>3</v>
      </c>
      <c r="C798" s="30" t="s">
        <v>3</v>
      </c>
      <c r="D798" s="12">
        <f>E798+F798+G798+H798+I798</f>
        <v>0</v>
      </c>
      <c r="E798" s="13"/>
      <c r="F798" s="13"/>
      <c r="G798" s="13"/>
      <c r="H798" s="13"/>
      <c r="I798" s="13"/>
      <c r="J798" s="69"/>
      <c r="K798" s="69"/>
      <c r="L798" s="69"/>
      <c r="M798" s="69"/>
      <c r="N798" s="69"/>
      <c r="O798" s="69"/>
      <c r="P798" s="69"/>
      <c r="Q798" s="77"/>
      <c r="R798" s="69"/>
      <c r="S798" s="69"/>
      <c r="T798" s="69"/>
      <c r="U798" s="69"/>
      <c r="V798" s="69"/>
    </row>
    <row r="799" spans="1:22" x14ac:dyDescent="0.2">
      <c r="A799" s="46" t="s">
        <v>265</v>
      </c>
      <c r="B799" s="24" t="s">
        <v>18</v>
      </c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5"/>
    </row>
    <row r="800" spans="1:22" x14ac:dyDescent="0.2">
      <c r="A800" s="47" t="s">
        <v>30</v>
      </c>
      <c r="B800" s="82" t="s">
        <v>249</v>
      </c>
      <c r="C800" s="82"/>
      <c r="D800" s="82"/>
      <c r="E800" s="82"/>
      <c r="F800" s="82"/>
      <c r="G800" s="82"/>
      <c r="H800" s="82"/>
      <c r="I800" s="82"/>
      <c r="J800" s="82"/>
      <c r="K800" s="82"/>
      <c r="L800" s="82"/>
      <c r="M800" s="82"/>
      <c r="N800" s="82"/>
      <c r="O800" s="82"/>
      <c r="P800" s="82"/>
      <c r="Q800" s="82"/>
      <c r="R800" s="82"/>
      <c r="S800" s="82"/>
      <c r="T800" s="82"/>
      <c r="U800" s="82"/>
      <c r="V800" s="82"/>
    </row>
    <row r="801" spans="1:22" ht="99.95" customHeight="1" x14ac:dyDescent="0.2">
      <c r="A801" s="47"/>
      <c r="B801" s="54" t="s">
        <v>643</v>
      </c>
      <c r="C801" s="55" t="s">
        <v>296</v>
      </c>
      <c r="D801" s="55"/>
      <c r="E801" s="55"/>
      <c r="F801" s="55"/>
      <c r="G801" s="55"/>
      <c r="H801" s="55"/>
      <c r="I801" s="56"/>
      <c r="J801" s="69" t="s">
        <v>627</v>
      </c>
      <c r="K801" s="69"/>
      <c r="L801" s="69" t="s">
        <v>60</v>
      </c>
      <c r="M801" s="69" t="s">
        <v>297</v>
      </c>
      <c r="N801" s="69" t="s">
        <v>19</v>
      </c>
      <c r="O801" s="69" t="s">
        <v>289</v>
      </c>
      <c r="P801" s="69" t="s">
        <v>19</v>
      </c>
      <c r="Q801" s="77">
        <v>831387.59300000011</v>
      </c>
      <c r="R801" s="69" t="s">
        <v>11</v>
      </c>
      <c r="S801" s="69" t="s">
        <v>12</v>
      </c>
      <c r="T801" s="69" t="s">
        <v>17</v>
      </c>
      <c r="U801" s="69"/>
      <c r="V801" s="69" t="s">
        <v>477</v>
      </c>
    </row>
    <row r="802" spans="1:22" x14ac:dyDescent="0.2">
      <c r="A802" s="47"/>
      <c r="B802" s="30" t="s">
        <v>5</v>
      </c>
      <c r="C802" s="30" t="s">
        <v>5</v>
      </c>
      <c r="D802" s="12">
        <f>SUM(D803:D806)</f>
        <v>826067.84900000005</v>
      </c>
      <c r="E802" s="13">
        <f>SUM(E803:E806)</f>
        <v>13500</v>
      </c>
      <c r="F802" s="13">
        <f>SUM(F803:F806)</f>
        <v>26750</v>
      </c>
      <c r="G802" s="13">
        <f>SUM(G803:G806)</f>
        <v>19945.79</v>
      </c>
      <c r="H802" s="13">
        <f t="shared" ref="H802:I802" si="103">SUM(H803:H806)</f>
        <v>765872.05900000001</v>
      </c>
      <c r="I802" s="13">
        <f t="shared" si="103"/>
        <v>0</v>
      </c>
      <c r="J802" s="69"/>
      <c r="K802" s="69"/>
      <c r="L802" s="69"/>
      <c r="M802" s="69"/>
      <c r="N802" s="69"/>
      <c r="O802" s="69"/>
      <c r="P802" s="69"/>
      <c r="Q802" s="77"/>
      <c r="R802" s="69"/>
      <c r="S802" s="69"/>
      <c r="T802" s="69"/>
      <c r="U802" s="69"/>
      <c r="V802" s="69"/>
    </row>
    <row r="803" spans="1:22" x14ac:dyDescent="0.2">
      <c r="A803" s="47"/>
      <c r="B803" s="30" t="s">
        <v>0</v>
      </c>
      <c r="C803" s="30" t="s">
        <v>0</v>
      </c>
      <c r="D803" s="12">
        <f>E803+F803+G803+H803+I803</f>
        <v>0</v>
      </c>
      <c r="E803" s="13"/>
      <c r="F803" s="13"/>
      <c r="G803" s="13"/>
      <c r="H803" s="13"/>
      <c r="I803" s="13"/>
      <c r="J803" s="69"/>
      <c r="K803" s="69"/>
      <c r="L803" s="69"/>
      <c r="M803" s="69"/>
      <c r="N803" s="69"/>
      <c r="O803" s="69"/>
      <c r="P803" s="69"/>
      <c r="Q803" s="77"/>
      <c r="R803" s="69"/>
      <c r="S803" s="69"/>
      <c r="T803" s="69"/>
      <c r="U803" s="69"/>
      <c r="V803" s="69"/>
    </row>
    <row r="804" spans="1:22" x14ac:dyDescent="0.2">
      <c r="A804" s="47"/>
      <c r="B804" s="30" t="s">
        <v>1</v>
      </c>
      <c r="C804" s="30" t="s">
        <v>1</v>
      </c>
      <c r="D804" s="12">
        <f>E804+F804+G804+H804+I804</f>
        <v>826067.84900000005</v>
      </c>
      <c r="E804" s="13">
        <f>1000+12500</f>
        <v>13500</v>
      </c>
      <c r="F804" s="13">
        <f>14250+12500</f>
        <v>26750</v>
      </c>
      <c r="G804" s="13">
        <f>7445.79+12500</f>
        <v>19945.79</v>
      </c>
      <c r="H804" s="13">
        <f>0+765872.059</f>
        <v>765872.05900000001</v>
      </c>
      <c r="I804" s="13"/>
      <c r="J804" s="69"/>
      <c r="K804" s="69"/>
      <c r="L804" s="69"/>
      <c r="M804" s="69"/>
      <c r="N804" s="69"/>
      <c r="O804" s="69"/>
      <c r="P804" s="69"/>
      <c r="Q804" s="77"/>
      <c r="R804" s="69"/>
      <c r="S804" s="69"/>
      <c r="T804" s="69"/>
      <c r="U804" s="69"/>
      <c r="V804" s="69"/>
    </row>
    <row r="805" spans="1:22" x14ac:dyDescent="0.2">
      <c r="A805" s="47"/>
      <c r="B805" s="30" t="s">
        <v>2</v>
      </c>
      <c r="C805" s="30" t="s">
        <v>2</v>
      </c>
      <c r="D805" s="12">
        <f>E805+F805+G805+H805+I805</f>
        <v>0</v>
      </c>
      <c r="E805" s="13"/>
      <c r="F805" s="13"/>
      <c r="G805" s="13"/>
      <c r="H805" s="13"/>
      <c r="I805" s="13"/>
      <c r="J805" s="69"/>
      <c r="K805" s="69"/>
      <c r="L805" s="69"/>
      <c r="M805" s="69"/>
      <c r="N805" s="69"/>
      <c r="O805" s="69"/>
      <c r="P805" s="69"/>
      <c r="Q805" s="77"/>
      <c r="R805" s="69"/>
      <c r="S805" s="69"/>
      <c r="T805" s="69"/>
      <c r="U805" s="69"/>
      <c r="V805" s="69"/>
    </row>
    <row r="806" spans="1:22" ht="21" customHeight="1" x14ac:dyDescent="0.2">
      <c r="A806" s="48"/>
      <c r="B806" s="30" t="s">
        <v>3</v>
      </c>
      <c r="C806" s="30" t="s">
        <v>3</v>
      </c>
      <c r="D806" s="12">
        <f>E806+F806+G806+H806+I806</f>
        <v>0</v>
      </c>
      <c r="E806" s="13"/>
      <c r="F806" s="13"/>
      <c r="G806" s="13"/>
      <c r="H806" s="13"/>
      <c r="I806" s="13"/>
      <c r="J806" s="69"/>
      <c r="K806" s="69"/>
      <c r="L806" s="69"/>
      <c r="M806" s="69"/>
      <c r="N806" s="69"/>
      <c r="O806" s="69"/>
      <c r="P806" s="69"/>
      <c r="Q806" s="77"/>
      <c r="R806" s="69"/>
      <c r="S806" s="69"/>
      <c r="T806" s="69"/>
      <c r="U806" s="69"/>
      <c r="V806" s="69"/>
    </row>
    <row r="807" spans="1:22" x14ac:dyDescent="0.2">
      <c r="A807" s="46" t="s">
        <v>266</v>
      </c>
      <c r="B807" s="24" t="s">
        <v>18</v>
      </c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5"/>
    </row>
    <row r="808" spans="1:22" x14ac:dyDescent="0.2">
      <c r="A808" s="47" t="s">
        <v>30</v>
      </c>
      <c r="B808" s="82" t="s">
        <v>249</v>
      </c>
      <c r="C808" s="82"/>
      <c r="D808" s="82"/>
      <c r="E808" s="82"/>
      <c r="F808" s="82"/>
      <c r="G808" s="82"/>
      <c r="H808" s="82"/>
      <c r="I808" s="82"/>
      <c r="J808" s="82"/>
      <c r="K808" s="82"/>
      <c r="L808" s="82"/>
      <c r="M808" s="82"/>
      <c r="N808" s="82"/>
      <c r="O808" s="82"/>
      <c r="P808" s="82"/>
      <c r="Q808" s="82"/>
      <c r="R808" s="82"/>
      <c r="S808" s="82"/>
      <c r="T808" s="82"/>
      <c r="U808" s="82"/>
      <c r="V808" s="82"/>
    </row>
    <row r="809" spans="1:22" ht="99.95" customHeight="1" x14ac:dyDescent="0.2">
      <c r="A809" s="47"/>
      <c r="B809" s="60" t="s">
        <v>322</v>
      </c>
      <c r="C809" s="61" t="s">
        <v>322</v>
      </c>
      <c r="D809" s="61"/>
      <c r="E809" s="61"/>
      <c r="F809" s="61"/>
      <c r="G809" s="61"/>
      <c r="H809" s="61"/>
      <c r="I809" s="62"/>
      <c r="J809" s="57" t="s">
        <v>323</v>
      </c>
      <c r="K809" s="57"/>
      <c r="L809" s="57" t="s">
        <v>60</v>
      </c>
      <c r="M809" s="57" t="s">
        <v>324</v>
      </c>
      <c r="N809" s="57" t="s">
        <v>19</v>
      </c>
      <c r="O809" s="57" t="s">
        <v>289</v>
      </c>
      <c r="P809" s="57" t="s">
        <v>19</v>
      </c>
      <c r="Q809" s="85">
        <v>734332.50300000003</v>
      </c>
      <c r="R809" s="57" t="s">
        <v>11</v>
      </c>
      <c r="S809" s="57" t="s">
        <v>12</v>
      </c>
      <c r="T809" s="57" t="s">
        <v>17</v>
      </c>
      <c r="U809" s="57"/>
      <c r="V809" s="57" t="s">
        <v>478</v>
      </c>
    </row>
    <row r="810" spans="1:22" x14ac:dyDescent="0.2">
      <c r="A810" s="47"/>
      <c r="B810" s="59" t="s">
        <v>5</v>
      </c>
      <c r="C810" s="59" t="s">
        <v>5</v>
      </c>
      <c r="D810" s="9">
        <f>SUM(D811:D814)</f>
        <v>27639.106449999999</v>
      </c>
      <c r="E810" s="10"/>
      <c r="F810" s="10"/>
      <c r="G810" s="10">
        <f t="shared" ref="G810" si="104">SUM(G811:G814)</f>
        <v>0</v>
      </c>
      <c r="H810" s="10">
        <f t="shared" ref="H810:I810" si="105">SUM(H811:H814)</f>
        <v>9250</v>
      </c>
      <c r="I810" s="10">
        <f t="shared" si="105"/>
        <v>18389.106449999999</v>
      </c>
      <c r="J810" s="57"/>
      <c r="K810" s="57"/>
      <c r="L810" s="57"/>
      <c r="M810" s="57"/>
      <c r="N810" s="57"/>
      <c r="O810" s="57"/>
      <c r="P810" s="57"/>
      <c r="Q810" s="85"/>
      <c r="R810" s="57"/>
      <c r="S810" s="57"/>
      <c r="T810" s="57"/>
      <c r="U810" s="57"/>
      <c r="V810" s="57"/>
    </row>
    <row r="811" spans="1:22" x14ac:dyDescent="0.2">
      <c r="A811" s="47"/>
      <c r="B811" s="59" t="s">
        <v>0</v>
      </c>
      <c r="C811" s="59" t="s">
        <v>0</v>
      </c>
      <c r="D811" s="9">
        <f>E811+F811+G811+H811+I811</f>
        <v>0</v>
      </c>
      <c r="E811" s="10"/>
      <c r="F811" s="10"/>
      <c r="G811" s="10"/>
      <c r="H811" s="10"/>
      <c r="I811" s="10"/>
      <c r="J811" s="57"/>
      <c r="K811" s="57"/>
      <c r="L811" s="57"/>
      <c r="M811" s="57"/>
      <c r="N811" s="57"/>
      <c r="O811" s="57"/>
      <c r="P811" s="57"/>
      <c r="Q811" s="85"/>
      <c r="R811" s="57"/>
      <c r="S811" s="57"/>
      <c r="T811" s="57"/>
      <c r="U811" s="57"/>
      <c r="V811" s="57"/>
    </row>
    <row r="812" spans="1:22" x14ac:dyDescent="0.2">
      <c r="A812" s="47"/>
      <c r="B812" s="59" t="s">
        <v>1</v>
      </c>
      <c r="C812" s="59" t="s">
        <v>1</v>
      </c>
      <c r="D812" s="9">
        <f>E812+F812+G812+H812+I812</f>
        <v>27639.106449999999</v>
      </c>
      <c r="E812" s="10"/>
      <c r="F812" s="10"/>
      <c r="G812" s="13">
        <f>8900-8900</f>
        <v>0</v>
      </c>
      <c r="H812" s="10">
        <v>9250</v>
      </c>
      <c r="I812" s="10">
        <v>18389.106449999999</v>
      </c>
      <c r="J812" s="57"/>
      <c r="K812" s="57"/>
      <c r="L812" s="57"/>
      <c r="M812" s="57"/>
      <c r="N812" s="57"/>
      <c r="O812" s="57"/>
      <c r="P812" s="57"/>
      <c r="Q812" s="85"/>
      <c r="R812" s="57"/>
      <c r="S812" s="57"/>
      <c r="T812" s="57"/>
      <c r="U812" s="57"/>
      <c r="V812" s="57"/>
    </row>
    <row r="813" spans="1:22" x14ac:dyDescent="0.2">
      <c r="A813" s="47"/>
      <c r="B813" s="59" t="s">
        <v>2</v>
      </c>
      <c r="C813" s="59" t="s">
        <v>2</v>
      </c>
      <c r="D813" s="9">
        <f>E813+F813+G813+H813+I813</f>
        <v>0</v>
      </c>
      <c r="E813" s="10"/>
      <c r="F813" s="10"/>
      <c r="G813" s="10"/>
      <c r="H813" s="10"/>
      <c r="I813" s="10"/>
      <c r="J813" s="57"/>
      <c r="K813" s="57"/>
      <c r="L813" s="57"/>
      <c r="M813" s="57"/>
      <c r="N813" s="57"/>
      <c r="O813" s="57"/>
      <c r="P813" s="57"/>
      <c r="Q813" s="85"/>
      <c r="R813" s="57"/>
      <c r="S813" s="57"/>
      <c r="T813" s="57"/>
      <c r="U813" s="57"/>
      <c r="V813" s="57"/>
    </row>
    <row r="814" spans="1:22" ht="21" customHeight="1" x14ac:dyDescent="0.2">
      <c r="A814" s="48"/>
      <c r="B814" s="59" t="s">
        <v>3</v>
      </c>
      <c r="C814" s="59" t="s">
        <v>3</v>
      </c>
      <c r="D814" s="9">
        <f>E814+F814+G814+H814+I814</f>
        <v>0</v>
      </c>
      <c r="E814" s="10"/>
      <c r="F814" s="10"/>
      <c r="G814" s="10"/>
      <c r="H814" s="10"/>
      <c r="I814" s="10"/>
      <c r="J814" s="57"/>
      <c r="K814" s="57"/>
      <c r="L814" s="57"/>
      <c r="M814" s="57"/>
      <c r="N814" s="57"/>
      <c r="O814" s="57"/>
      <c r="P814" s="57"/>
      <c r="Q814" s="85"/>
      <c r="R814" s="57"/>
      <c r="S814" s="57"/>
      <c r="T814" s="57"/>
      <c r="U814" s="57"/>
      <c r="V814" s="57"/>
    </row>
    <row r="815" spans="1:22" x14ac:dyDescent="0.2">
      <c r="A815" s="46" t="s">
        <v>267</v>
      </c>
      <c r="B815" s="24" t="s">
        <v>18</v>
      </c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5"/>
    </row>
    <row r="816" spans="1:22" x14ac:dyDescent="0.2">
      <c r="A816" s="47" t="s">
        <v>30</v>
      </c>
      <c r="B816" s="82" t="s">
        <v>249</v>
      </c>
      <c r="C816" s="82"/>
      <c r="D816" s="82"/>
      <c r="E816" s="82"/>
      <c r="F816" s="82"/>
      <c r="G816" s="82"/>
      <c r="H816" s="82"/>
      <c r="I816" s="82"/>
      <c r="J816" s="82"/>
      <c r="K816" s="82"/>
      <c r="L816" s="82"/>
      <c r="M816" s="82"/>
      <c r="N816" s="82"/>
      <c r="O816" s="82"/>
      <c r="P816" s="82"/>
      <c r="Q816" s="82"/>
      <c r="R816" s="82"/>
      <c r="S816" s="82"/>
      <c r="T816" s="82"/>
      <c r="U816" s="82"/>
      <c r="V816" s="82"/>
    </row>
    <row r="817" spans="1:22" ht="99.95" customHeight="1" x14ac:dyDescent="0.2">
      <c r="A817" s="47"/>
      <c r="B817" s="60" t="s">
        <v>325</v>
      </c>
      <c r="C817" s="61" t="s">
        <v>325</v>
      </c>
      <c r="D817" s="61"/>
      <c r="E817" s="61"/>
      <c r="F817" s="61"/>
      <c r="G817" s="61"/>
      <c r="H817" s="61"/>
      <c r="I817" s="62"/>
      <c r="J817" s="57" t="s">
        <v>323</v>
      </c>
      <c r="K817" s="57"/>
      <c r="L817" s="57" t="s">
        <v>60</v>
      </c>
      <c r="M817" s="57" t="s">
        <v>326</v>
      </c>
      <c r="N817" s="57" t="s">
        <v>19</v>
      </c>
      <c r="O817" s="57" t="s">
        <v>289</v>
      </c>
      <c r="P817" s="57" t="s">
        <v>19</v>
      </c>
      <c r="Q817" s="85">
        <v>272352.51699999999</v>
      </c>
      <c r="R817" s="57" t="s">
        <v>11</v>
      </c>
      <c r="S817" s="57" t="s">
        <v>12</v>
      </c>
      <c r="T817" s="57" t="s">
        <v>17</v>
      </c>
      <c r="U817" s="57"/>
      <c r="V817" s="57" t="s">
        <v>479</v>
      </c>
    </row>
    <row r="818" spans="1:22" x14ac:dyDescent="0.2">
      <c r="A818" s="47"/>
      <c r="B818" s="59" t="s">
        <v>5</v>
      </c>
      <c r="C818" s="59" t="s">
        <v>5</v>
      </c>
      <c r="D818" s="9">
        <f>SUM(D819:D822)</f>
        <v>10280.747100000001</v>
      </c>
      <c r="E818" s="10"/>
      <c r="F818" s="10"/>
      <c r="G818" s="10">
        <f t="shared" ref="G818" si="106">SUM(G819:G822)</f>
        <v>0</v>
      </c>
      <c r="H818" s="10">
        <f t="shared" ref="H818" si="107">SUM(H819:H822)</f>
        <v>3400</v>
      </c>
      <c r="I818" s="10">
        <f t="shared" ref="I818" si="108">SUM(I819:I822)</f>
        <v>6880.7470999999996</v>
      </c>
      <c r="J818" s="57"/>
      <c r="K818" s="57"/>
      <c r="L818" s="57"/>
      <c r="M818" s="57"/>
      <c r="N818" s="57"/>
      <c r="O818" s="57"/>
      <c r="P818" s="57"/>
      <c r="Q818" s="85"/>
      <c r="R818" s="57"/>
      <c r="S818" s="57"/>
      <c r="T818" s="57"/>
      <c r="U818" s="57"/>
      <c r="V818" s="57"/>
    </row>
    <row r="819" spans="1:22" x14ac:dyDescent="0.2">
      <c r="A819" s="47"/>
      <c r="B819" s="59" t="s">
        <v>0</v>
      </c>
      <c r="C819" s="59" t="s">
        <v>0</v>
      </c>
      <c r="D819" s="9">
        <f>E819+F819+G819+H819+I819</f>
        <v>0</v>
      </c>
      <c r="E819" s="10"/>
      <c r="F819" s="10"/>
      <c r="G819" s="10"/>
      <c r="H819" s="10"/>
      <c r="I819" s="10"/>
      <c r="J819" s="57"/>
      <c r="K819" s="57"/>
      <c r="L819" s="57"/>
      <c r="M819" s="57"/>
      <c r="N819" s="57"/>
      <c r="O819" s="57"/>
      <c r="P819" s="57"/>
      <c r="Q819" s="85"/>
      <c r="R819" s="57"/>
      <c r="S819" s="57"/>
      <c r="T819" s="57"/>
      <c r="U819" s="57"/>
      <c r="V819" s="57"/>
    </row>
    <row r="820" spans="1:22" x14ac:dyDescent="0.2">
      <c r="A820" s="47"/>
      <c r="B820" s="59" t="s">
        <v>1</v>
      </c>
      <c r="C820" s="59" t="s">
        <v>1</v>
      </c>
      <c r="D820" s="9">
        <f>E820+F820+G820+H820+I820</f>
        <v>10280.747100000001</v>
      </c>
      <c r="E820" s="10"/>
      <c r="F820" s="10"/>
      <c r="G820" s="13">
        <f>3250-3250</f>
        <v>0</v>
      </c>
      <c r="H820" s="10">
        <v>3400</v>
      </c>
      <c r="I820" s="10">
        <v>6880.7470999999996</v>
      </c>
      <c r="J820" s="57"/>
      <c r="K820" s="57"/>
      <c r="L820" s="57"/>
      <c r="M820" s="57"/>
      <c r="N820" s="57"/>
      <c r="O820" s="57"/>
      <c r="P820" s="57"/>
      <c r="Q820" s="85"/>
      <c r="R820" s="57"/>
      <c r="S820" s="57"/>
      <c r="T820" s="57"/>
      <c r="U820" s="57"/>
      <c r="V820" s="57"/>
    </row>
    <row r="821" spans="1:22" x14ac:dyDescent="0.2">
      <c r="A821" s="47"/>
      <c r="B821" s="59" t="s">
        <v>2</v>
      </c>
      <c r="C821" s="59" t="s">
        <v>2</v>
      </c>
      <c r="D821" s="9">
        <f>E821+F821+G821+H821+I821</f>
        <v>0</v>
      </c>
      <c r="E821" s="10"/>
      <c r="F821" s="10"/>
      <c r="G821" s="10"/>
      <c r="H821" s="10"/>
      <c r="I821" s="10"/>
      <c r="J821" s="57"/>
      <c r="K821" s="57"/>
      <c r="L821" s="57"/>
      <c r="M821" s="57"/>
      <c r="N821" s="57"/>
      <c r="O821" s="57"/>
      <c r="P821" s="57"/>
      <c r="Q821" s="85"/>
      <c r="R821" s="57"/>
      <c r="S821" s="57"/>
      <c r="T821" s="57"/>
      <c r="U821" s="57"/>
      <c r="V821" s="57"/>
    </row>
    <row r="822" spans="1:22" ht="21" customHeight="1" x14ac:dyDescent="0.2">
      <c r="A822" s="48"/>
      <c r="B822" s="59" t="s">
        <v>3</v>
      </c>
      <c r="C822" s="59" t="s">
        <v>3</v>
      </c>
      <c r="D822" s="9">
        <f>E822+F822+G822+H822+I822</f>
        <v>0</v>
      </c>
      <c r="E822" s="10"/>
      <c r="F822" s="10"/>
      <c r="G822" s="10"/>
      <c r="H822" s="10"/>
      <c r="I822" s="10"/>
      <c r="J822" s="57"/>
      <c r="K822" s="57"/>
      <c r="L822" s="57"/>
      <c r="M822" s="57"/>
      <c r="N822" s="57"/>
      <c r="O822" s="57"/>
      <c r="P822" s="57"/>
      <c r="Q822" s="85"/>
      <c r="R822" s="57"/>
      <c r="S822" s="57"/>
      <c r="T822" s="57"/>
      <c r="U822" s="57"/>
      <c r="V822" s="57"/>
    </row>
    <row r="823" spans="1:22" x14ac:dyDescent="0.2">
      <c r="A823" s="46" t="s">
        <v>268</v>
      </c>
      <c r="B823" s="24" t="s">
        <v>18</v>
      </c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5"/>
    </row>
    <row r="824" spans="1:22" x14ac:dyDescent="0.2">
      <c r="A824" s="47" t="s">
        <v>30</v>
      </c>
      <c r="B824" s="82" t="s">
        <v>249</v>
      </c>
      <c r="C824" s="82"/>
      <c r="D824" s="82"/>
      <c r="E824" s="82"/>
      <c r="F824" s="82"/>
      <c r="G824" s="82"/>
      <c r="H824" s="82"/>
      <c r="I824" s="82"/>
      <c r="J824" s="82"/>
      <c r="K824" s="82"/>
      <c r="L824" s="82"/>
      <c r="M824" s="82"/>
      <c r="N824" s="82"/>
      <c r="O824" s="82"/>
      <c r="P824" s="82"/>
      <c r="Q824" s="82"/>
      <c r="R824" s="82"/>
      <c r="S824" s="82"/>
      <c r="T824" s="82"/>
      <c r="U824" s="82"/>
      <c r="V824" s="82"/>
    </row>
    <row r="825" spans="1:22" ht="99.95" customHeight="1" x14ac:dyDescent="0.2">
      <c r="A825" s="47"/>
      <c r="B825" s="60" t="s">
        <v>327</v>
      </c>
      <c r="C825" s="61" t="s">
        <v>327</v>
      </c>
      <c r="D825" s="61"/>
      <c r="E825" s="61"/>
      <c r="F825" s="61"/>
      <c r="G825" s="61"/>
      <c r="H825" s="61"/>
      <c r="I825" s="62"/>
      <c r="J825" s="57" t="s">
        <v>323</v>
      </c>
      <c r="K825" s="57"/>
      <c r="L825" s="57" t="s">
        <v>60</v>
      </c>
      <c r="M825" s="57" t="s">
        <v>328</v>
      </c>
      <c r="N825" s="57" t="s">
        <v>19</v>
      </c>
      <c r="O825" s="57" t="s">
        <v>289</v>
      </c>
      <c r="P825" s="57" t="s">
        <v>19</v>
      </c>
      <c r="Q825" s="85">
        <v>415696.70400000003</v>
      </c>
      <c r="R825" s="57" t="s">
        <v>11</v>
      </c>
      <c r="S825" s="57" t="s">
        <v>12</v>
      </c>
      <c r="T825" s="57" t="s">
        <v>17</v>
      </c>
      <c r="U825" s="57"/>
      <c r="V825" s="57" t="s">
        <v>480</v>
      </c>
    </row>
    <row r="826" spans="1:22" x14ac:dyDescent="0.2">
      <c r="A826" s="47"/>
      <c r="B826" s="59" t="s">
        <v>5</v>
      </c>
      <c r="C826" s="59" t="s">
        <v>5</v>
      </c>
      <c r="D826" s="9">
        <f>SUM(D827:D830)</f>
        <v>15619.114300000001</v>
      </c>
      <c r="E826" s="10"/>
      <c r="F826" s="10"/>
      <c r="G826" s="10">
        <f t="shared" ref="G826" si="109">SUM(G827:G830)</f>
        <v>0</v>
      </c>
      <c r="H826" s="10">
        <f t="shared" ref="H826" si="110">SUM(H827:H830)</f>
        <v>5250</v>
      </c>
      <c r="I826" s="10">
        <f t="shared" ref="I826" si="111">SUM(I827:I830)</f>
        <v>10369.114300000001</v>
      </c>
      <c r="J826" s="57"/>
      <c r="K826" s="57"/>
      <c r="L826" s="57"/>
      <c r="M826" s="57"/>
      <c r="N826" s="57"/>
      <c r="O826" s="57"/>
      <c r="P826" s="57"/>
      <c r="Q826" s="85"/>
      <c r="R826" s="57"/>
      <c r="S826" s="57"/>
      <c r="T826" s="57"/>
      <c r="U826" s="57"/>
      <c r="V826" s="57"/>
    </row>
    <row r="827" spans="1:22" x14ac:dyDescent="0.2">
      <c r="A827" s="47"/>
      <c r="B827" s="59" t="s">
        <v>0</v>
      </c>
      <c r="C827" s="59" t="s">
        <v>0</v>
      </c>
      <c r="D827" s="9">
        <f>E827+F827+G827+H827+I827</f>
        <v>0</v>
      </c>
      <c r="E827" s="10"/>
      <c r="F827" s="10"/>
      <c r="G827" s="10"/>
      <c r="H827" s="10"/>
      <c r="I827" s="10"/>
      <c r="J827" s="57"/>
      <c r="K827" s="57"/>
      <c r="L827" s="57"/>
      <c r="M827" s="57"/>
      <c r="N827" s="57"/>
      <c r="O827" s="57"/>
      <c r="P827" s="57"/>
      <c r="Q827" s="85"/>
      <c r="R827" s="57"/>
      <c r="S827" s="57"/>
      <c r="T827" s="57"/>
      <c r="U827" s="57"/>
      <c r="V827" s="57"/>
    </row>
    <row r="828" spans="1:22" x14ac:dyDescent="0.2">
      <c r="A828" s="47"/>
      <c r="B828" s="59" t="s">
        <v>1</v>
      </c>
      <c r="C828" s="59" t="s">
        <v>1</v>
      </c>
      <c r="D828" s="9">
        <f>E828+F828+G828+H828+I828</f>
        <v>15619.114300000001</v>
      </c>
      <c r="E828" s="10"/>
      <c r="F828" s="10"/>
      <c r="G828" s="13">
        <f>5000-5000</f>
        <v>0</v>
      </c>
      <c r="H828" s="10">
        <v>5250</v>
      </c>
      <c r="I828" s="10">
        <v>10369.114300000001</v>
      </c>
      <c r="J828" s="57"/>
      <c r="K828" s="57"/>
      <c r="L828" s="57"/>
      <c r="M828" s="57"/>
      <c r="N828" s="57"/>
      <c r="O828" s="57"/>
      <c r="P828" s="57"/>
      <c r="Q828" s="85"/>
      <c r="R828" s="57"/>
      <c r="S828" s="57"/>
      <c r="T828" s="57"/>
      <c r="U828" s="57"/>
      <c r="V828" s="57"/>
    </row>
    <row r="829" spans="1:22" x14ac:dyDescent="0.2">
      <c r="A829" s="47"/>
      <c r="B829" s="59" t="s">
        <v>2</v>
      </c>
      <c r="C829" s="59" t="s">
        <v>2</v>
      </c>
      <c r="D829" s="9">
        <f>E829+F829+G829+H829+I829</f>
        <v>0</v>
      </c>
      <c r="E829" s="10"/>
      <c r="F829" s="10"/>
      <c r="G829" s="10"/>
      <c r="H829" s="10"/>
      <c r="I829" s="10"/>
      <c r="J829" s="57"/>
      <c r="K829" s="57"/>
      <c r="L829" s="57"/>
      <c r="M829" s="57"/>
      <c r="N829" s="57"/>
      <c r="O829" s="57"/>
      <c r="P829" s="57"/>
      <c r="Q829" s="85"/>
      <c r="R829" s="57"/>
      <c r="S829" s="57"/>
      <c r="T829" s="57"/>
      <c r="U829" s="57"/>
      <c r="V829" s="57"/>
    </row>
    <row r="830" spans="1:22" ht="21" customHeight="1" x14ac:dyDescent="0.2">
      <c r="A830" s="48"/>
      <c r="B830" s="59" t="s">
        <v>3</v>
      </c>
      <c r="C830" s="59" t="s">
        <v>3</v>
      </c>
      <c r="D830" s="9">
        <f>E830+F830+G830+H830+I830</f>
        <v>0</v>
      </c>
      <c r="E830" s="10"/>
      <c r="F830" s="10"/>
      <c r="G830" s="10"/>
      <c r="H830" s="10"/>
      <c r="I830" s="10"/>
      <c r="J830" s="57"/>
      <c r="K830" s="57"/>
      <c r="L830" s="57"/>
      <c r="M830" s="57"/>
      <c r="N830" s="57"/>
      <c r="O830" s="57"/>
      <c r="P830" s="57"/>
      <c r="Q830" s="85"/>
      <c r="R830" s="57"/>
      <c r="S830" s="57"/>
      <c r="T830" s="57"/>
      <c r="U830" s="57"/>
      <c r="V830" s="57"/>
    </row>
    <row r="831" spans="1:22" x14ac:dyDescent="0.2">
      <c r="A831" s="46" t="s">
        <v>269</v>
      </c>
      <c r="B831" s="24" t="s">
        <v>18</v>
      </c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5"/>
    </row>
    <row r="832" spans="1:22" x14ac:dyDescent="0.2">
      <c r="A832" s="47" t="s">
        <v>30</v>
      </c>
      <c r="B832" s="82" t="s">
        <v>249</v>
      </c>
      <c r="C832" s="82"/>
      <c r="D832" s="82"/>
      <c r="E832" s="82"/>
      <c r="F832" s="82"/>
      <c r="G832" s="82"/>
      <c r="H832" s="82"/>
      <c r="I832" s="82"/>
      <c r="J832" s="82"/>
      <c r="K832" s="82"/>
      <c r="L832" s="82"/>
      <c r="M832" s="82"/>
      <c r="N832" s="82"/>
      <c r="O832" s="82"/>
      <c r="P832" s="82"/>
      <c r="Q832" s="82"/>
      <c r="R832" s="82"/>
      <c r="S832" s="82"/>
      <c r="T832" s="82"/>
      <c r="U832" s="82"/>
      <c r="V832" s="82"/>
    </row>
    <row r="833" spans="1:22" ht="99.95" customHeight="1" x14ac:dyDescent="0.2">
      <c r="A833" s="47"/>
      <c r="B833" s="60" t="s">
        <v>264</v>
      </c>
      <c r="C833" s="61" t="s">
        <v>264</v>
      </c>
      <c r="D833" s="61"/>
      <c r="E833" s="61"/>
      <c r="F833" s="61"/>
      <c r="G833" s="61"/>
      <c r="H833" s="61"/>
      <c r="I833" s="62"/>
      <c r="J833" s="57" t="s">
        <v>312</v>
      </c>
      <c r="K833" s="57"/>
      <c r="L833" s="57" t="s">
        <v>60</v>
      </c>
      <c r="M833" s="57" t="s">
        <v>313</v>
      </c>
      <c r="N833" s="57" t="s">
        <v>19</v>
      </c>
      <c r="O833" s="57" t="s">
        <v>289</v>
      </c>
      <c r="P833" s="57" t="s">
        <v>19</v>
      </c>
      <c r="Q833" s="85">
        <v>389897.53600000002</v>
      </c>
      <c r="R833" s="57" t="s">
        <v>11</v>
      </c>
      <c r="S833" s="57" t="s">
        <v>112</v>
      </c>
      <c r="T833" s="57" t="s">
        <v>17</v>
      </c>
      <c r="U833" s="57"/>
      <c r="V833" s="57" t="s">
        <v>481</v>
      </c>
    </row>
    <row r="834" spans="1:22" x14ac:dyDescent="0.2">
      <c r="A834" s="47"/>
      <c r="B834" s="59" t="s">
        <v>5</v>
      </c>
      <c r="C834" s="59" t="s">
        <v>5</v>
      </c>
      <c r="D834" s="9">
        <f>SUM(D835:D838)</f>
        <v>135430.60600000003</v>
      </c>
      <c r="E834" s="10"/>
      <c r="F834" s="10"/>
      <c r="G834" s="10"/>
      <c r="H834" s="10">
        <f t="shared" ref="H834" si="112">SUM(H835:H838)</f>
        <v>135430.60600000003</v>
      </c>
      <c r="I834" s="10"/>
      <c r="J834" s="57"/>
      <c r="K834" s="57"/>
      <c r="L834" s="57"/>
      <c r="M834" s="57"/>
      <c r="N834" s="57"/>
      <c r="O834" s="57"/>
      <c r="P834" s="57"/>
      <c r="Q834" s="85"/>
      <c r="R834" s="57"/>
      <c r="S834" s="57"/>
      <c r="T834" s="57"/>
      <c r="U834" s="57"/>
      <c r="V834" s="57"/>
    </row>
    <row r="835" spans="1:22" x14ac:dyDescent="0.2">
      <c r="A835" s="47"/>
      <c r="B835" s="59" t="s">
        <v>0</v>
      </c>
      <c r="C835" s="59" t="s">
        <v>0</v>
      </c>
      <c r="D835" s="9">
        <f>E835+F835+G835+H835+I835</f>
        <v>0</v>
      </c>
      <c r="E835" s="10"/>
      <c r="F835" s="10"/>
      <c r="G835" s="10"/>
      <c r="H835" s="10"/>
      <c r="I835" s="10"/>
      <c r="J835" s="57"/>
      <c r="K835" s="57"/>
      <c r="L835" s="57"/>
      <c r="M835" s="57"/>
      <c r="N835" s="57"/>
      <c r="O835" s="57"/>
      <c r="P835" s="57"/>
      <c r="Q835" s="85"/>
      <c r="R835" s="57"/>
      <c r="S835" s="57"/>
      <c r="T835" s="57"/>
      <c r="U835" s="57"/>
      <c r="V835" s="57"/>
    </row>
    <row r="836" spans="1:22" x14ac:dyDescent="0.2">
      <c r="A836" s="47"/>
      <c r="B836" s="59" t="s">
        <v>1</v>
      </c>
      <c r="C836" s="59" t="s">
        <v>1</v>
      </c>
      <c r="D836" s="9">
        <f>E836+F836+G836+H836+I836</f>
        <v>135430.60600000003</v>
      </c>
      <c r="E836" s="10"/>
      <c r="F836" s="10"/>
      <c r="G836" s="10"/>
      <c r="H836" s="10">
        <v>135430.60600000003</v>
      </c>
      <c r="I836" s="10"/>
      <c r="J836" s="57"/>
      <c r="K836" s="57"/>
      <c r="L836" s="57"/>
      <c r="M836" s="57"/>
      <c r="N836" s="57"/>
      <c r="O836" s="57"/>
      <c r="P836" s="57"/>
      <c r="Q836" s="85"/>
      <c r="R836" s="57"/>
      <c r="S836" s="57"/>
      <c r="T836" s="57"/>
      <c r="U836" s="57"/>
      <c r="V836" s="57"/>
    </row>
    <row r="837" spans="1:22" x14ac:dyDescent="0.2">
      <c r="A837" s="47"/>
      <c r="B837" s="59" t="s">
        <v>2</v>
      </c>
      <c r="C837" s="59" t="s">
        <v>2</v>
      </c>
      <c r="D837" s="9">
        <f>E837+F837+G837+H837+I837</f>
        <v>0</v>
      </c>
      <c r="E837" s="10"/>
      <c r="F837" s="10"/>
      <c r="G837" s="10"/>
      <c r="H837" s="10"/>
      <c r="I837" s="10"/>
      <c r="J837" s="57"/>
      <c r="K837" s="57"/>
      <c r="L837" s="57"/>
      <c r="M837" s="57"/>
      <c r="N837" s="57"/>
      <c r="O837" s="57"/>
      <c r="P837" s="57"/>
      <c r="Q837" s="85"/>
      <c r="R837" s="57"/>
      <c r="S837" s="57"/>
      <c r="T837" s="57"/>
      <c r="U837" s="57"/>
      <c r="V837" s="57"/>
    </row>
    <row r="838" spans="1:22" ht="21" customHeight="1" x14ac:dyDescent="0.2">
      <c r="A838" s="48"/>
      <c r="B838" s="59" t="s">
        <v>3</v>
      </c>
      <c r="C838" s="59" t="s">
        <v>3</v>
      </c>
      <c r="D838" s="9">
        <f>E838+F838+G838+H838+I838</f>
        <v>0</v>
      </c>
      <c r="E838" s="10"/>
      <c r="F838" s="10"/>
      <c r="G838" s="10"/>
      <c r="H838" s="10"/>
      <c r="I838" s="10"/>
      <c r="J838" s="57"/>
      <c r="K838" s="57"/>
      <c r="L838" s="57"/>
      <c r="M838" s="57"/>
      <c r="N838" s="57"/>
      <c r="O838" s="57"/>
      <c r="P838" s="57"/>
      <c r="Q838" s="85"/>
      <c r="R838" s="57"/>
      <c r="S838" s="57"/>
      <c r="T838" s="57"/>
      <c r="U838" s="57"/>
      <c r="V838" s="57"/>
    </row>
    <row r="839" spans="1:22" x14ac:dyDescent="0.2">
      <c r="A839" s="46" t="s">
        <v>271</v>
      </c>
      <c r="B839" s="24" t="s">
        <v>18</v>
      </c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5"/>
    </row>
    <row r="840" spans="1:22" x14ac:dyDescent="0.2">
      <c r="A840" s="47" t="s">
        <v>30</v>
      </c>
      <c r="B840" s="82" t="s">
        <v>249</v>
      </c>
      <c r="C840" s="82"/>
      <c r="D840" s="82"/>
      <c r="E840" s="82"/>
      <c r="F840" s="82"/>
      <c r="G840" s="82"/>
      <c r="H840" s="82"/>
      <c r="I840" s="82"/>
      <c r="J840" s="82"/>
      <c r="K840" s="82"/>
      <c r="L840" s="82"/>
      <c r="M840" s="82"/>
      <c r="N840" s="82"/>
      <c r="O840" s="82"/>
      <c r="P840" s="82"/>
      <c r="Q840" s="82"/>
      <c r="R840" s="82"/>
      <c r="S840" s="82"/>
      <c r="T840" s="82"/>
      <c r="U840" s="82"/>
      <c r="V840" s="82"/>
    </row>
    <row r="841" spans="1:22" ht="99.95" customHeight="1" x14ac:dyDescent="0.2">
      <c r="A841" s="47"/>
      <c r="B841" s="60" t="s">
        <v>119</v>
      </c>
      <c r="C841" s="61" t="s">
        <v>119</v>
      </c>
      <c r="D841" s="61"/>
      <c r="E841" s="61"/>
      <c r="F841" s="61"/>
      <c r="G841" s="61"/>
      <c r="H841" s="61"/>
      <c r="I841" s="62"/>
      <c r="J841" s="57" t="s">
        <v>300</v>
      </c>
      <c r="K841" s="57"/>
      <c r="L841" s="57" t="s">
        <v>60</v>
      </c>
      <c r="M841" s="57" t="s">
        <v>314</v>
      </c>
      <c r="N841" s="57" t="s">
        <v>19</v>
      </c>
      <c r="O841" s="57" t="s">
        <v>289</v>
      </c>
      <c r="P841" s="57" t="s">
        <v>19</v>
      </c>
      <c r="Q841" s="85">
        <v>1391844.2209999999</v>
      </c>
      <c r="R841" s="57" t="s">
        <v>11</v>
      </c>
      <c r="S841" s="57" t="s">
        <v>112</v>
      </c>
      <c r="T841" s="57" t="s">
        <v>17</v>
      </c>
      <c r="U841" s="57"/>
      <c r="V841" s="57" t="s">
        <v>482</v>
      </c>
    </row>
    <row r="842" spans="1:22" x14ac:dyDescent="0.2">
      <c r="A842" s="47"/>
      <c r="B842" s="59" t="s">
        <v>5</v>
      </c>
      <c r="C842" s="59" t="s">
        <v>5</v>
      </c>
      <c r="D842" s="9">
        <f>SUM(D843:D846)</f>
        <v>442847.78099999996</v>
      </c>
      <c r="E842" s="10"/>
      <c r="F842" s="10"/>
      <c r="G842" s="10"/>
      <c r="H842" s="10">
        <f>SUM(H843:H846)</f>
        <v>442847.78099999996</v>
      </c>
      <c r="I842" s="10"/>
      <c r="J842" s="57"/>
      <c r="K842" s="57"/>
      <c r="L842" s="57"/>
      <c r="M842" s="57"/>
      <c r="N842" s="57"/>
      <c r="O842" s="57"/>
      <c r="P842" s="57"/>
      <c r="Q842" s="85"/>
      <c r="R842" s="57"/>
      <c r="S842" s="57"/>
      <c r="T842" s="57"/>
      <c r="U842" s="57"/>
      <c r="V842" s="57"/>
    </row>
    <row r="843" spans="1:22" x14ac:dyDescent="0.2">
      <c r="A843" s="47"/>
      <c r="B843" s="59" t="s">
        <v>0</v>
      </c>
      <c r="C843" s="59" t="s">
        <v>0</v>
      </c>
      <c r="D843" s="9">
        <f>E843+F843+G843+H843+I843</f>
        <v>0</v>
      </c>
      <c r="E843" s="10"/>
      <c r="F843" s="10"/>
      <c r="G843" s="10"/>
      <c r="H843" s="10"/>
      <c r="I843" s="10"/>
      <c r="J843" s="57"/>
      <c r="K843" s="57"/>
      <c r="L843" s="57"/>
      <c r="M843" s="57"/>
      <c r="N843" s="57"/>
      <c r="O843" s="57"/>
      <c r="P843" s="57"/>
      <c r="Q843" s="85"/>
      <c r="R843" s="57"/>
      <c r="S843" s="57"/>
      <c r="T843" s="57"/>
      <c r="U843" s="57"/>
      <c r="V843" s="57"/>
    </row>
    <row r="844" spans="1:22" x14ac:dyDescent="0.2">
      <c r="A844" s="47"/>
      <c r="B844" s="59" t="s">
        <v>1</v>
      </c>
      <c r="C844" s="59" t="s">
        <v>1</v>
      </c>
      <c r="D844" s="9">
        <f>E844+F844+G844+H844+I844</f>
        <v>442847.78099999996</v>
      </c>
      <c r="E844" s="10"/>
      <c r="F844" s="10"/>
      <c r="G844" s="10"/>
      <c r="H844" s="10">
        <v>442847.78099999996</v>
      </c>
      <c r="I844" s="10"/>
      <c r="J844" s="57"/>
      <c r="K844" s="57"/>
      <c r="L844" s="57"/>
      <c r="M844" s="57"/>
      <c r="N844" s="57"/>
      <c r="O844" s="57"/>
      <c r="P844" s="57"/>
      <c r="Q844" s="85"/>
      <c r="R844" s="57"/>
      <c r="S844" s="57"/>
      <c r="T844" s="57"/>
      <c r="U844" s="57"/>
      <c r="V844" s="57"/>
    </row>
    <row r="845" spans="1:22" x14ac:dyDescent="0.2">
      <c r="A845" s="47"/>
      <c r="B845" s="59" t="s">
        <v>2</v>
      </c>
      <c r="C845" s="59" t="s">
        <v>2</v>
      </c>
      <c r="D845" s="9">
        <f>E845+F845+G845+H845+I845</f>
        <v>0</v>
      </c>
      <c r="E845" s="10"/>
      <c r="F845" s="10"/>
      <c r="G845" s="10"/>
      <c r="H845" s="10"/>
      <c r="I845" s="10"/>
      <c r="J845" s="57"/>
      <c r="K845" s="57"/>
      <c r="L845" s="57"/>
      <c r="M845" s="57"/>
      <c r="N845" s="57"/>
      <c r="O845" s="57"/>
      <c r="P845" s="57"/>
      <c r="Q845" s="85"/>
      <c r="R845" s="57"/>
      <c r="S845" s="57"/>
      <c r="T845" s="57"/>
      <c r="U845" s="57"/>
      <c r="V845" s="57"/>
    </row>
    <row r="846" spans="1:22" ht="21" customHeight="1" x14ac:dyDescent="0.2">
      <c r="A846" s="48"/>
      <c r="B846" s="59" t="s">
        <v>3</v>
      </c>
      <c r="C846" s="59" t="s">
        <v>3</v>
      </c>
      <c r="D846" s="9">
        <f>E846+F846+G846+H846+I846</f>
        <v>0</v>
      </c>
      <c r="E846" s="10"/>
      <c r="F846" s="10"/>
      <c r="G846" s="10"/>
      <c r="H846" s="10"/>
      <c r="I846" s="10"/>
      <c r="J846" s="57"/>
      <c r="K846" s="57"/>
      <c r="L846" s="57"/>
      <c r="M846" s="57"/>
      <c r="N846" s="57"/>
      <c r="O846" s="57"/>
      <c r="P846" s="57"/>
      <c r="Q846" s="85"/>
      <c r="R846" s="57"/>
      <c r="S846" s="57"/>
      <c r="T846" s="57"/>
      <c r="U846" s="57"/>
      <c r="V846" s="57"/>
    </row>
    <row r="847" spans="1:22" x14ac:dyDescent="0.2">
      <c r="A847" s="101" t="s">
        <v>272</v>
      </c>
      <c r="B847" s="114" t="s">
        <v>18</v>
      </c>
      <c r="C847" s="114"/>
      <c r="D847" s="114"/>
      <c r="E847" s="114"/>
      <c r="F847" s="114"/>
      <c r="G847" s="114"/>
      <c r="H847" s="114"/>
      <c r="I847" s="114"/>
      <c r="J847" s="114"/>
      <c r="K847" s="114"/>
      <c r="L847" s="114"/>
      <c r="M847" s="114"/>
      <c r="N847" s="114"/>
      <c r="O847" s="114"/>
      <c r="P847" s="114"/>
      <c r="Q847" s="114"/>
      <c r="R847" s="114"/>
      <c r="S847" s="114"/>
      <c r="T847" s="114"/>
      <c r="U847" s="114"/>
      <c r="V847" s="114"/>
    </row>
    <row r="848" spans="1:22" x14ac:dyDescent="0.2">
      <c r="A848" s="47" t="s">
        <v>30</v>
      </c>
      <c r="B848" s="117" t="s">
        <v>249</v>
      </c>
      <c r="C848" s="117"/>
      <c r="D848" s="117"/>
      <c r="E848" s="117"/>
      <c r="F848" s="117"/>
      <c r="G848" s="117"/>
      <c r="H848" s="117"/>
      <c r="I848" s="117"/>
      <c r="J848" s="117"/>
      <c r="K848" s="117"/>
      <c r="L848" s="117"/>
      <c r="M848" s="117"/>
      <c r="N848" s="117"/>
      <c r="O848" s="117"/>
      <c r="P848" s="117"/>
      <c r="Q848" s="117"/>
      <c r="R848" s="117"/>
      <c r="S848" s="117"/>
      <c r="T848" s="117"/>
      <c r="U848" s="117"/>
      <c r="V848" s="117"/>
    </row>
    <row r="849" spans="1:22" ht="99.95" customHeight="1" x14ac:dyDescent="0.2">
      <c r="A849" s="47"/>
      <c r="B849" s="60" t="s">
        <v>333</v>
      </c>
      <c r="C849" s="61" t="s">
        <v>333</v>
      </c>
      <c r="D849" s="61"/>
      <c r="E849" s="61"/>
      <c r="F849" s="61"/>
      <c r="G849" s="61"/>
      <c r="H849" s="61"/>
      <c r="I849" s="62"/>
      <c r="J849" s="57" t="s">
        <v>329</v>
      </c>
      <c r="K849" s="57"/>
      <c r="L849" s="57" t="s">
        <v>60</v>
      </c>
      <c r="M849" s="57" t="s">
        <v>331</v>
      </c>
      <c r="N849" s="57" t="s">
        <v>19</v>
      </c>
      <c r="O849" s="57" t="s">
        <v>289</v>
      </c>
      <c r="P849" s="57" t="s">
        <v>19</v>
      </c>
      <c r="Q849" s="85" t="s">
        <v>332</v>
      </c>
      <c r="R849" s="57" t="s">
        <v>11</v>
      </c>
      <c r="S849" s="57" t="s">
        <v>110</v>
      </c>
      <c r="T849" s="57" t="s">
        <v>17</v>
      </c>
      <c r="U849" s="57"/>
      <c r="V849" s="57"/>
    </row>
    <row r="850" spans="1:22" x14ac:dyDescent="0.2">
      <c r="A850" s="47"/>
      <c r="B850" s="59" t="s">
        <v>5</v>
      </c>
      <c r="C850" s="59" t="s">
        <v>5</v>
      </c>
      <c r="D850" s="9">
        <f>SUM(D851:D854)</f>
        <v>357000</v>
      </c>
      <c r="E850" s="10"/>
      <c r="F850" s="10"/>
      <c r="G850" s="10"/>
      <c r="H850" s="10">
        <f t="shared" ref="H850" si="113">SUM(H851:H854)</f>
        <v>357000</v>
      </c>
      <c r="I850" s="10"/>
      <c r="J850" s="57"/>
      <c r="K850" s="57"/>
      <c r="L850" s="57"/>
      <c r="M850" s="57"/>
      <c r="N850" s="57"/>
      <c r="O850" s="57"/>
      <c r="P850" s="57"/>
      <c r="Q850" s="85"/>
      <c r="R850" s="57"/>
      <c r="S850" s="57"/>
      <c r="T850" s="57"/>
      <c r="U850" s="57"/>
      <c r="V850" s="57"/>
    </row>
    <row r="851" spans="1:22" x14ac:dyDescent="0.2">
      <c r="A851" s="47"/>
      <c r="B851" s="59" t="s">
        <v>0</v>
      </c>
      <c r="C851" s="59" t="s">
        <v>0</v>
      </c>
      <c r="D851" s="9">
        <f>E851+F851+G851+H851+I851</f>
        <v>0</v>
      </c>
      <c r="E851" s="10"/>
      <c r="F851" s="10"/>
      <c r="G851" s="10"/>
      <c r="H851" s="10"/>
      <c r="I851" s="10"/>
      <c r="J851" s="57"/>
      <c r="K851" s="57"/>
      <c r="L851" s="57"/>
      <c r="M851" s="57"/>
      <c r="N851" s="57"/>
      <c r="O851" s="57"/>
      <c r="P851" s="57"/>
      <c r="Q851" s="85"/>
      <c r="R851" s="57"/>
      <c r="S851" s="57"/>
      <c r="T851" s="57"/>
      <c r="U851" s="57"/>
      <c r="V851" s="57"/>
    </row>
    <row r="852" spans="1:22" x14ac:dyDescent="0.2">
      <c r="A852" s="47"/>
      <c r="B852" s="59" t="s">
        <v>1</v>
      </c>
      <c r="C852" s="59" t="s">
        <v>1</v>
      </c>
      <c r="D852" s="9">
        <f>E852+F852+G852+H852+I852</f>
        <v>357000</v>
      </c>
      <c r="E852" s="10"/>
      <c r="F852" s="10"/>
      <c r="G852" s="10"/>
      <c r="H852" s="10">
        <v>357000</v>
      </c>
      <c r="I852" s="10"/>
      <c r="J852" s="57"/>
      <c r="K852" s="57"/>
      <c r="L852" s="57"/>
      <c r="M852" s="57"/>
      <c r="N852" s="57"/>
      <c r="O852" s="57"/>
      <c r="P852" s="57"/>
      <c r="Q852" s="85"/>
      <c r="R852" s="57"/>
      <c r="S852" s="57"/>
      <c r="T852" s="57"/>
      <c r="U852" s="57"/>
      <c r="V852" s="57"/>
    </row>
    <row r="853" spans="1:22" x14ac:dyDescent="0.2">
      <c r="A853" s="47"/>
      <c r="B853" s="59" t="s">
        <v>2</v>
      </c>
      <c r="C853" s="59" t="s">
        <v>2</v>
      </c>
      <c r="D853" s="9">
        <f>E853+F853+G853+H853+I853</f>
        <v>0</v>
      </c>
      <c r="E853" s="10"/>
      <c r="F853" s="10"/>
      <c r="G853" s="10"/>
      <c r="H853" s="10"/>
      <c r="I853" s="10"/>
      <c r="J853" s="57"/>
      <c r="K853" s="57"/>
      <c r="L853" s="57"/>
      <c r="M853" s="57"/>
      <c r="N853" s="57"/>
      <c r="O853" s="57"/>
      <c r="P853" s="57"/>
      <c r="Q853" s="85"/>
      <c r="R853" s="57"/>
      <c r="S853" s="57"/>
      <c r="T853" s="57"/>
      <c r="U853" s="57"/>
      <c r="V853" s="57"/>
    </row>
    <row r="854" spans="1:22" ht="21" customHeight="1" x14ac:dyDescent="0.2">
      <c r="A854" s="48"/>
      <c r="B854" s="59" t="s">
        <v>3</v>
      </c>
      <c r="C854" s="59" t="s">
        <v>3</v>
      </c>
      <c r="D854" s="9">
        <f>E854+F854+G854+H854+I854</f>
        <v>0</v>
      </c>
      <c r="E854" s="10"/>
      <c r="F854" s="10"/>
      <c r="G854" s="10"/>
      <c r="H854" s="10"/>
      <c r="I854" s="10"/>
      <c r="J854" s="57"/>
      <c r="K854" s="57"/>
      <c r="L854" s="57"/>
      <c r="M854" s="57"/>
      <c r="N854" s="57"/>
      <c r="O854" s="57"/>
      <c r="P854" s="57"/>
      <c r="Q854" s="85"/>
      <c r="R854" s="57"/>
      <c r="S854" s="57"/>
      <c r="T854" s="57"/>
      <c r="U854" s="57"/>
      <c r="V854" s="57"/>
    </row>
    <row r="855" spans="1:22" x14ac:dyDescent="0.2">
      <c r="A855" s="46" t="s">
        <v>274</v>
      </c>
      <c r="B855" s="24" t="s">
        <v>18</v>
      </c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5"/>
    </row>
    <row r="856" spans="1:22" x14ac:dyDescent="0.2">
      <c r="A856" s="47" t="s">
        <v>30</v>
      </c>
      <c r="B856" s="82" t="s">
        <v>249</v>
      </c>
      <c r="C856" s="82"/>
      <c r="D856" s="82"/>
      <c r="E856" s="82"/>
      <c r="F856" s="82"/>
      <c r="G856" s="82"/>
      <c r="H856" s="82"/>
      <c r="I856" s="82"/>
      <c r="J856" s="82"/>
      <c r="K856" s="82"/>
      <c r="L856" s="82"/>
      <c r="M856" s="82"/>
      <c r="N856" s="82"/>
      <c r="O856" s="82"/>
      <c r="P856" s="82"/>
      <c r="Q856" s="82"/>
      <c r="R856" s="82"/>
      <c r="S856" s="82"/>
      <c r="T856" s="82"/>
      <c r="U856" s="82"/>
      <c r="V856" s="82"/>
    </row>
    <row r="857" spans="1:22" ht="72" customHeight="1" x14ac:dyDescent="0.2">
      <c r="A857" s="47"/>
      <c r="B857" s="60" t="s">
        <v>336</v>
      </c>
      <c r="C857" s="61" t="s">
        <v>336</v>
      </c>
      <c r="D857" s="61"/>
      <c r="E857" s="61"/>
      <c r="F857" s="61"/>
      <c r="G857" s="61"/>
      <c r="H857" s="61"/>
      <c r="I857" s="62"/>
      <c r="J857" s="57" t="s">
        <v>337</v>
      </c>
      <c r="K857" s="57"/>
      <c r="L857" s="57" t="s">
        <v>60</v>
      </c>
      <c r="M857" s="57" t="s">
        <v>334</v>
      </c>
      <c r="N857" s="57" t="s">
        <v>19</v>
      </c>
      <c r="O857" s="57" t="s">
        <v>289</v>
      </c>
      <c r="P857" s="57" t="s">
        <v>19</v>
      </c>
      <c r="Q857" s="85" t="s">
        <v>335</v>
      </c>
      <c r="R857" s="57" t="s">
        <v>11</v>
      </c>
      <c r="S857" s="57" t="s">
        <v>110</v>
      </c>
      <c r="T857" s="57" t="s">
        <v>17</v>
      </c>
      <c r="U857" s="57"/>
      <c r="V857" s="57"/>
    </row>
    <row r="858" spans="1:22" x14ac:dyDescent="0.2">
      <c r="A858" s="47"/>
      <c r="B858" s="59" t="s">
        <v>5</v>
      </c>
      <c r="C858" s="59" t="s">
        <v>5</v>
      </c>
      <c r="D858" s="9">
        <f>SUM(D859:D862)</f>
        <v>490000</v>
      </c>
      <c r="E858" s="10"/>
      <c r="F858" s="10"/>
      <c r="G858" s="10"/>
      <c r="H858" s="10">
        <f t="shared" ref="H858" si="114">SUM(H859:H862)</f>
        <v>490000</v>
      </c>
      <c r="I858" s="10"/>
      <c r="J858" s="57"/>
      <c r="K858" s="57"/>
      <c r="L858" s="57"/>
      <c r="M858" s="57"/>
      <c r="N858" s="57"/>
      <c r="O858" s="57"/>
      <c r="P858" s="57"/>
      <c r="Q858" s="85"/>
      <c r="R858" s="57"/>
      <c r="S858" s="57"/>
      <c r="T858" s="57"/>
      <c r="U858" s="57"/>
      <c r="V858" s="57"/>
    </row>
    <row r="859" spans="1:22" x14ac:dyDescent="0.2">
      <c r="A859" s="47"/>
      <c r="B859" s="59" t="s">
        <v>0</v>
      </c>
      <c r="C859" s="59" t="s">
        <v>0</v>
      </c>
      <c r="D859" s="9">
        <f>E859+F859+G859+H859+I859</f>
        <v>0</v>
      </c>
      <c r="E859" s="10"/>
      <c r="F859" s="10"/>
      <c r="G859" s="10"/>
      <c r="H859" s="10"/>
      <c r="I859" s="10"/>
      <c r="J859" s="57"/>
      <c r="K859" s="57"/>
      <c r="L859" s="57"/>
      <c r="M859" s="57"/>
      <c r="N859" s="57"/>
      <c r="O859" s="57"/>
      <c r="P859" s="57"/>
      <c r="Q859" s="85"/>
      <c r="R859" s="57"/>
      <c r="S859" s="57"/>
      <c r="T859" s="57"/>
      <c r="U859" s="57"/>
      <c r="V859" s="57"/>
    </row>
    <row r="860" spans="1:22" x14ac:dyDescent="0.2">
      <c r="A860" s="47"/>
      <c r="B860" s="59" t="s">
        <v>1</v>
      </c>
      <c r="C860" s="59" t="s">
        <v>1</v>
      </c>
      <c r="D860" s="9">
        <f>E860+F860+G860+H860+I860</f>
        <v>490000</v>
      </c>
      <c r="E860" s="10"/>
      <c r="F860" s="10"/>
      <c r="G860" s="10"/>
      <c r="H860" s="10">
        <v>490000</v>
      </c>
      <c r="I860" s="10"/>
      <c r="J860" s="57"/>
      <c r="K860" s="57"/>
      <c r="L860" s="57"/>
      <c r="M860" s="57"/>
      <c r="N860" s="57"/>
      <c r="O860" s="57"/>
      <c r="P860" s="57"/>
      <c r="Q860" s="85"/>
      <c r="R860" s="57"/>
      <c r="S860" s="57"/>
      <c r="T860" s="57"/>
      <c r="U860" s="57"/>
      <c r="V860" s="57"/>
    </row>
    <row r="861" spans="1:22" x14ac:dyDescent="0.2">
      <c r="A861" s="47"/>
      <c r="B861" s="59" t="s">
        <v>2</v>
      </c>
      <c r="C861" s="59" t="s">
        <v>2</v>
      </c>
      <c r="D861" s="9">
        <f>E861+F861+G861+H861+I861</f>
        <v>0</v>
      </c>
      <c r="E861" s="10"/>
      <c r="F861" s="10"/>
      <c r="G861" s="10"/>
      <c r="H861" s="10"/>
      <c r="I861" s="10"/>
      <c r="J861" s="57"/>
      <c r="K861" s="57"/>
      <c r="L861" s="57"/>
      <c r="M861" s="57"/>
      <c r="N861" s="57"/>
      <c r="O861" s="57"/>
      <c r="P861" s="57"/>
      <c r="Q861" s="85"/>
      <c r="R861" s="57"/>
      <c r="S861" s="57"/>
      <c r="T861" s="57"/>
      <c r="U861" s="57"/>
      <c r="V861" s="57"/>
    </row>
    <row r="862" spans="1:22" ht="21" customHeight="1" x14ac:dyDescent="0.2">
      <c r="A862" s="48"/>
      <c r="B862" s="59" t="s">
        <v>3</v>
      </c>
      <c r="C862" s="59" t="s">
        <v>3</v>
      </c>
      <c r="D862" s="9">
        <f>E862+F862+G862+H862+I862</f>
        <v>0</v>
      </c>
      <c r="E862" s="10"/>
      <c r="F862" s="10"/>
      <c r="G862" s="10"/>
      <c r="H862" s="10"/>
      <c r="I862" s="10"/>
      <c r="J862" s="57"/>
      <c r="K862" s="57"/>
      <c r="L862" s="57"/>
      <c r="M862" s="57"/>
      <c r="N862" s="57"/>
      <c r="O862" s="57"/>
      <c r="P862" s="57"/>
      <c r="Q862" s="85"/>
      <c r="R862" s="57"/>
      <c r="S862" s="57"/>
      <c r="T862" s="57"/>
      <c r="U862" s="57"/>
      <c r="V862" s="57"/>
    </row>
    <row r="863" spans="1:22" x14ac:dyDescent="0.2">
      <c r="A863" s="46" t="s">
        <v>358</v>
      </c>
      <c r="B863" s="24" t="s">
        <v>18</v>
      </c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5"/>
    </row>
    <row r="864" spans="1:22" x14ac:dyDescent="0.2">
      <c r="A864" s="47" t="s">
        <v>30</v>
      </c>
      <c r="B864" s="82" t="s">
        <v>249</v>
      </c>
      <c r="C864" s="82"/>
      <c r="D864" s="82"/>
      <c r="E864" s="82"/>
      <c r="F864" s="82"/>
      <c r="G864" s="82"/>
      <c r="H864" s="82"/>
      <c r="I864" s="82"/>
      <c r="J864" s="82"/>
      <c r="K864" s="82"/>
      <c r="L864" s="82"/>
      <c r="M864" s="82"/>
      <c r="N864" s="82"/>
      <c r="O864" s="82"/>
      <c r="P864" s="82"/>
      <c r="Q864" s="82"/>
      <c r="R864" s="82"/>
      <c r="S864" s="82"/>
      <c r="T864" s="82"/>
      <c r="U864" s="82"/>
      <c r="V864" s="82"/>
    </row>
    <row r="865" spans="1:22" ht="78.75" customHeight="1" x14ac:dyDescent="0.2">
      <c r="A865" s="47"/>
      <c r="B865" s="60" t="s">
        <v>318</v>
      </c>
      <c r="C865" s="61" t="s">
        <v>318</v>
      </c>
      <c r="D865" s="61"/>
      <c r="E865" s="61"/>
      <c r="F865" s="61"/>
      <c r="G865" s="61"/>
      <c r="H865" s="61"/>
      <c r="I865" s="62"/>
      <c r="J865" s="57" t="s">
        <v>319</v>
      </c>
      <c r="K865" s="57"/>
      <c r="L865" s="57" t="s">
        <v>60</v>
      </c>
      <c r="M865" s="57" t="s">
        <v>320</v>
      </c>
      <c r="N865" s="57" t="s">
        <v>19</v>
      </c>
      <c r="O865" s="57" t="s">
        <v>289</v>
      </c>
      <c r="P865" s="57" t="s">
        <v>19</v>
      </c>
      <c r="Q865" s="85" t="s">
        <v>321</v>
      </c>
      <c r="R865" s="57" t="s">
        <v>11</v>
      </c>
      <c r="S865" s="57" t="s">
        <v>10</v>
      </c>
      <c r="T865" s="57" t="s">
        <v>17</v>
      </c>
      <c r="U865" s="57"/>
      <c r="V865" s="57"/>
    </row>
    <row r="866" spans="1:22" x14ac:dyDescent="0.2">
      <c r="A866" s="47"/>
      <c r="B866" s="59" t="s">
        <v>5</v>
      </c>
      <c r="C866" s="59" t="s">
        <v>5</v>
      </c>
      <c r="D866" s="9">
        <f>SUM(D867:D870)</f>
        <v>1000</v>
      </c>
      <c r="E866" s="10">
        <f t="shared" ref="E866" si="115">SUM(E867:E870)</f>
        <v>1000</v>
      </c>
      <c r="F866" s="10"/>
      <c r="G866" s="10"/>
      <c r="H866" s="10"/>
      <c r="I866" s="10"/>
      <c r="J866" s="57"/>
      <c r="K866" s="57"/>
      <c r="L866" s="57"/>
      <c r="M866" s="57"/>
      <c r="N866" s="57"/>
      <c r="O866" s="57"/>
      <c r="P866" s="57"/>
      <c r="Q866" s="85"/>
      <c r="R866" s="57"/>
      <c r="S866" s="57"/>
      <c r="T866" s="57"/>
      <c r="U866" s="57"/>
      <c r="V866" s="57"/>
    </row>
    <row r="867" spans="1:22" x14ac:dyDescent="0.2">
      <c r="A867" s="47"/>
      <c r="B867" s="59" t="s">
        <v>0</v>
      </c>
      <c r="C867" s="59" t="s">
        <v>0</v>
      </c>
      <c r="D867" s="9">
        <f>E867+F867+G867+H867+I867</f>
        <v>0</v>
      </c>
      <c r="E867" s="10"/>
      <c r="F867" s="10"/>
      <c r="G867" s="10"/>
      <c r="H867" s="10"/>
      <c r="I867" s="10"/>
      <c r="J867" s="57"/>
      <c r="K867" s="57"/>
      <c r="L867" s="57"/>
      <c r="M867" s="57"/>
      <c r="N867" s="57"/>
      <c r="O867" s="57"/>
      <c r="P867" s="57"/>
      <c r="Q867" s="85"/>
      <c r="R867" s="57"/>
      <c r="S867" s="57"/>
      <c r="T867" s="57"/>
      <c r="U867" s="57"/>
      <c r="V867" s="57"/>
    </row>
    <row r="868" spans="1:22" x14ac:dyDescent="0.2">
      <c r="A868" s="47"/>
      <c r="B868" s="59" t="s">
        <v>1</v>
      </c>
      <c r="C868" s="59" t="s">
        <v>1</v>
      </c>
      <c r="D868" s="9">
        <f>E868+F868+G868+H868+I868</f>
        <v>1000</v>
      </c>
      <c r="E868" s="13">
        <f>4000-3000</f>
        <v>1000</v>
      </c>
      <c r="F868" s="10"/>
      <c r="G868" s="10"/>
      <c r="H868" s="10"/>
      <c r="I868" s="10"/>
      <c r="J868" s="57"/>
      <c r="K868" s="57"/>
      <c r="L868" s="57"/>
      <c r="M868" s="57"/>
      <c r="N868" s="57"/>
      <c r="O868" s="57"/>
      <c r="P868" s="57"/>
      <c r="Q868" s="85"/>
      <c r="R868" s="57"/>
      <c r="S868" s="57"/>
      <c r="T868" s="57"/>
      <c r="U868" s="57"/>
      <c r="V868" s="57"/>
    </row>
    <row r="869" spans="1:22" x14ac:dyDescent="0.2">
      <c r="A869" s="47"/>
      <c r="B869" s="59" t="s">
        <v>2</v>
      </c>
      <c r="C869" s="59" t="s">
        <v>2</v>
      </c>
      <c r="D869" s="9">
        <f>E869+F869+G869+H869+I869</f>
        <v>0</v>
      </c>
      <c r="E869" s="10"/>
      <c r="F869" s="10"/>
      <c r="G869" s="10"/>
      <c r="H869" s="10"/>
      <c r="I869" s="10"/>
      <c r="J869" s="57"/>
      <c r="K869" s="57"/>
      <c r="L869" s="57"/>
      <c r="M869" s="57"/>
      <c r="N869" s="57"/>
      <c r="O869" s="57"/>
      <c r="P869" s="57"/>
      <c r="Q869" s="85"/>
      <c r="R869" s="57"/>
      <c r="S869" s="57"/>
      <c r="T869" s="57"/>
      <c r="U869" s="57"/>
      <c r="V869" s="57"/>
    </row>
    <row r="870" spans="1:22" ht="21" customHeight="1" x14ac:dyDescent="0.2">
      <c r="A870" s="48"/>
      <c r="B870" s="59" t="s">
        <v>3</v>
      </c>
      <c r="C870" s="59" t="s">
        <v>3</v>
      </c>
      <c r="D870" s="9">
        <f>E870+F870+G870+H870+I870</f>
        <v>0</v>
      </c>
      <c r="E870" s="10"/>
      <c r="F870" s="10"/>
      <c r="G870" s="10"/>
      <c r="H870" s="10"/>
      <c r="I870" s="10"/>
      <c r="J870" s="57"/>
      <c r="K870" s="57"/>
      <c r="L870" s="57"/>
      <c r="M870" s="57"/>
      <c r="N870" s="57"/>
      <c r="O870" s="57"/>
      <c r="P870" s="57"/>
      <c r="Q870" s="85"/>
      <c r="R870" s="57"/>
      <c r="S870" s="57"/>
      <c r="T870" s="57"/>
      <c r="U870" s="57"/>
      <c r="V870" s="57"/>
    </row>
    <row r="871" spans="1:22" x14ac:dyDescent="0.2">
      <c r="A871" s="46" t="s">
        <v>359</v>
      </c>
      <c r="B871" s="24" t="s">
        <v>18</v>
      </c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5"/>
    </row>
    <row r="872" spans="1:22" x14ac:dyDescent="0.2">
      <c r="A872" s="47" t="s">
        <v>30</v>
      </c>
      <c r="B872" s="82" t="s">
        <v>249</v>
      </c>
      <c r="C872" s="82"/>
      <c r="D872" s="82"/>
      <c r="E872" s="82"/>
      <c r="F872" s="82"/>
      <c r="G872" s="82"/>
      <c r="H872" s="82"/>
      <c r="I872" s="82"/>
      <c r="J872" s="82"/>
      <c r="K872" s="82"/>
      <c r="L872" s="82"/>
      <c r="M872" s="82"/>
      <c r="N872" s="82"/>
      <c r="O872" s="82"/>
      <c r="P872" s="82"/>
      <c r="Q872" s="82"/>
      <c r="R872" s="82"/>
      <c r="S872" s="82"/>
      <c r="T872" s="82"/>
      <c r="U872" s="82"/>
      <c r="V872" s="82"/>
    </row>
    <row r="873" spans="1:22" ht="99.95" customHeight="1" x14ac:dyDescent="0.2">
      <c r="A873" s="47"/>
      <c r="B873" s="60" t="s">
        <v>346</v>
      </c>
      <c r="C873" s="61" t="s">
        <v>346</v>
      </c>
      <c r="D873" s="61"/>
      <c r="E873" s="61"/>
      <c r="F873" s="61"/>
      <c r="G873" s="61"/>
      <c r="H873" s="61"/>
      <c r="I873" s="62"/>
      <c r="J873" s="57" t="s">
        <v>142</v>
      </c>
      <c r="K873" s="57" t="s">
        <v>66</v>
      </c>
      <c r="L873" s="57" t="s">
        <v>61</v>
      </c>
      <c r="M873" s="57" t="s">
        <v>491</v>
      </c>
      <c r="N873" s="57" t="s">
        <v>347</v>
      </c>
      <c r="O873" s="57" t="s">
        <v>347</v>
      </c>
      <c r="P873" s="57" t="s">
        <v>347</v>
      </c>
      <c r="Q873" s="85">
        <v>154950.82999999999</v>
      </c>
      <c r="R873" s="57" t="s">
        <v>9</v>
      </c>
      <c r="S873" s="57" t="s">
        <v>347</v>
      </c>
      <c r="T873" s="57" t="s">
        <v>17</v>
      </c>
      <c r="U873" s="57"/>
      <c r="V873" s="57"/>
    </row>
    <row r="874" spans="1:22" x14ac:dyDescent="0.2">
      <c r="A874" s="47"/>
      <c r="B874" s="59" t="s">
        <v>5</v>
      </c>
      <c r="C874" s="59" t="s">
        <v>5</v>
      </c>
      <c r="D874" s="9">
        <f>SUM(D875:D878)</f>
        <v>56351.18</v>
      </c>
      <c r="E874" s="10"/>
      <c r="F874" s="10"/>
      <c r="G874" s="10"/>
      <c r="H874" s="10">
        <f t="shared" ref="H874" si="116">SUM(H875:H878)</f>
        <v>56351.18</v>
      </c>
      <c r="I874" s="10"/>
      <c r="J874" s="57"/>
      <c r="K874" s="57"/>
      <c r="L874" s="57"/>
      <c r="M874" s="57"/>
      <c r="N874" s="57"/>
      <c r="O874" s="57"/>
      <c r="P874" s="57"/>
      <c r="Q874" s="85"/>
      <c r="R874" s="57"/>
      <c r="S874" s="57"/>
      <c r="T874" s="57"/>
      <c r="U874" s="57"/>
      <c r="V874" s="57"/>
    </row>
    <row r="875" spans="1:22" x14ac:dyDescent="0.2">
      <c r="A875" s="47"/>
      <c r="B875" s="59" t="s">
        <v>0</v>
      </c>
      <c r="C875" s="59" t="s">
        <v>0</v>
      </c>
      <c r="D875" s="9">
        <f>E875+F875+G875+H875+I875</f>
        <v>0</v>
      </c>
      <c r="E875" s="10"/>
      <c r="F875" s="10"/>
      <c r="G875" s="10"/>
      <c r="H875" s="10"/>
      <c r="I875" s="10"/>
      <c r="J875" s="57"/>
      <c r="K875" s="57"/>
      <c r="L875" s="57"/>
      <c r="M875" s="57"/>
      <c r="N875" s="57"/>
      <c r="O875" s="57"/>
      <c r="P875" s="57"/>
      <c r="Q875" s="85"/>
      <c r="R875" s="57"/>
      <c r="S875" s="57"/>
      <c r="T875" s="57"/>
      <c r="U875" s="57"/>
      <c r="V875" s="57"/>
    </row>
    <row r="876" spans="1:22" x14ac:dyDescent="0.2">
      <c r="A876" s="47"/>
      <c r="B876" s="59" t="s">
        <v>1</v>
      </c>
      <c r="C876" s="59" t="s">
        <v>1</v>
      </c>
      <c r="D876" s="9">
        <f>E876+F876+G876+H876+I876</f>
        <v>50716.06</v>
      </c>
      <c r="E876" s="10"/>
      <c r="F876" s="10"/>
      <c r="G876" s="10"/>
      <c r="H876" s="10">
        <v>50716.06</v>
      </c>
      <c r="I876" s="10"/>
      <c r="J876" s="57"/>
      <c r="K876" s="57"/>
      <c r="L876" s="57"/>
      <c r="M876" s="57"/>
      <c r="N876" s="57"/>
      <c r="O876" s="57"/>
      <c r="P876" s="57"/>
      <c r="Q876" s="85"/>
      <c r="R876" s="57"/>
      <c r="S876" s="57"/>
      <c r="T876" s="57"/>
      <c r="U876" s="57"/>
      <c r="V876" s="57"/>
    </row>
    <row r="877" spans="1:22" x14ac:dyDescent="0.2">
      <c r="A877" s="47"/>
      <c r="B877" s="59" t="s">
        <v>2</v>
      </c>
      <c r="C877" s="59" t="s">
        <v>2</v>
      </c>
      <c r="D877" s="9">
        <f>E877+F877+G877+H877+I877</f>
        <v>5635.12</v>
      </c>
      <c r="E877" s="10"/>
      <c r="F877" s="10"/>
      <c r="G877" s="10"/>
      <c r="H877" s="10">
        <v>5635.12</v>
      </c>
      <c r="I877" s="10"/>
      <c r="J877" s="57"/>
      <c r="K877" s="57"/>
      <c r="L877" s="57"/>
      <c r="M877" s="57"/>
      <c r="N877" s="57"/>
      <c r="O877" s="57"/>
      <c r="P877" s="57"/>
      <c r="Q877" s="85"/>
      <c r="R877" s="57"/>
      <c r="S877" s="57"/>
      <c r="T877" s="57"/>
      <c r="U877" s="57"/>
      <c r="V877" s="57"/>
    </row>
    <row r="878" spans="1:22" ht="21" customHeight="1" x14ac:dyDescent="0.2">
      <c r="A878" s="48"/>
      <c r="B878" s="59" t="s">
        <v>3</v>
      </c>
      <c r="C878" s="59" t="s">
        <v>3</v>
      </c>
      <c r="D878" s="9">
        <f>E878+F878+G878+H878+I878</f>
        <v>0</v>
      </c>
      <c r="E878" s="10"/>
      <c r="F878" s="10"/>
      <c r="G878" s="10"/>
      <c r="H878" s="10"/>
      <c r="I878" s="10"/>
      <c r="J878" s="57"/>
      <c r="K878" s="57"/>
      <c r="L878" s="57"/>
      <c r="M878" s="57"/>
      <c r="N878" s="57"/>
      <c r="O878" s="57"/>
      <c r="P878" s="57"/>
      <c r="Q878" s="85"/>
      <c r="R878" s="57"/>
      <c r="S878" s="57"/>
      <c r="T878" s="57"/>
      <c r="U878" s="57"/>
      <c r="V878" s="57"/>
    </row>
    <row r="879" spans="1:22" x14ac:dyDescent="0.2">
      <c r="A879" s="46" t="s">
        <v>360</v>
      </c>
      <c r="B879" s="24" t="s">
        <v>18</v>
      </c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5"/>
    </row>
    <row r="880" spans="1:22" x14ac:dyDescent="0.2">
      <c r="A880" s="47" t="s">
        <v>30</v>
      </c>
      <c r="B880" s="82" t="s">
        <v>249</v>
      </c>
      <c r="C880" s="82"/>
      <c r="D880" s="82"/>
      <c r="E880" s="82"/>
      <c r="F880" s="82"/>
      <c r="G880" s="82"/>
      <c r="H880" s="82"/>
      <c r="I880" s="82"/>
      <c r="J880" s="82"/>
      <c r="K880" s="82"/>
      <c r="L880" s="82"/>
      <c r="M880" s="82"/>
      <c r="N880" s="82"/>
      <c r="O880" s="82"/>
      <c r="P880" s="82"/>
      <c r="Q880" s="82"/>
      <c r="R880" s="82"/>
      <c r="S880" s="82"/>
      <c r="T880" s="82"/>
      <c r="U880" s="82"/>
      <c r="V880" s="82"/>
    </row>
    <row r="881" spans="1:22" ht="99.95" customHeight="1" x14ac:dyDescent="0.2">
      <c r="A881" s="47"/>
      <c r="B881" s="60" t="s">
        <v>348</v>
      </c>
      <c r="C881" s="61" t="s">
        <v>348</v>
      </c>
      <c r="D881" s="61"/>
      <c r="E881" s="61"/>
      <c r="F881" s="61"/>
      <c r="G881" s="61"/>
      <c r="H881" s="61"/>
      <c r="I881" s="62"/>
      <c r="J881" s="57" t="s">
        <v>143</v>
      </c>
      <c r="K881" s="57"/>
      <c r="L881" s="57" t="s">
        <v>61</v>
      </c>
      <c r="M881" s="57" t="s">
        <v>349</v>
      </c>
      <c r="N881" s="57" t="s">
        <v>120</v>
      </c>
      <c r="O881" s="57" t="s">
        <v>120</v>
      </c>
      <c r="P881" s="57" t="s">
        <v>120</v>
      </c>
      <c r="Q881" s="85">
        <v>2125371.67</v>
      </c>
      <c r="R881" s="57" t="s">
        <v>9</v>
      </c>
      <c r="S881" s="57" t="s">
        <v>10</v>
      </c>
      <c r="T881" s="57" t="s">
        <v>17</v>
      </c>
      <c r="U881" s="57"/>
      <c r="V881" s="57" t="s">
        <v>483</v>
      </c>
    </row>
    <row r="882" spans="1:22" x14ac:dyDescent="0.2">
      <c r="A882" s="47"/>
      <c r="B882" s="59" t="s">
        <v>5</v>
      </c>
      <c r="C882" s="59" t="s">
        <v>5</v>
      </c>
      <c r="D882" s="9">
        <f>SUM(D883:D886)</f>
        <v>692198.84208999993</v>
      </c>
      <c r="E882" s="10">
        <f t="shared" ref="E882" si="117">SUM(E883:E886)</f>
        <v>2047.3690900000001</v>
      </c>
      <c r="F882" s="10"/>
      <c r="G882" s="10"/>
      <c r="H882" s="10">
        <f t="shared" ref="H882:I882" si="118">SUM(H883:H886)</f>
        <v>530005.48699999996</v>
      </c>
      <c r="I882" s="10">
        <f t="shared" si="118"/>
        <v>160145.986</v>
      </c>
      <c r="J882" s="57"/>
      <c r="K882" s="57"/>
      <c r="L882" s="57"/>
      <c r="M882" s="57"/>
      <c r="N882" s="57"/>
      <c r="O882" s="57"/>
      <c r="P882" s="57"/>
      <c r="Q882" s="85"/>
      <c r="R882" s="57"/>
      <c r="S882" s="57"/>
      <c r="T882" s="57"/>
      <c r="U882" s="57"/>
      <c r="V882" s="57"/>
    </row>
    <row r="883" spans="1:22" x14ac:dyDescent="0.2">
      <c r="A883" s="47"/>
      <c r="B883" s="59" t="s">
        <v>0</v>
      </c>
      <c r="C883" s="59" t="s">
        <v>0</v>
      </c>
      <c r="D883" s="9">
        <f>E883+F883+G883+H883+I883</f>
        <v>0</v>
      </c>
      <c r="E883" s="10"/>
      <c r="F883" s="10"/>
      <c r="G883" s="10"/>
      <c r="H883" s="10"/>
      <c r="I883" s="10"/>
      <c r="J883" s="57"/>
      <c r="K883" s="57"/>
      <c r="L883" s="57"/>
      <c r="M883" s="57"/>
      <c r="N883" s="57"/>
      <c r="O883" s="57"/>
      <c r="P883" s="57"/>
      <c r="Q883" s="85"/>
      <c r="R883" s="57"/>
      <c r="S883" s="57"/>
      <c r="T883" s="57"/>
      <c r="U883" s="57"/>
      <c r="V883" s="57"/>
    </row>
    <row r="884" spans="1:22" x14ac:dyDescent="0.2">
      <c r="A884" s="47"/>
      <c r="B884" s="59" t="s">
        <v>1</v>
      </c>
      <c r="C884" s="59" t="s">
        <v>1</v>
      </c>
      <c r="D884" s="9">
        <f>E884+F884+G884+H884+I884</f>
        <v>627457.79908999999</v>
      </c>
      <c r="E884" s="13">
        <f>20000-19952.63091</f>
        <v>47.369090000000142</v>
      </c>
      <c r="F884" s="10"/>
      <c r="G884" s="10"/>
      <c r="H884" s="10">
        <v>481823.17</v>
      </c>
      <c r="I884" s="10">
        <v>145587.26</v>
      </c>
      <c r="J884" s="57"/>
      <c r="K884" s="57"/>
      <c r="L884" s="57"/>
      <c r="M884" s="57"/>
      <c r="N884" s="57"/>
      <c r="O884" s="57"/>
      <c r="P884" s="57"/>
      <c r="Q884" s="85"/>
      <c r="R884" s="57"/>
      <c r="S884" s="57"/>
      <c r="T884" s="57"/>
      <c r="U884" s="57"/>
      <c r="V884" s="57"/>
    </row>
    <row r="885" spans="1:22" x14ac:dyDescent="0.2">
      <c r="A885" s="47"/>
      <c r="B885" s="59" t="s">
        <v>2</v>
      </c>
      <c r="C885" s="59" t="s">
        <v>2</v>
      </c>
      <c r="D885" s="9">
        <f>E885+F885+G885+H885+I885</f>
        <v>64741.043000000005</v>
      </c>
      <c r="E885" s="10">
        <v>2000</v>
      </c>
      <c r="F885" s="10"/>
      <c r="G885" s="10"/>
      <c r="H885" s="10">
        <v>48182.317000000003</v>
      </c>
      <c r="I885" s="10">
        <v>14558.726000000001</v>
      </c>
      <c r="J885" s="57"/>
      <c r="K885" s="57"/>
      <c r="L885" s="57"/>
      <c r="M885" s="57"/>
      <c r="N885" s="57"/>
      <c r="O885" s="57"/>
      <c r="P885" s="57"/>
      <c r="Q885" s="85"/>
      <c r="R885" s="57"/>
      <c r="S885" s="57"/>
      <c r="T885" s="57"/>
      <c r="U885" s="57"/>
      <c r="V885" s="57"/>
    </row>
    <row r="886" spans="1:22" ht="21" customHeight="1" x14ac:dyDescent="0.2">
      <c r="A886" s="48"/>
      <c r="B886" s="59" t="s">
        <v>3</v>
      </c>
      <c r="C886" s="59" t="s">
        <v>3</v>
      </c>
      <c r="D886" s="9">
        <f>E886+F886+G886+H886+I886</f>
        <v>0</v>
      </c>
      <c r="E886" s="10"/>
      <c r="F886" s="10"/>
      <c r="G886" s="10"/>
      <c r="H886" s="10"/>
      <c r="I886" s="10"/>
      <c r="J886" s="57"/>
      <c r="K886" s="57"/>
      <c r="L886" s="57"/>
      <c r="M886" s="57"/>
      <c r="N886" s="57"/>
      <c r="O886" s="57"/>
      <c r="P886" s="57"/>
      <c r="Q886" s="85"/>
      <c r="R886" s="57"/>
      <c r="S886" s="57"/>
      <c r="T886" s="57"/>
      <c r="U886" s="57"/>
      <c r="V886" s="57"/>
    </row>
    <row r="887" spans="1:22" x14ac:dyDescent="0.2">
      <c r="A887" s="46" t="s">
        <v>395</v>
      </c>
      <c r="B887" s="24" t="s">
        <v>18</v>
      </c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5"/>
    </row>
    <row r="888" spans="1:22" x14ac:dyDescent="0.2">
      <c r="A888" s="47" t="s">
        <v>30</v>
      </c>
      <c r="B888" s="82" t="s">
        <v>95</v>
      </c>
      <c r="C888" s="82"/>
      <c r="D888" s="82"/>
      <c r="E888" s="82"/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2"/>
      <c r="Q888" s="82"/>
      <c r="R888" s="82"/>
      <c r="S888" s="82"/>
      <c r="T888" s="82"/>
      <c r="U888" s="82"/>
      <c r="V888" s="82"/>
    </row>
    <row r="889" spans="1:22" ht="99.95" customHeight="1" x14ac:dyDescent="0.2">
      <c r="A889" s="47"/>
      <c r="B889" s="60" t="s">
        <v>431</v>
      </c>
      <c r="C889" s="61" t="s">
        <v>344</v>
      </c>
      <c r="D889" s="61"/>
      <c r="E889" s="61"/>
      <c r="F889" s="61"/>
      <c r="G889" s="61"/>
      <c r="H889" s="61"/>
      <c r="I889" s="62"/>
      <c r="J889" s="57"/>
      <c r="K889" s="57" t="s">
        <v>66</v>
      </c>
      <c r="L889" s="57" t="s">
        <v>60</v>
      </c>
      <c r="M889" s="57" t="s">
        <v>345</v>
      </c>
      <c r="N889" s="57" t="s">
        <v>19</v>
      </c>
      <c r="O889" s="57" t="s">
        <v>18</v>
      </c>
      <c r="P889" s="57" t="s">
        <v>19</v>
      </c>
      <c r="Q889" s="85">
        <v>12000</v>
      </c>
      <c r="R889" s="57" t="s">
        <v>11</v>
      </c>
      <c r="S889" s="57" t="s">
        <v>10</v>
      </c>
      <c r="T889" s="57" t="s">
        <v>171</v>
      </c>
      <c r="U889" s="57"/>
      <c r="V889" s="57"/>
    </row>
    <row r="890" spans="1:22" x14ac:dyDescent="0.2">
      <c r="A890" s="47"/>
      <c r="B890" s="59" t="s">
        <v>5</v>
      </c>
      <c r="C890" s="59" t="s">
        <v>5</v>
      </c>
      <c r="D890" s="9">
        <f>SUM(D891:D894)</f>
        <v>12000</v>
      </c>
      <c r="E890" s="10">
        <f>SUM(E891:E894)</f>
        <v>12000</v>
      </c>
      <c r="F890" s="10"/>
      <c r="G890" s="10"/>
      <c r="H890" s="10"/>
      <c r="I890" s="10"/>
      <c r="J890" s="57"/>
      <c r="K890" s="57"/>
      <c r="L890" s="57"/>
      <c r="M890" s="57"/>
      <c r="N890" s="57"/>
      <c r="O890" s="57"/>
      <c r="P890" s="57"/>
      <c r="Q890" s="85"/>
      <c r="R890" s="57"/>
      <c r="S890" s="57"/>
      <c r="T890" s="57"/>
      <c r="U890" s="57"/>
      <c r="V890" s="57"/>
    </row>
    <row r="891" spans="1:22" x14ac:dyDescent="0.2">
      <c r="A891" s="47"/>
      <c r="B891" s="59" t="s">
        <v>0</v>
      </c>
      <c r="C891" s="59" t="s">
        <v>0</v>
      </c>
      <c r="D891" s="9">
        <f>E891+F891+G891+H891+I891</f>
        <v>0</v>
      </c>
      <c r="E891" s="10"/>
      <c r="F891" s="10"/>
      <c r="G891" s="10"/>
      <c r="H891" s="10"/>
      <c r="I891" s="10"/>
      <c r="J891" s="57"/>
      <c r="K891" s="57"/>
      <c r="L891" s="57"/>
      <c r="M891" s="57"/>
      <c r="N891" s="57"/>
      <c r="O891" s="57"/>
      <c r="P891" s="57"/>
      <c r="Q891" s="85"/>
      <c r="R891" s="57"/>
      <c r="S891" s="57"/>
      <c r="T891" s="57"/>
      <c r="U891" s="57"/>
      <c r="V891" s="57"/>
    </row>
    <row r="892" spans="1:22" x14ac:dyDescent="0.2">
      <c r="A892" s="47"/>
      <c r="B892" s="59" t="s">
        <v>1</v>
      </c>
      <c r="C892" s="59" t="s">
        <v>1</v>
      </c>
      <c r="D892" s="9">
        <f>E892+F892+G892+H892+I892</f>
        <v>12000</v>
      </c>
      <c r="E892" s="10">
        <v>12000</v>
      </c>
      <c r="F892" s="10"/>
      <c r="G892" s="10"/>
      <c r="H892" s="10"/>
      <c r="I892" s="10"/>
      <c r="J892" s="57"/>
      <c r="K892" s="57"/>
      <c r="L892" s="57"/>
      <c r="M892" s="57"/>
      <c r="N892" s="57"/>
      <c r="O892" s="57"/>
      <c r="P892" s="57"/>
      <c r="Q892" s="85"/>
      <c r="R892" s="57"/>
      <c r="S892" s="57"/>
      <c r="T892" s="57"/>
      <c r="U892" s="57"/>
      <c r="V892" s="57"/>
    </row>
    <row r="893" spans="1:22" x14ac:dyDescent="0.2">
      <c r="A893" s="47"/>
      <c r="B893" s="59" t="s">
        <v>2</v>
      </c>
      <c r="C893" s="59" t="s">
        <v>2</v>
      </c>
      <c r="D893" s="9">
        <f>E893+F893+G893+H893+I893</f>
        <v>0</v>
      </c>
      <c r="E893" s="10"/>
      <c r="F893" s="10"/>
      <c r="G893" s="10"/>
      <c r="H893" s="10"/>
      <c r="I893" s="10"/>
      <c r="J893" s="57"/>
      <c r="K893" s="57"/>
      <c r="L893" s="57"/>
      <c r="M893" s="57"/>
      <c r="N893" s="57"/>
      <c r="O893" s="57"/>
      <c r="P893" s="57"/>
      <c r="Q893" s="85"/>
      <c r="R893" s="57"/>
      <c r="S893" s="57"/>
      <c r="T893" s="57"/>
      <c r="U893" s="57"/>
      <c r="V893" s="57"/>
    </row>
    <row r="894" spans="1:22" ht="21" customHeight="1" x14ac:dyDescent="0.2">
      <c r="A894" s="48"/>
      <c r="B894" s="59" t="s">
        <v>3</v>
      </c>
      <c r="C894" s="59" t="s">
        <v>3</v>
      </c>
      <c r="D894" s="9">
        <f>E894+F894+G894+H894+I894</f>
        <v>0</v>
      </c>
      <c r="E894" s="10"/>
      <c r="F894" s="10"/>
      <c r="G894" s="10"/>
      <c r="H894" s="10"/>
      <c r="I894" s="10"/>
      <c r="J894" s="57"/>
      <c r="K894" s="57"/>
      <c r="L894" s="57"/>
      <c r="M894" s="57"/>
      <c r="N894" s="57"/>
      <c r="O894" s="57"/>
      <c r="P894" s="57"/>
      <c r="Q894" s="85"/>
      <c r="R894" s="57"/>
      <c r="S894" s="57"/>
      <c r="T894" s="57"/>
      <c r="U894" s="57"/>
      <c r="V894" s="57"/>
    </row>
    <row r="895" spans="1:22" x14ac:dyDescent="0.2">
      <c r="A895" s="46" t="s">
        <v>361</v>
      </c>
      <c r="B895" s="24" t="s">
        <v>18</v>
      </c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5"/>
    </row>
    <row r="896" spans="1:22" x14ac:dyDescent="0.2">
      <c r="A896" s="47" t="s">
        <v>30</v>
      </c>
      <c r="B896" s="82" t="s">
        <v>270</v>
      </c>
      <c r="C896" s="82"/>
      <c r="D896" s="82"/>
      <c r="E896" s="82"/>
      <c r="F896" s="82"/>
      <c r="G896" s="82"/>
      <c r="H896" s="82"/>
      <c r="I896" s="82"/>
      <c r="J896" s="82"/>
      <c r="K896" s="82"/>
      <c r="L896" s="82"/>
      <c r="M896" s="82"/>
      <c r="N896" s="82"/>
      <c r="O896" s="82"/>
      <c r="P896" s="82"/>
      <c r="Q896" s="82"/>
      <c r="R896" s="82"/>
      <c r="S896" s="82"/>
      <c r="T896" s="82"/>
      <c r="U896" s="82"/>
      <c r="V896" s="82"/>
    </row>
    <row r="897" spans="1:22" ht="99.95" customHeight="1" x14ac:dyDescent="0.2">
      <c r="A897" s="47"/>
      <c r="B897" s="60" t="s">
        <v>559</v>
      </c>
      <c r="C897" s="61" t="s">
        <v>393</v>
      </c>
      <c r="D897" s="61"/>
      <c r="E897" s="61"/>
      <c r="F897" s="61"/>
      <c r="G897" s="61"/>
      <c r="H897" s="61"/>
      <c r="I897" s="62"/>
      <c r="J897" s="69" t="s">
        <v>117</v>
      </c>
      <c r="K897" s="57"/>
      <c r="L897" s="57" t="s">
        <v>59</v>
      </c>
      <c r="M897" s="57" t="s">
        <v>493</v>
      </c>
      <c r="N897" s="57" t="s">
        <v>289</v>
      </c>
      <c r="O897" s="57" t="s">
        <v>289</v>
      </c>
      <c r="P897" s="57" t="s">
        <v>289</v>
      </c>
      <c r="Q897" s="85">
        <v>70000</v>
      </c>
      <c r="R897" s="57" t="s">
        <v>11</v>
      </c>
      <c r="S897" s="57" t="s">
        <v>343</v>
      </c>
      <c r="T897" s="57" t="s">
        <v>342</v>
      </c>
      <c r="U897" s="57"/>
      <c r="V897" s="57"/>
    </row>
    <row r="898" spans="1:22" x14ac:dyDescent="0.2">
      <c r="A898" s="47"/>
      <c r="B898" s="59" t="s">
        <v>5</v>
      </c>
      <c r="C898" s="59" t="s">
        <v>5</v>
      </c>
      <c r="D898" s="9">
        <f>SUM(D899:D902)</f>
        <v>260100</v>
      </c>
      <c r="E898" s="10">
        <f>SUM(E899:E902)</f>
        <v>100100</v>
      </c>
      <c r="F898" s="10">
        <f>SUM(F899:F902)</f>
        <v>160000</v>
      </c>
      <c r="G898" s="10"/>
      <c r="H898" s="10"/>
      <c r="I898" s="10"/>
      <c r="J898" s="69"/>
      <c r="K898" s="57"/>
      <c r="L898" s="57"/>
      <c r="M898" s="57"/>
      <c r="N898" s="57"/>
      <c r="O898" s="57"/>
      <c r="P898" s="57"/>
      <c r="Q898" s="85"/>
      <c r="R898" s="57"/>
      <c r="S898" s="57"/>
      <c r="T898" s="57"/>
      <c r="U898" s="57"/>
      <c r="V898" s="57"/>
    </row>
    <row r="899" spans="1:22" x14ac:dyDescent="0.2">
      <c r="A899" s="47"/>
      <c r="B899" s="59" t="s">
        <v>0</v>
      </c>
      <c r="C899" s="59" t="s">
        <v>0</v>
      </c>
      <c r="D899" s="9">
        <f>E899+F899+G899+H899+I899</f>
        <v>0</v>
      </c>
      <c r="E899" s="10"/>
      <c r="F899" s="10"/>
      <c r="G899" s="10"/>
      <c r="H899" s="10"/>
      <c r="I899" s="10"/>
      <c r="J899" s="69"/>
      <c r="K899" s="57"/>
      <c r="L899" s="57"/>
      <c r="M899" s="57"/>
      <c r="N899" s="57"/>
      <c r="O899" s="57"/>
      <c r="P899" s="57"/>
      <c r="Q899" s="85"/>
      <c r="R899" s="57"/>
      <c r="S899" s="57"/>
      <c r="T899" s="57"/>
      <c r="U899" s="57"/>
      <c r="V899" s="57"/>
    </row>
    <row r="900" spans="1:22" x14ac:dyDescent="0.2">
      <c r="A900" s="47"/>
      <c r="B900" s="59" t="s">
        <v>1</v>
      </c>
      <c r="C900" s="59" t="s">
        <v>1</v>
      </c>
      <c r="D900" s="9">
        <f>E900+F900+G900+H900+I900</f>
        <v>260100</v>
      </c>
      <c r="E900" s="10">
        <f>0+100100</f>
        <v>100100</v>
      </c>
      <c r="F900" s="10">
        <v>160000</v>
      </c>
      <c r="G900" s="10"/>
      <c r="H900" s="10"/>
      <c r="I900" s="10"/>
      <c r="J900" s="69"/>
      <c r="K900" s="57"/>
      <c r="L900" s="57"/>
      <c r="M900" s="57"/>
      <c r="N900" s="57"/>
      <c r="O900" s="57"/>
      <c r="P900" s="57"/>
      <c r="Q900" s="85"/>
      <c r="R900" s="57"/>
      <c r="S900" s="57"/>
      <c r="T900" s="57"/>
      <c r="U900" s="57"/>
      <c r="V900" s="57"/>
    </row>
    <row r="901" spans="1:22" x14ac:dyDescent="0.2">
      <c r="A901" s="47"/>
      <c r="B901" s="59" t="s">
        <v>2</v>
      </c>
      <c r="C901" s="59" t="s">
        <v>2</v>
      </c>
      <c r="D901" s="9">
        <f>E901+F901+G901+H901+I901</f>
        <v>0</v>
      </c>
      <c r="E901" s="10"/>
      <c r="F901" s="10"/>
      <c r="G901" s="10"/>
      <c r="H901" s="10"/>
      <c r="I901" s="10"/>
      <c r="J901" s="69"/>
      <c r="K901" s="57"/>
      <c r="L901" s="57"/>
      <c r="M901" s="57"/>
      <c r="N901" s="57"/>
      <c r="O901" s="57"/>
      <c r="P901" s="57"/>
      <c r="Q901" s="85"/>
      <c r="R901" s="57"/>
      <c r="S901" s="57"/>
      <c r="T901" s="57"/>
      <c r="U901" s="57"/>
      <c r="V901" s="57"/>
    </row>
    <row r="902" spans="1:22" ht="21" customHeight="1" x14ac:dyDescent="0.2">
      <c r="A902" s="48"/>
      <c r="B902" s="59" t="s">
        <v>3</v>
      </c>
      <c r="C902" s="59" t="s">
        <v>3</v>
      </c>
      <c r="D902" s="9">
        <f>E902+F902+G902+H902+I902</f>
        <v>0</v>
      </c>
      <c r="E902" s="10"/>
      <c r="F902" s="10"/>
      <c r="G902" s="10"/>
      <c r="H902" s="10"/>
      <c r="I902" s="10"/>
      <c r="J902" s="69"/>
      <c r="K902" s="57"/>
      <c r="L902" s="57"/>
      <c r="M902" s="57"/>
      <c r="N902" s="57"/>
      <c r="O902" s="57"/>
      <c r="P902" s="57"/>
      <c r="Q902" s="85"/>
      <c r="R902" s="57"/>
      <c r="S902" s="57"/>
      <c r="T902" s="57"/>
      <c r="U902" s="57"/>
      <c r="V902" s="57"/>
    </row>
    <row r="903" spans="1:22" x14ac:dyDescent="0.2">
      <c r="A903" s="46" t="s">
        <v>362</v>
      </c>
      <c r="B903" s="24" t="s">
        <v>18</v>
      </c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5"/>
    </row>
    <row r="904" spans="1:22" x14ac:dyDescent="0.2">
      <c r="A904" s="47" t="s">
        <v>30</v>
      </c>
      <c r="B904" s="82" t="s">
        <v>270</v>
      </c>
      <c r="C904" s="82"/>
      <c r="D904" s="82"/>
      <c r="E904" s="82"/>
      <c r="F904" s="82"/>
      <c r="G904" s="82"/>
      <c r="H904" s="82"/>
      <c r="I904" s="82"/>
      <c r="J904" s="82"/>
      <c r="K904" s="82"/>
      <c r="L904" s="82"/>
      <c r="M904" s="82"/>
      <c r="N904" s="82"/>
      <c r="O904" s="82"/>
      <c r="P904" s="82"/>
      <c r="Q904" s="82"/>
      <c r="R904" s="82"/>
      <c r="S904" s="82"/>
      <c r="T904" s="82"/>
      <c r="U904" s="82"/>
      <c r="V904" s="82"/>
    </row>
    <row r="905" spans="1:22" ht="99.95" customHeight="1" x14ac:dyDescent="0.2">
      <c r="A905" s="47"/>
      <c r="B905" s="54" t="s">
        <v>530</v>
      </c>
      <c r="C905" s="55" t="s">
        <v>341</v>
      </c>
      <c r="D905" s="55"/>
      <c r="E905" s="55"/>
      <c r="F905" s="55"/>
      <c r="G905" s="55"/>
      <c r="H905" s="55"/>
      <c r="I905" s="56"/>
      <c r="J905" s="57" t="s">
        <v>117</v>
      </c>
      <c r="K905" s="57"/>
      <c r="L905" s="57" t="s">
        <v>59</v>
      </c>
      <c r="M905" s="57" t="s">
        <v>492</v>
      </c>
      <c r="N905" s="57" t="s">
        <v>289</v>
      </c>
      <c r="O905" s="57" t="s">
        <v>289</v>
      </c>
      <c r="P905" s="57" t="s">
        <v>289</v>
      </c>
      <c r="Q905" s="85">
        <v>718200</v>
      </c>
      <c r="R905" s="57" t="s">
        <v>11</v>
      </c>
      <c r="S905" s="57" t="s">
        <v>14</v>
      </c>
      <c r="T905" s="57" t="s">
        <v>342</v>
      </c>
      <c r="U905" s="57"/>
      <c r="V905" s="57"/>
    </row>
    <row r="906" spans="1:22" x14ac:dyDescent="0.2">
      <c r="A906" s="47"/>
      <c r="B906" s="30" t="s">
        <v>5</v>
      </c>
      <c r="C906" s="30" t="s">
        <v>5</v>
      </c>
      <c r="D906" s="12">
        <f>SUM(D907:D910)</f>
        <v>85380</v>
      </c>
      <c r="E906" s="13">
        <f t="shared" ref="E906" si="119">SUM(E907:E910)</f>
        <v>85380</v>
      </c>
      <c r="F906" s="13"/>
      <c r="G906" s="13"/>
      <c r="H906" s="13"/>
      <c r="I906" s="13"/>
      <c r="J906" s="57"/>
      <c r="K906" s="57"/>
      <c r="L906" s="57"/>
      <c r="M906" s="57"/>
      <c r="N906" s="57"/>
      <c r="O906" s="57"/>
      <c r="P906" s="57"/>
      <c r="Q906" s="85"/>
      <c r="R906" s="57"/>
      <c r="S906" s="57"/>
      <c r="T906" s="57"/>
      <c r="U906" s="57"/>
      <c r="V906" s="57"/>
    </row>
    <row r="907" spans="1:22" x14ac:dyDescent="0.2">
      <c r="A907" s="47"/>
      <c r="B907" s="30" t="s">
        <v>0</v>
      </c>
      <c r="C907" s="30" t="s">
        <v>0</v>
      </c>
      <c r="D907" s="12">
        <f>E907+F907+G907+H907+I907</f>
        <v>0</v>
      </c>
      <c r="E907" s="13"/>
      <c r="F907" s="13"/>
      <c r="G907" s="13"/>
      <c r="H907" s="13"/>
      <c r="I907" s="13"/>
      <c r="J907" s="57"/>
      <c r="K907" s="57"/>
      <c r="L907" s="57"/>
      <c r="M907" s="57"/>
      <c r="N907" s="57"/>
      <c r="O907" s="57"/>
      <c r="P907" s="57"/>
      <c r="Q907" s="85"/>
      <c r="R907" s="57"/>
      <c r="S907" s="57"/>
      <c r="T907" s="57"/>
      <c r="U907" s="57"/>
      <c r="V907" s="57"/>
    </row>
    <row r="908" spans="1:22" x14ac:dyDescent="0.2">
      <c r="A908" s="47"/>
      <c r="B908" s="30" t="s">
        <v>1</v>
      </c>
      <c r="C908" s="30" t="s">
        <v>1</v>
      </c>
      <c r="D908" s="12">
        <f>E908+F908+G908+H908+I908</f>
        <v>85380</v>
      </c>
      <c r="E908" s="13">
        <v>85380</v>
      </c>
      <c r="F908" s="13"/>
      <c r="G908" s="13"/>
      <c r="H908" s="13"/>
      <c r="I908" s="13"/>
      <c r="J908" s="57"/>
      <c r="K908" s="57"/>
      <c r="L908" s="57"/>
      <c r="M908" s="57"/>
      <c r="N908" s="57"/>
      <c r="O908" s="57"/>
      <c r="P908" s="57"/>
      <c r="Q908" s="85"/>
      <c r="R908" s="57"/>
      <c r="S908" s="57"/>
      <c r="T908" s="57"/>
      <c r="U908" s="57"/>
      <c r="V908" s="57"/>
    </row>
    <row r="909" spans="1:22" x14ac:dyDescent="0.2">
      <c r="A909" s="47"/>
      <c r="B909" s="30" t="s">
        <v>2</v>
      </c>
      <c r="C909" s="30" t="s">
        <v>2</v>
      </c>
      <c r="D909" s="12">
        <f>E909+F909+G909+H909+I909</f>
        <v>0</v>
      </c>
      <c r="E909" s="13"/>
      <c r="F909" s="13"/>
      <c r="G909" s="13"/>
      <c r="H909" s="13"/>
      <c r="I909" s="13"/>
      <c r="J909" s="57"/>
      <c r="K909" s="57"/>
      <c r="L909" s="57"/>
      <c r="M909" s="57"/>
      <c r="N909" s="57"/>
      <c r="O909" s="57"/>
      <c r="P909" s="57"/>
      <c r="Q909" s="85"/>
      <c r="R909" s="57"/>
      <c r="S909" s="57"/>
      <c r="T909" s="57"/>
      <c r="U909" s="57"/>
      <c r="V909" s="57"/>
    </row>
    <row r="910" spans="1:22" ht="21" customHeight="1" x14ac:dyDescent="0.2">
      <c r="A910" s="48"/>
      <c r="B910" s="59" t="s">
        <v>3</v>
      </c>
      <c r="C910" s="59" t="s">
        <v>3</v>
      </c>
      <c r="D910" s="9">
        <f>E910+F910+G910+H910+I910</f>
        <v>0</v>
      </c>
      <c r="E910" s="10"/>
      <c r="F910" s="10"/>
      <c r="G910" s="10"/>
      <c r="H910" s="10"/>
      <c r="I910" s="10"/>
      <c r="J910" s="57"/>
      <c r="K910" s="57"/>
      <c r="L910" s="57"/>
      <c r="M910" s="57"/>
      <c r="N910" s="57"/>
      <c r="O910" s="57"/>
      <c r="P910" s="57"/>
      <c r="Q910" s="85"/>
      <c r="R910" s="57"/>
      <c r="S910" s="57"/>
      <c r="T910" s="57"/>
      <c r="U910" s="57"/>
      <c r="V910" s="57"/>
    </row>
    <row r="911" spans="1:22" x14ac:dyDescent="0.2">
      <c r="A911" s="46" t="s">
        <v>400</v>
      </c>
      <c r="B911" s="24" t="s">
        <v>18</v>
      </c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5"/>
    </row>
    <row r="912" spans="1:22" x14ac:dyDescent="0.2">
      <c r="A912" s="47" t="s">
        <v>30</v>
      </c>
      <c r="B912" s="82" t="s">
        <v>270</v>
      </c>
      <c r="C912" s="82"/>
      <c r="D912" s="82"/>
      <c r="E912" s="82"/>
      <c r="F912" s="82"/>
      <c r="G912" s="82"/>
      <c r="H912" s="82"/>
      <c r="I912" s="82"/>
      <c r="J912" s="82"/>
      <c r="K912" s="82"/>
      <c r="L912" s="82"/>
      <c r="M912" s="82"/>
      <c r="N912" s="82"/>
      <c r="O912" s="82"/>
      <c r="P912" s="82"/>
      <c r="Q912" s="82"/>
      <c r="R912" s="82"/>
      <c r="S912" s="82"/>
      <c r="T912" s="82"/>
      <c r="U912" s="82"/>
      <c r="V912" s="82"/>
    </row>
    <row r="913" spans="1:22" ht="99.95" customHeight="1" x14ac:dyDescent="0.2">
      <c r="A913" s="47"/>
      <c r="B913" s="54" t="s">
        <v>273</v>
      </c>
      <c r="C913" s="55" t="s">
        <v>273</v>
      </c>
      <c r="D913" s="55"/>
      <c r="E913" s="55"/>
      <c r="F913" s="55"/>
      <c r="G913" s="55"/>
      <c r="H913" s="55"/>
      <c r="I913" s="56"/>
      <c r="J913" s="69" t="s">
        <v>66</v>
      </c>
      <c r="K913" s="69"/>
      <c r="L913" s="69" t="s">
        <v>59</v>
      </c>
      <c r="M913" s="69"/>
      <c r="N913" s="69" t="s">
        <v>289</v>
      </c>
      <c r="O913" s="69" t="s">
        <v>289</v>
      </c>
      <c r="P913" s="69" t="s">
        <v>289</v>
      </c>
      <c r="Q913" s="77"/>
      <c r="R913" s="69" t="s">
        <v>11</v>
      </c>
      <c r="S913" s="69"/>
      <c r="T913" s="69" t="s">
        <v>81</v>
      </c>
      <c r="U913" s="69"/>
      <c r="V913" s="69"/>
    </row>
    <row r="914" spans="1:22" x14ac:dyDescent="0.2">
      <c r="A914" s="47"/>
      <c r="B914" s="30" t="s">
        <v>5</v>
      </c>
      <c r="C914" s="30" t="s">
        <v>5</v>
      </c>
      <c r="D914" s="12">
        <f>SUM(D915:D918)</f>
        <v>138609.75</v>
      </c>
      <c r="E914" s="13">
        <f>SUM(E915:E918)</f>
        <v>48609.75</v>
      </c>
      <c r="F914" s="13">
        <f>SUM(F915:F918)</f>
        <v>90000</v>
      </c>
      <c r="G914" s="13"/>
      <c r="H914" s="13"/>
      <c r="I914" s="13"/>
      <c r="J914" s="69"/>
      <c r="K914" s="69"/>
      <c r="L914" s="69"/>
      <c r="M914" s="69"/>
      <c r="N914" s="69"/>
      <c r="O914" s="69"/>
      <c r="P914" s="69"/>
      <c r="Q914" s="77"/>
      <c r="R914" s="69"/>
      <c r="S914" s="69"/>
      <c r="T914" s="69"/>
      <c r="U914" s="69"/>
      <c r="V914" s="69"/>
    </row>
    <row r="915" spans="1:22" x14ac:dyDescent="0.2">
      <c r="A915" s="47"/>
      <c r="B915" s="30" t="s">
        <v>0</v>
      </c>
      <c r="C915" s="30" t="s">
        <v>0</v>
      </c>
      <c r="D915" s="12">
        <f>E915+F915+G915+H915+I915</f>
        <v>0</v>
      </c>
      <c r="E915" s="13"/>
      <c r="F915" s="13"/>
      <c r="G915" s="13"/>
      <c r="H915" s="13"/>
      <c r="I915" s="13"/>
      <c r="J915" s="69"/>
      <c r="K915" s="69"/>
      <c r="L915" s="69"/>
      <c r="M915" s="69"/>
      <c r="N915" s="69"/>
      <c r="O915" s="69"/>
      <c r="P915" s="69"/>
      <c r="Q915" s="77"/>
      <c r="R915" s="69"/>
      <c r="S915" s="69"/>
      <c r="T915" s="69"/>
      <c r="U915" s="69"/>
      <c r="V915" s="69"/>
    </row>
    <row r="916" spans="1:22" x14ac:dyDescent="0.2">
      <c r="A916" s="47"/>
      <c r="B916" s="30" t="s">
        <v>1</v>
      </c>
      <c r="C916" s="30" t="s">
        <v>1</v>
      </c>
      <c r="D916" s="12">
        <f>E916+F916+G916+H916+I916</f>
        <v>138609.75</v>
      </c>
      <c r="E916" s="13">
        <v>48609.75</v>
      </c>
      <c r="F916" s="13">
        <v>90000</v>
      </c>
      <c r="G916" s="13"/>
      <c r="H916" s="13"/>
      <c r="I916" s="13"/>
      <c r="J916" s="69"/>
      <c r="K916" s="69"/>
      <c r="L916" s="69"/>
      <c r="M916" s="69"/>
      <c r="N916" s="69"/>
      <c r="O916" s="69"/>
      <c r="P916" s="69"/>
      <c r="Q916" s="77"/>
      <c r="R916" s="69"/>
      <c r="S916" s="69"/>
      <c r="T916" s="69"/>
      <c r="U916" s="69"/>
      <c r="V916" s="69"/>
    </row>
    <row r="917" spans="1:22" x14ac:dyDescent="0.2">
      <c r="A917" s="47"/>
      <c r="B917" s="30" t="s">
        <v>2</v>
      </c>
      <c r="C917" s="30" t="s">
        <v>2</v>
      </c>
      <c r="D917" s="12">
        <f>E917+F917+G917+H917+I917</f>
        <v>0</v>
      </c>
      <c r="E917" s="13"/>
      <c r="F917" s="13"/>
      <c r="G917" s="13"/>
      <c r="H917" s="13"/>
      <c r="I917" s="13"/>
      <c r="J917" s="69"/>
      <c r="K917" s="69"/>
      <c r="L917" s="69"/>
      <c r="M917" s="69"/>
      <c r="N917" s="69"/>
      <c r="O917" s="69"/>
      <c r="P917" s="69"/>
      <c r="Q917" s="77"/>
      <c r="R917" s="69"/>
      <c r="S917" s="69"/>
      <c r="T917" s="69"/>
      <c r="U917" s="69"/>
      <c r="V917" s="69"/>
    </row>
    <row r="918" spans="1:22" ht="21" customHeight="1" x14ac:dyDescent="0.2">
      <c r="A918" s="48"/>
      <c r="B918" s="30" t="s">
        <v>3</v>
      </c>
      <c r="C918" s="30" t="s">
        <v>3</v>
      </c>
      <c r="D918" s="12">
        <f>E918+F918+G918+H918+I918</f>
        <v>0</v>
      </c>
      <c r="E918" s="13"/>
      <c r="F918" s="13"/>
      <c r="G918" s="13"/>
      <c r="H918" s="13"/>
      <c r="I918" s="13"/>
      <c r="J918" s="69"/>
      <c r="K918" s="69"/>
      <c r="L918" s="69"/>
      <c r="M918" s="69"/>
      <c r="N918" s="69"/>
      <c r="O918" s="69"/>
      <c r="P918" s="69"/>
      <c r="Q918" s="77"/>
      <c r="R918" s="69"/>
      <c r="S918" s="69"/>
      <c r="T918" s="69"/>
      <c r="U918" s="69"/>
      <c r="V918" s="69"/>
    </row>
    <row r="919" spans="1:22" x14ac:dyDescent="0.2">
      <c r="A919" s="46" t="s">
        <v>401</v>
      </c>
      <c r="B919" s="28" t="s">
        <v>18</v>
      </c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9"/>
    </row>
    <row r="920" spans="1:22" x14ac:dyDescent="0.2">
      <c r="A920" s="47" t="s">
        <v>30</v>
      </c>
      <c r="B920" s="26" t="s">
        <v>270</v>
      </c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</row>
    <row r="921" spans="1:22" ht="99.95" customHeight="1" x14ac:dyDescent="0.2">
      <c r="A921" s="47"/>
      <c r="B921" s="54" t="s">
        <v>275</v>
      </c>
      <c r="C921" s="55" t="s">
        <v>275</v>
      </c>
      <c r="D921" s="55"/>
      <c r="E921" s="55"/>
      <c r="F921" s="55"/>
      <c r="G921" s="55"/>
      <c r="H921" s="55"/>
      <c r="I921" s="56"/>
      <c r="J921" s="69" t="s">
        <v>66</v>
      </c>
      <c r="K921" s="69"/>
      <c r="L921" s="69" t="s">
        <v>59</v>
      </c>
      <c r="M921" s="69" t="s">
        <v>276</v>
      </c>
      <c r="N921" s="69" t="s">
        <v>289</v>
      </c>
      <c r="O921" s="69" t="s">
        <v>289</v>
      </c>
      <c r="P921" s="69" t="s">
        <v>289</v>
      </c>
      <c r="Q921" s="77"/>
      <c r="R921" s="69" t="s">
        <v>11</v>
      </c>
      <c r="S921" s="69"/>
      <c r="T921" s="69" t="s">
        <v>81</v>
      </c>
      <c r="U921" s="69"/>
      <c r="V921" s="69"/>
    </row>
    <row r="922" spans="1:22" x14ac:dyDescent="0.2">
      <c r="A922" s="47"/>
      <c r="B922" s="30" t="s">
        <v>5</v>
      </c>
      <c r="C922" s="30" t="s">
        <v>5</v>
      </c>
      <c r="D922" s="12">
        <f>SUM(D923:D926)</f>
        <v>77200</v>
      </c>
      <c r="E922" s="13">
        <f>SUM(E923:E926)</f>
        <v>27200</v>
      </c>
      <c r="F922" s="13">
        <f>SUM(F923:F926)</f>
        <v>50000</v>
      </c>
      <c r="G922" s="13"/>
      <c r="H922" s="13"/>
      <c r="I922" s="13"/>
      <c r="J922" s="69"/>
      <c r="K922" s="69"/>
      <c r="L922" s="69"/>
      <c r="M922" s="69"/>
      <c r="N922" s="69"/>
      <c r="O922" s="69"/>
      <c r="P922" s="69"/>
      <c r="Q922" s="77"/>
      <c r="R922" s="69"/>
      <c r="S922" s="69"/>
      <c r="T922" s="69"/>
      <c r="U922" s="69"/>
      <c r="V922" s="69"/>
    </row>
    <row r="923" spans="1:22" x14ac:dyDescent="0.2">
      <c r="A923" s="47"/>
      <c r="B923" s="30" t="s">
        <v>0</v>
      </c>
      <c r="C923" s="30" t="s">
        <v>0</v>
      </c>
      <c r="D923" s="12">
        <f>E923+F923+G923+H923+I923</f>
        <v>0</v>
      </c>
      <c r="E923" s="13"/>
      <c r="F923" s="13"/>
      <c r="G923" s="13"/>
      <c r="H923" s="13"/>
      <c r="I923" s="13"/>
      <c r="J923" s="69"/>
      <c r="K923" s="69"/>
      <c r="L923" s="69"/>
      <c r="M923" s="69"/>
      <c r="N923" s="69"/>
      <c r="O923" s="69"/>
      <c r="P923" s="69"/>
      <c r="Q923" s="77"/>
      <c r="R923" s="69"/>
      <c r="S923" s="69"/>
      <c r="T923" s="69"/>
      <c r="U923" s="69"/>
      <c r="V923" s="69"/>
    </row>
    <row r="924" spans="1:22" x14ac:dyDescent="0.2">
      <c r="A924" s="47"/>
      <c r="B924" s="30" t="s">
        <v>1</v>
      </c>
      <c r="C924" s="30" t="s">
        <v>1</v>
      </c>
      <c r="D924" s="12">
        <f>E924+F924+G924+H924+I924</f>
        <v>77200</v>
      </c>
      <c r="E924" s="13">
        <f>0+27200</f>
        <v>27200</v>
      </c>
      <c r="F924" s="13">
        <v>50000</v>
      </c>
      <c r="G924" s="13"/>
      <c r="H924" s="13"/>
      <c r="I924" s="13"/>
      <c r="J924" s="69"/>
      <c r="K924" s="69"/>
      <c r="L924" s="69"/>
      <c r="M924" s="69"/>
      <c r="N924" s="69"/>
      <c r="O924" s="69"/>
      <c r="P924" s="69"/>
      <c r="Q924" s="77"/>
      <c r="R924" s="69"/>
      <c r="S924" s="69"/>
      <c r="T924" s="69"/>
      <c r="U924" s="69"/>
      <c r="V924" s="69"/>
    </row>
    <row r="925" spans="1:22" x14ac:dyDescent="0.2">
      <c r="A925" s="47"/>
      <c r="B925" s="30" t="s">
        <v>2</v>
      </c>
      <c r="C925" s="30" t="s">
        <v>2</v>
      </c>
      <c r="D925" s="12">
        <f>E925+F925+G925+H925+I925</f>
        <v>0</v>
      </c>
      <c r="E925" s="13"/>
      <c r="F925" s="13"/>
      <c r="G925" s="13"/>
      <c r="H925" s="13"/>
      <c r="I925" s="13"/>
      <c r="J925" s="69"/>
      <c r="K925" s="69"/>
      <c r="L925" s="69"/>
      <c r="M925" s="69"/>
      <c r="N925" s="69"/>
      <c r="O925" s="69"/>
      <c r="P925" s="69"/>
      <c r="Q925" s="77"/>
      <c r="R925" s="69"/>
      <c r="S925" s="69"/>
      <c r="T925" s="69"/>
      <c r="U925" s="69"/>
      <c r="V925" s="69"/>
    </row>
    <row r="926" spans="1:22" ht="21" customHeight="1" x14ac:dyDescent="0.2">
      <c r="A926" s="48"/>
      <c r="B926" s="30" t="s">
        <v>3</v>
      </c>
      <c r="C926" s="30" t="s">
        <v>3</v>
      </c>
      <c r="D926" s="12">
        <f>E926+F926+G926+H926+I926</f>
        <v>0</v>
      </c>
      <c r="E926" s="13"/>
      <c r="F926" s="13"/>
      <c r="G926" s="13"/>
      <c r="H926" s="13"/>
      <c r="I926" s="13"/>
      <c r="J926" s="69"/>
      <c r="K926" s="69"/>
      <c r="L926" s="69"/>
      <c r="M926" s="69"/>
      <c r="N926" s="69"/>
      <c r="O926" s="69"/>
      <c r="P926" s="69"/>
      <c r="Q926" s="77"/>
      <c r="R926" s="69"/>
      <c r="S926" s="69"/>
      <c r="T926" s="69"/>
      <c r="U926" s="69"/>
      <c r="V926" s="69"/>
    </row>
    <row r="927" spans="1:22" s="11" customFormat="1" x14ac:dyDescent="0.2">
      <c r="A927" s="46" t="s">
        <v>402</v>
      </c>
      <c r="B927" s="24" t="s">
        <v>18</v>
      </c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5"/>
    </row>
    <row r="928" spans="1:22" s="11" customFormat="1" x14ac:dyDescent="0.2">
      <c r="A928" s="47" t="s">
        <v>30</v>
      </c>
      <c r="B928" s="82" t="s">
        <v>249</v>
      </c>
      <c r="C928" s="82"/>
      <c r="D928" s="82"/>
      <c r="E928" s="82"/>
      <c r="F928" s="82"/>
      <c r="G928" s="82"/>
      <c r="H928" s="82"/>
      <c r="I928" s="82"/>
      <c r="J928" s="82"/>
      <c r="K928" s="82"/>
      <c r="L928" s="82"/>
      <c r="M928" s="82"/>
      <c r="N928" s="82"/>
      <c r="O928" s="82"/>
      <c r="P928" s="82"/>
      <c r="Q928" s="82"/>
      <c r="R928" s="82"/>
      <c r="S928" s="82"/>
      <c r="T928" s="82"/>
      <c r="U928" s="82"/>
      <c r="V928" s="82"/>
    </row>
    <row r="929" spans="1:22" ht="99.95" customHeight="1" x14ac:dyDescent="0.2">
      <c r="A929" s="47"/>
      <c r="B929" s="60" t="s">
        <v>561</v>
      </c>
      <c r="C929" s="61" t="s">
        <v>259</v>
      </c>
      <c r="D929" s="61"/>
      <c r="E929" s="61"/>
      <c r="F929" s="61"/>
      <c r="G929" s="61"/>
      <c r="H929" s="61"/>
      <c r="I929" s="62"/>
      <c r="J929" s="69" t="s">
        <v>298</v>
      </c>
      <c r="K929" s="57"/>
      <c r="L929" s="57" t="s">
        <v>60</v>
      </c>
      <c r="M929" s="57" t="s">
        <v>118</v>
      </c>
      <c r="N929" s="57" t="s">
        <v>19</v>
      </c>
      <c r="O929" s="57" t="s">
        <v>289</v>
      </c>
      <c r="P929" s="57" t="s">
        <v>19</v>
      </c>
      <c r="Q929" s="85">
        <v>458460.66499999998</v>
      </c>
      <c r="R929" s="57" t="s">
        <v>11</v>
      </c>
      <c r="S929" s="57" t="s">
        <v>12</v>
      </c>
      <c r="T929" s="57" t="s">
        <v>17</v>
      </c>
      <c r="U929" s="57"/>
      <c r="V929" s="57" t="s">
        <v>472</v>
      </c>
    </row>
    <row r="930" spans="1:22" x14ac:dyDescent="0.2">
      <c r="A930" s="47"/>
      <c r="B930" s="59" t="s">
        <v>5</v>
      </c>
      <c r="C930" s="59" t="s">
        <v>5</v>
      </c>
      <c r="D930" s="9">
        <f>SUM(D931:D934)</f>
        <v>9007.7206800000004</v>
      </c>
      <c r="E930" s="10">
        <f>SUM(E931:E934)</f>
        <v>9007.7206800000004</v>
      </c>
      <c r="F930" s="10"/>
      <c r="G930" s="10"/>
      <c r="H930" s="10"/>
      <c r="I930" s="10"/>
      <c r="J930" s="69"/>
      <c r="K930" s="57"/>
      <c r="L930" s="57"/>
      <c r="M930" s="57"/>
      <c r="N930" s="57"/>
      <c r="O930" s="57"/>
      <c r="P930" s="57"/>
      <c r="Q930" s="85"/>
      <c r="R930" s="57"/>
      <c r="S930" s="57"/>
      <c r="T930" s="57"/>
      <c r="U930" s="57"/>
      <c r="V930" s="57"/>
    </row>
    <row r="931" spans="1:22" x14ac:dyDescent="0.2">
      <c r="A931" s="47"/>
      <c r="B931" s="59" t="s">
        <v>0</v>
      </c>
      <c r="C931" s="59" t="s">
        <v>0</v>
      </c>
      <c r="D931" s="9">
        <f>E931+F931+G931+H931+I931</f>
        <v>0</v>
      </c>
      <c r="E931" s="10"/>
      <c r="F931" s="10"/>
      <c r="G931" s="10"/>
      <c r="H931" s="10"/>
      <c r="I931" s="10"/>
      <c r="J931" s="69"/>
      <c r="K931" s="57"/>
      <c r="L931" s="57"/>
      <c r="M931" s="57"/>
      <c r="N931" s="57"/>
      <c r="O931" s="57"/>
      <c r="P931" s="57"/>
      <c r="Q931" s="85"/>
      <c r="R931" s="57"/>
      <c r="S931" s="57"/>
      <c r="T931" s="57"/>
      <c r="U931" s="57"/>
      <c r="V931" s="57"/>
    </row>
    <row r="932" spans="1:22" x14ac:dyDescent="0.2">
      <c r="A932" s="47"/>
      <c r="B932" s="59" t="s">
        <v>1</v>
      </c>
      <c r="C932" s="59" t="s">
        <v>1</v>
      </c>
      <c r="D932" s="9">
        <f>E932+F932+G932+H932+I932</f>
        <v>9007.7206800000004</v>
      </c>
      <c r="E932" s="10">
        <f>0+9007.72068</f>
        <v>9007.7206800000004</v>
      </c>
      <c r="F932" s="10"/>
      <c r="G932" s="10"/>
      <c r="H932" s="10"/>
      <c r="I932" s="10"/>
      <c r="J932" s="69"/>
      <c r="K932" s="57"/>
      <c r="L932" s="57"/>
      <c r="M932" s="57"/>
      <c r="N932" s="57"/>
      <c r="O932" s="57"/>
      <c r="P932" s="57"/>
      <c r="Q932" s="85"/>
      <c r="R932" s="57"/>
      <c r="S932" s="57"/>
      <c r="T932" s="57"/>
      <c r="U932" s="57"/>
      <c r="V932" s="57"/>
    </row>
    <row r="933" spans="1:22" x14ac:dyDescent="0.2">
      <c r="A933" s="47"/>
      <c r="B933" s="59" t="s">
        <v>2</v>
      </c>
      <c r="C933" s="59" t="s">
        <v>2</v>
      </c>
      <c r="D933" s="9">
        <f>E933+F933+G933+H933+I933</f>
        <v>0</v>
      </c>
      <c r="E933" s="10"/>
      <c r="F933" s="10"/>
      <c r="G933" s="10"/>
      <c r="H933" s="10"/>
      <c r="I933" s="10"/>
      <c r="J933" s="69"/>
      <c r="K933" s="57"/>
      <c r="L933" s="57"/>
      <c r="M933" s="57"/>
      <c r="N933" s="57"/>
      <c r="O933" s="57"/>
      <c r="P933" s="57"/>
      <c r="Q933" s="85"/>
      <c r="R933" s="57"/>
      <c r="S933" s="57"/>
      <c r="T933" s="57"/>
      <c r="U933" s="57"/>
      <c r="V933" s="57"/>
    </row>
    <row r="934" spans="1:22" ht="21" customHeight="1" x14ac:dyDescent="0.2">
      <c r="A934" s="48"/>
      <c r="B934" s="59" t="s">
        <v>3</v>
      </c>
      <c r="C934" s="59" t="s">
        <v>3</v>
      </c>
      <c r="D934" s="9">
        <f>E934+F934+G934+H934+I934</f>
        <v>0</v>
      </c>
      <c r="E934" s="10"/>
      <c r="F934" s="10"/>
      <c r="G934" s="10"/>
      <c r="H934" s="10"/>
      <c r="I934" s="10"/>
      <c r="J934" s="69"/>
      <c r="K934" s="57"/>
      <c r="L934" s="57"/>
      <c r="M934" s="57"/>
      <c r="N934" s="57"/>
      <c r="O934" s="57"/>
      <c r="P934" s="57"/>
      <c r="Q934" s="85"/>
      <c r="R934" s="57"/>
      <c r="S934" s="57"/>
      <c r="T934" s="57"/>
      <c r="U934" s="57"/>
      <c r="V934" s="57"/>
    </row>
    <row r="935" spans="1:22" x14ac:dyDescent="0.2">
      <c r="A935" s="46" t="s">
        <v>403</v>
      </c>
      <c r="B935" s="24" t="s">
        <v>18</v>
      </c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5"/>
    </row>
    <row r="936" spans="1:22" x14ac:dyDescent="0.2">
      <c r="A936" s="47" t="s">
        <v>30</v>
      </c>
      <c r="B936" s="82" t="s">
        <v>249</v>
      </c>
      <c r="C936" s="82"/>
      <c r="D936" s="82"/>
      <c r="E936" s="82"/>
      <c r="F936" s="82"/>
      <c r="G936" s="82"/>
      <c r="H936" s="82"/>
      <c r="I936" s="82"/>
      <c r="J936" s="82"/>
      <c r="K936" s="82"/>
      <c r="L936" s="82"/>
      <c r="M936" s="82"/>
      <c r="N936" s="82"/>
      <c r="O936" s="82"/>
      <c r="P936" s="82"/>
      <c r="Q936" s="82"/>
      <c r="R936" s="82"/>
      <c r="S936" s="82"/>
      <c r="T936" s="82"/>
      <c r="U936" s="82"/>
      <c r="V936" s="82"/>
    </row>
    <row r="937" spans="1:22" ht="99.95" customHeight="1" x14ac:dyDescent="0.2">
      <c r="A937" s="47"/>
      <c r="B937" s="60" t="s">
        <v>563</v>
      </c>
      <c r="C937" s="61" t="s">
        <v>327</v>
      </c>
      <c r="D937" s="61"/>
      <c r="E937" s="61"/>
      <c r="F937" s="61"/>
      <c r="G937" s="61"/>
      <c r="H937" s="61"/>
      <c r="I937" s="62"/>
      <c r="J937" s="69" t="s">
        <v>323</v>
      </c>
      <c r="K937" s="57"/>
      <c r="L937" s="57" t="s">
        <v>60</v>
      </c>
      <c r="M937" s="57" t="s">
        <v>328</v>
      </c>
      <c r="N937" s="57" t="s">
        <v>19</v>
      </c>
      <c r="O937" s="57" t="s">
        <v>289</v>
      </c>
      <c r="P937" s="57" t="s">
        <v>19</v>
      </c>
      <c r="Q937" s="85">
        <v>415696.70400000003</v>
      </c>
      <c r="R937" s="57" t="s">
        <v>11</v>
      </c>
      <c r="S937" s="57" t="s">
        <v>12</v>
      </c>
      <c r="T937" s="57" t="s">
        <v>17</v>
      </c>
      <c r="U937" s="57"/>
      <c r="V937" s="57" t="s">
        <v>480</v>
      </c>
    </row>
    <row r="938" spans="1:22" x14ac:dyDescent="0.2">
      <c r="A938" s="47"/>
      <c r="B938" s="59" t="s">
        <v>5</v>
      </c>
      <c r="C938" s="59" t="s">
        <v>5</v>
      </c>
      <c r="D938" s="9">
        <f>SUM(D939:D942)</f>
        <v>432.44484999999997</v>
      </c>
      <c r="E938" s="10">
        <f>SUM(E939:E942)</f>
        <v>432.44484999999997</v>
      </c>
      <c r="F938" s="10"/>
      <c r="G938" s="10"/>
      <c r="H938" s="10"/>
      <c r="I938" s="10"/>
      <c r="J938" s="69"/>
      <c r="K938" s="57"/>
      <c r="L938" s="57"/>
      <c r="M938" s="57"/>
      <c r="N938" s="57"/>
      <c r="O938" s="57"/>
      <c r="P938" s="57"/>
      <c r="Q938" s="85"/>
      <c r="R938" s="57"/>
      <c r="S938" s="57"/>
      <c r="T938" s="57"/>
      <c r="U938" s="57"/>
      <c r="V938" s="57"/>
    </row>
    <row r="939" spans="1:22" x14ac:dyDescent="0.2">
      <c r="A939" s="47"/>
      <c r="B939" s="59" t="s">
        <v>0</v>
      </c>
      <c r="C939" s="59" t="s">
        <v>0</v>
      </c>
      <c r="D939" s="9">
        <f>E939+F939+G939+H939+I939</f>
        <v>0</v>
      </c>
      <c r="E939" s="10"/>
      <c r="F939" s="10"/>
      <c r="G939" s="10"/>
      <c r="H939" s="10"/>
      <c r="I939" s="10"/>
      <c r="J939" s="69"/>
      <c r="K939" s="57"/>
      <c r="L939" s="57"/>
      <c r="M939" s="57"/>
      <c r="N939" s="57"/>
      <c r="O939" s="57"/>
      <c r="P939" s="57"/>
      <c r="Q939" s="85"/>
      <c r="R939" s="57"/>
      <c r="S939" s="57"/>
      <c r="T939" s="57"/>
      <c r="U939" s="57"/>
      <c r="V939" s="57"/>
    </row>
    <row r="940" spans="1:22" x14ac:dyDescent="0.2">
      <c r="A940" s="47"/>
      <c r="B940" s="59" t="s">
        <v>1</v>
      </c>
      <c r="C940" s="59" t="s">
        <v>1</v>
      </c>
      <c r="D940" s="9">
        <f>E940+F940+G940+H940+I940</f>
        <v>432.44484999999997</v>
      </c>
      <c r="E940" s="10">
        <f>0+432.44485</f>
        <v>432.44484999999997</v>
      </c>
      <c r="F940" s="10"/>
      <c r="G940" s="10"/>
      <c r="H940" s="10"/>
      <c r="I940" s="10"/>
      <c r="J940" s="69"/>
      <c r="K940" s="57"/>
      <c r="L940" s="57"/>
      <c r="M940" s="57"/>
      <c r="N940" s="57"/>
      <c r="O940" s="57"/>
      <c r="P940" s="57"/>
      <c r="Q940" s="85"/>
      <c r="R940" s="57"/>
      <c r="S940" s="57"/>
      <c r="T940" s="57"/>
      <c r="U940" s="57"/>
      <c r="V940" s="57"/>
    </row>
    <row r="941" spans="1:22" x14ac:dyDescent="0.2">
      <c r="A941" s="47"/>
      <c r="B941" s="59" t="s">
        <v>2</v>
      </c>
      <c r="C941" s="59" t="s">
        <v>2</v>
      </c>
      <c r="D941" s="9">
        <f>E941+F941+G941+H941+I941</f>
        <v>0</v>
      </c>
      <c r="E941" s="10"/>
      <c r="F941" s="10"/>
      <c r="G941" s="10"/>
      <c r="H941" s="10"/>
      <c r="I941" s="10"/>
      <c r="J941" s="69"/>
      <c r="K941" s="57"/>
      <c r="L941" s="57"/>
      <c r="M941" s="57"/>
      <c r="N941" s="57"/>
      <c r="O941" s="57"/>
      <c r="P941" s="57"/>
      <c r="Q941" s="85"/>
      <c r="R941" s="57"/>
      <c r="S941" s="57"/>
      <c r="T941" s="57"/>
      <c r="U941" s="57"/>
      <c r="V941" s="57"/>
    </row>
    <row r="942" spans="1:22" ht="21" customHeight="1" x14ac:dyDescent="0.2">
      <c r="A942" s="48"/>
      <c r="B942" s="59" t="s">
        <v>3</v>
      </c>
      <c r="C942" s="59" t="s">
        <v>3</v>
      </c>
      <c r="D942" s="9">
        <f>E942+F942+G942+H942+I942</f>
        <v>0</v>
      </c>
      <c r="E942" s="10"/>
      <c r="F942" s="10"/>
      <c r="G942" s="10"/>
      <c r="H942" s="10"/>
      <c r="I942" s="10"/>
      <c r="J942" s="69"/>
      <c r="K942" s="57"/>
      <c r="L942" s="57"/>
      <c r="M942" s="57"/>
      <c r="N942" s="57"/>
      <c r="O942" s="57"/>
      <c r="P942" s="57"/>
      <c r="Q942" s="85"/>
      <c r="R942" s="57"/>
      <c r="S942" s="57"/>
      <c r="T942" s="57"/>
      <c r="U942" s="57"/>
      <c r="V942" s="57"/>
    </row>
    <row r="943" spans="1:22" x14ac:dyDescent="0.2">
      <c r="A943" s="46" t="s">
        <v>560</v>
      </c>
      <c r="B943" s="24" t="s">
        <v>18</v>
      </c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5"/>
    </row>
    <row r="944" spans="1:22" x14ac:dyDescent="0.2">
      <c r="A944" s="47" t="s">
        <v>30</v>
      </c>
      <c r="B944" s="82" t="s">
        <v>249</v>
      </c>
      <c r="C944" s="82"/>
      <c r="D944" s="82"/>
      <c r="E944" s="82"/>
      <c r="F944" s="82"/>
      <c r="G944" s="82"/>
      <c r="H944" s="82"/>
      <c r="I944" s="82"/>
      <c r="J944" s="82"/>
      <c r="K944" s="82"/>
      <c r="L944" s="82"/>
      <c r="M944" s="82"/>
      <c r="N944" s="82"/>
      <c r="O944" s="82"/>
      <c r="P944" s="82"/>
      <c r="Q944" s="82"/>
      <c r="R944" s="82"/>
      <c r="S944" s="82"/>
      <c r="T944" s="82"/>
      <c r="U944" s="82"/>
      <c r="V944" s="82"/>
    </row>
    <row r="945" spans="1:22" ht="99.95" customHeight="1" x14ac:dyDescent="0.2">
      <c r="A945" s="47"/>
      <c r="B945" s="60" t="s">
        <v>564</v>
      </c>
      <c r="C945" s="61" t="s">
        <v>318</v>
      </c>
      <c r="D945" s="61"/>
      <c r="E945" s="61"/>
      <c r="F945" s="61"/>
      <c r="G945" s="61"/>
      <c r="H945" s="61"/>
      <c r="I945" s="62"/>
      <c r="J945" s="69" t="s">
        <v>319</v>
      </c>
      <c r="K945" s="57"/>
      <c r="L945" s="57" t="s">
        <v>60</v>
      </c>
      <c r="M945" s="57" t="s">
        <v>320</v>
      </c>
      <c r="N945" s="57" t="s">
        <v>19</v>
      </c>
      <c r="O945" s="57" t="s">
        <v>289</v>
      </c>
      <c r="P945" s="57" t="s">
        <v>19</v>
      </c>
      <c r="Q945" s="85" t="s">
        <v>321</v>
      </c>
      <c r="R945" s="57" t="s">
        <v>11</v>
      </c>
      <c r="S945" s="57" t="s">
        <v>10</v>
      </c>
      <c r="T945" s="57" t="s">
        <v>17</v>
      </c>
      <c r="U945" s="57"/>
      <c r="V945" s="57"/>
    </row>
    <row r="946" spans="1:22" x14ac:dyDescent="0.2">
      <c r="A946" s="47"/>
      <c r="B946" s="59" t="s">
        <v>5</v>
      </c>
      <c r="C946" s="59" t="s">
        <v>5</v>
      </c>
      <c r="D946" s="9">
        <f>SUM(D947:D950)</f>
        <v>286.25335000000001</v>
      </c>
      <c r="E946" s="10">
        <f t="shared" ref="E946" si="120">SUM(E947:E950)</f>
        <v>286.25335000000001</v>
      </c>
      <c r="F946" s="10"/>
      <c r="G946" s="10"/>
      <c r="H946" s="10"/>
      <c r="I946" s="10"/>
      <c r="J946" s="69"/>
      <c r="K946" s="57"/>
      <c r="L946" s="57"/>
      <c r="M946" s="57"/>
      <c r="N946" s="57"/>
      <c r="O946" s="57"/>
      <c r="P946" s="57"/>
      <c r="Q946" s="85"/>
      <c r="R946" s="57"/>
      <c r="S946" s="57"/>
      <c r="T946" s="57"/>
      <c r="U946" s="57"/>
      <c r="V946" s="57"/>
    </row>
    <row r="947" spans="1:22" x14ac:dyDescent="0.2">
      <c r="A947" s="47"/>
      <c r="B947" s="59" t="s">
        <v>0</v>
      </c>
      <c r="C947" s="59" t="s">
        <v>0</v>
      </c>
      <c r="D947" s="9">
        <f>E947+F947+G947+H947+I947</f>
        <v>0</v>
      </c>
      <c r="E947" s="10"/>
      <c r="F947" s="10"/>
      <c r="G947" s="10"/>
      <c r="H947" s="10"/>
      <c r="I947" s="10"/>
      <c r="J947" s="69"/>
      <c r="K947" s="57"/>
      <c r="L947" s="57"/>
      <c r="M947" s="57"/>
      <c r="N947" s="57"/>
      <c r="O947" s="57"/>
      <c r="P947" s="57"/>
      <c r="Q947" s="85"/>
      <c r="R947" s="57"/>
      <c r="S947" s="57"/>
      <c r="T947" s="57"/>
      <c r="U947" s="57"/>
      <c r="V947" s="57"/>
    </row>
    <row r="948" spans="1:22" x14ac:dyDescent="0.2">
      <c r="A948" s="47"/>
      <c r="B948" s="59" t="s">
        <v>1</v>
      </c>
      <c r="C948" s="59" t="s">
        <v>1</v>
      </c>
      <c r="D948" s="9">
        <f>E948+F948+G948+H948+I948</f>
        <v>286.25335000000001</v>
      </c>
      <c r="E948" s="10">
        <f>0+286.25335</f>
        <v>286.25335000000001</v>
      </c>
      <c r="F948" s="10"/>
      <c r="G948" s="10"/>
      <c r="H948" s="10"/>
      <c r="I948" s="10"/>
      <c r="J948" s="69"/>
      <c r="K948" s="57"/>
      <c r="L948" s="57"/>
      <c r="M948" s="57"/>
      <c r="N948" s="57"/>
      <c r="O948" s="57"/>
      <c r="P948" s="57"/>
      <c r="Q948" s="85"/>
      <c r="R948" s="57"/>
      <c r="S948" s="57"/>
      <c r="T948" s="57"/>
      <c r="U948" s="57"/>
      <c r="V948" s="57"/>
    </row>
    <row r="949" spans="1:22" x14ac:dyDescent="0.2">
      <c r="A949" s="47"/>
      <c r="B949" s="59" t="s">
        <v>2</v>
      </c>
      <c r="C949" s="59" t="s">
        <v>2</v>
      </c>
      <c r="D949" s="9">
        <f>E949+F949+G949+H949+I949</f>
        <v>0</v>
      </c>
      <c r="E949" s="10"/>
      <c r="F949" s="10"/>
      <c r="G949" s="10"/>
      <c r="H949" s="10"/>
      <c r="I949" s="10"/>
      <c r="J949" s="69"/>
      <c r="K949" s="57"/>
      <c r="L949" s="57"/>
      <c r="M949" s="57"/>
      <c r="N949" s="57"/>
      <c r="O949" s="57"/>
      <c r="P949" s="57"/>
      <c r="Q949" s="85"/>
      <c r="R949" s="57"/>
      <c r="S949" s="57"/>
      <c r="T949" s="57"/>
      <c r="U949" s="57"/>
      <c r="V949" s="57"/>
    </row>
    <row r="950" spans="1:22" ht="21" customHeight="1" x14ac:dyDescent="0.2">
      <c r="A950" s="48"/>
      <c r="B950" s="59" t="s">
        <v>3</v>
      </c>
      <c r="C950" s="59" t="s">
        <v>3</v>
      </c>
      <c r="D950" s="9">
        <f>E950+F950+G950+H950+I950</f>
        <v>0</v>
      </c>
      <c r="E950" s="10"/>
      <c r="F950" s="10"/>
      <c r="G950" s="10"/>
      <c r="H950" s="10"/>
      <c r="I950" s="10"/>
      <c r="J950" s="69"/>
      <c r="K950" s="57"/>
      <c r="L950" s="57"/>
      <c r="M950" s="57"/>
      <c r="N950" s="57"/>
      <c r="O950" s="57"/>
      <c r="P950" s="57"/>
      <c r="Q950" s="85"/>
      <c r="R950" s="57"/>
      <c r="S950" s="57"/>
      <c r="T950" s="57"/>
      <c r="U950" s="57"/>
      <c r="V950" s="57"/>
    </row>
    <row r="951" spans="1:22" x14ac:dyDescent="0.2">
      <c r="A951" s="46" t="s">
        <v>562</v>
      </c>
      <c r="B951" s="24" t="s">
        <v>18</v>
      </c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5"/>
    </row>
    <row r="952" spans="1:22" x14ac:dyDescent="0.2">
      <c r="A952" s="47" t="s">
        <v>30</v>
      </c>
      <c r="B952" s="82" t="s">
        <v>249</v>
      </c>
      <c r="C952" s="82"/>
      <c r="D952" s="82"/>
      <c r="E952" s="82"/>
      <c r="F952" s="82"/>
      <c r="G952" s="82"/>
      <c r="H952" s="82"/>
      <c r="I952" s="82"/>
      <c r="J952" s="82"/>
      <c r="K952" s="82"/>
      <c r="L952" s="82"/>
      <c r="M952" s="82"/>
      <c r="N952" s="82"/>
      <c r="O952" s="82"/>
      <c r="P952" s="82"/>
      <c r="Q952" s="82"/>
      <c r="R952" s="82"/>
      <c r="S952" s="82"/>
      <c r="T952" s="82"/>
      <c r="U952" s="82"/>
      <c r="V952" s="82"/>
    </row>
    <row r="953" spans="1:22" ht="89.25" customHeight="1" x14ac:dyDescent="0.2">
      <c r="A953" s="47"/>
      <c r="B953" s="54" t="s">
        <v>731</v>
      </c>
      <c r="C953" s="55" t="s">
        <v>330</v>
      </c>
      <c r="D953" s="55"/>
      <c r="E953" s="55"/>
      <c r="F953" s="55"/>
      <c r="G953" s="55"/>
      <c r="H953" s="55"/>
      <c r="I953" s="56"/>
      <c r="J953" s="69" t="s">
        <v>628</v>
      </c>
      <c r="K953" s="69" t="s">
        <v>629</v>
      </c>
      <c r="L953" s="69" t="s">
        <v>60</v>
      </c>
      <c r="M953" s="69" t="s">
        <v>630</v>
      </c>
      <c r="N953" s="69" t="s">
        <v>19</v>
      </c>
      <c r="O953" s="69" t="s">
        <v>289</v>
      </c>
      <c r="P953" s="69" t="s">
        <v>19</v>
      </c>
      <c r="Q953" s="77">
        <v>795836.36499999999</v>
      </c>
      <c r="R953" s="69" t="s">
        <v>11</v>
      </c>
      <c r="S953" s="69" t="s">
        <v>110</v>
      </c>
      <c r="T953" s="69" t="s">
        <v>17</v>
      </c>
      <c r="U953" s="69"/>
      <c r="V953" s="69" t="s">
        <v>631</v>
      </c>
    </row>
    <row r="954" spans="1:22" x14ac:dyDescent="0.2">
      <c r="A954" s="47"/>
      <c r="B954" s="30" t="s">
        <v>5</v>
      </c>
      <c r="C954" s="30" t="s">
        <v>5</v>
      </c>
      <c r="D954" s="12">
        <f>SUM(D955:D958)</f>
        <v>850009.38250999991</v>
      </c>
      <c r="E954" s="13">
        <f t="shared" ref="E954:I954" si="121">SUM(E955:E958)</f>
        <v>117723.81451</v>
      </c>
      <c r="F954" s="13">
        <f t="shared" si="121"/>
        <v>50000</v>
      </c>
      <c r="G954" s="13">
        <f t="shared" si="121"/>
        <v>50000</v>
      </c>
      <c r="H954" s="13">
        <f t="shared" si="121"/>
        <v>632285.56799999997</v>
      </c>
      <c r="I954" s="13">
        <f t="shared" si="121"/>
        <v>0</v>
      </c>
      <c r="J954" s="69"/>
      <c r="K954" s="69"/>
      <c r="L954" s="69"/>
      <c r="M954" s="69"/>
      <c r="N954" s="69"/>
      <c r="O954" s="69"/>
      <c r="P954" s="69"/>
      <c r="Q954" s="77"/>
      <c r="R954" s="69"/>
      <c r="S954" s="69"/>
      <c r="T954" s="69"/>
      <c r="U954" s="69"/>
      <c r="V954" s="69"/>
    </row>
    <row r="955" spans="1:22" x14ac:dyDescent="0.2">
      <c r="A955" s="47"/>
      <c r="B955" s="30" t="s">
        <v>0</v>
      </c>
      <c r="C955" s="30" t="s">
        <v>0</v>
      </c>
      <c r="D955" s="12">
        <f>E955+F955+G955+H955+I955</f>
        <v>0</v>
      </c>
      <c r="E955" s="13"/>
      <c r="F955" s="13"/>
      <c r="G955" s="13"/>
      <c r="H955" s="13"/>
      <c r="I955" s="13"/>
      <c r="J955" s="69"/>
      <c r="K955" s="69"/>
      <c r="L955" s="69"/>
      <c r="M955" s="69"/>
      <c r="N955" s="69"/>
      <c r="O955" s="69"/>
      <c r="P955" s="69"/>
      <c r="Q955" s="77"/>
      <c r="R955" s="69"/>
      <c r="S955" s="69"/>
      <c r="T955" s="69"/>
      <c r="U955" s="69"/>
      <c r="V955" s="69"/>
    </row>
    <row r="956" spans="1:22" x14ac:dyDescent="0.2">
      <c r="A956" s="47"/>
      <c r="B956" s="30" t="s">
        <v>1</v>
      </c>
      <c r="C956" s="30" t="s">
        <v>1</v>
      </c>
      <c r="D956" s="12">
        <f>E956+F956+G956+H956+I956</f>
        <v>850009.38250999991</v>
      </c>
      <c r="E956" s="13">
        <f>0+50293.03851+67430.776</f>
        <v>117723.81451</v>
      </c>
      <c r="F956" s="13">
        <f>0+50000</f>
        <v>50000</v>
      </c>
      <c r="G956" s="13">
        <f>0+50000</f>
        <v>50000</v>
      </c>
      <c r="H956" s="13">
        <f>0+632285.568</f>
        <v>632285.56799999997</v>
      </c>
      <c r="I956" s="13"/>
      <c r="J956" s="69"/>
      <c r="K956" s="69"/>
      <c r="L956" s="69"/>
      <c r="M956" s="69"/>
      <c r="N956" s="69"/>
      <c r="O956" s="69"/>
      <c r="P956" s="69"/>
      <c r="Q956" s="77"/>
      <c r="R956" s="69"/>
      <c r="S956" s="69"/>
      <c r="T956" s="69"/>
      <c r="U956" s="69"/>
      <c r="V956" s="69"/>
    </row>
    <row r="957" spans="1:22" x14ac:dyDescent="0.2">
      <c r="A957" s="47"/>
      <c r="B957" s="30" t="s">
        <v>2</v>
      </c>
      <c r="C957" s="30" t="s">
        <v>2</v>
      </c>
      <c r="D957" s="12">
        <f>E957+F957+G957+H957+I957</f>
        <v>0</v>
      </c>
      <c r="E957" s="13"/>
      <c r="F957" s="13"/>
      <c r="G957" s="13"/>
      <c r="H957" s="13"/>
      <c r="I957" s="13"/>
      <c r="J957" s="69"/>
      <c r="K957" s="69"/>
      <c r="L957" s="69"/>
      <c r="M957" s="69"/>
      <c r="N957" s="69"/>
      <c r="O957" s="69"/>
      <c r="P957" s="69"/>
      <c r="Q957" s="77"/>
      <c r="R957" s="69"/>
      <c r="S957" s="69"/>
      <c r="T957" s="69"/>
      <c r="U957" s="69"/>
      <c r="V957" s="69"/>
    </row>
    <row r="958" spans="1:22" ht="21" customHeight="1" x14ac:dyDescent="0.2">
      <c r="A958" s="48"/>
      <c r="B958" s="30" t="s">
        <v>3</v>
      </c>
      <c r="C958" s="30" t="s">
        <v>3</v>
      </c>
      <c r="D958" s="12">
        <f>E958+F958+G958+H958+I958</f>
        <v>0</v>
      </c>
      <c r="E958" s="13"/>
      <c r="F958" s="13"/>
      <c r="G958" s="13"/>
      <c r="H958" s="13"/>
      <c r="I958" s="13"/>
      <c r="J958" s="69"/>
      <c r="K958" s="69"/>
      <c r="L958" s="69"/>
      <c r="M958" s="69"/>
      <c r="N958" s="69"/>
      <c r="O958" s="69"/>
      <c r="P958" s="69"/>
      <c r="Q958" s="77"/>
      <c r="R958" s="69"/>
      <c r="S958" s="69"/>
      <c r="T958" s="69"/>
      <c r="U958" s="69"/>
      <c r="V958" s="69"/>
    </row>
    <row r="959" spans="1:22" x14ac:dyDescent="0.2">
      <c r="A959" s="46" t="s">
        <v>565</v>
      </c>
      <c r="B959" s="24" t="s">
        <v>18</v>
      </c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5"/>
    </row>
    <row r="960" spans="1:22" x14ac:dyDescent="0.2">
      <c r="A960" s="47" t="s">
        <v>30</v>
      </c>
      <c r="B960" s="82" t="s">
        <v>249</v>
      </c>
      <c r="C960" s="82"/>
      <c r="D960" s="82"/>
      <c r="E960" s="82"/>
      <c r="F960" s="82"/>
      <c r="G960" s="82"/>
      <c r="H960" s="82"/>
      <c r="I960" s="82"/>
      <c r="J960" s="82"/>
      <c r="K960" s="82"/>
      <c r="L960" s="82"/>
      <c r="M960" s="82"/>
      <c r="N960" s="82"/>
      <c r="O960" s="82"/>
      <c r="P960" s="82"/>
      <c r="Q960" s="82"/>
      <c r="R960" s="82"/>
      <c r="S960" s="82"/>
      <c r="T960" s="82"/>
      <c r="U960" s="82"/>
      <c r="V960" s="82"/>
    </row>
    <row r="961" spans="1:22" ht="72" customHeight="1" x14ac:dyDescent="0.2">
      <c r="A961" s="47"/>
      <c r="B961" s="60" t="s">
        <v>567</v>
      </c>
      <c r="C961" s="61" t="s">
        <v>330</v>
      </c>
      <c r="D961" s="61"/>
      <c r="E961" s="61"/>
      <c r="F961" s="61"/>
      <c r="G961" s="61"/>
      <c r="H961" s="61"/>
      <c r="I961" s="62"/>
      <c r="J961" s="69" t="s">
        <v>117</v>
      </c>
      <c r="K961" s="57" t="s">
        <v>66</v>
      </c>
      <c r="L961" s="57" t="s">
        <v>60</v>
      </c>
      <c r="M961" s="57" t="s">
        <v>331</v>
      </c>
      <c r="N961" s="57" t="s">
        <v>19</v>
      </c>
      <c r="O961" s="57" t="s">
        <v>289</v>
      </c>
      <c r="P961" s="57" t="s">
        <v>19</v>
      </c>
      <c r="Q961" s="85" t="s">
        <v>332</v>
      </c>
      <c r="R961" s="57" t="s">
        <v>11</v>
      </c>
      <c r="S961" s="57" t="s">
        <v>110</v>
      </c>
      <c r="T961" s="57" t="s">
        <v>171</v>
      </c>
      <c r="U961" s="57"/>
      <c r="V961" s="57"/>
    </row>
    <row r="962" spans="1:22" x14ac:dyDescent="0.2">
      <c r="A962" s="47"/>
      <c r="B962" s="59" t="s">
        <v>5</v>
      </c>
      <c r="C962" s="59" t="s">
        <v>5</v>
      </c>
      <c r="D962" s="9">
        <f>SUM(D963:D966)</f>
        <v>514.66700000000003</v>
      </c>
      <c r="E962" s="10">
        <f t="shared" ref="E962" si="122">SUM(E963:E966)</f>
        <v>514.66700000000003</v>
      </c>
      <c r="F962" s="10"/>
      <c r="G962" s="10"/>
      <c r="H962" s="10"/>
      <c r="I962" s="10"/>
      <c r="J962" s="69"/>
      <c r="K962" s="57"/>
      <c r="L962" s="57"/>
      <c r="M962" s="57"/>
      <c r="N962" s="57"/>
      <c r="O962" s="57"/>
      <c r="P962" s="57"/>
      <c r="Q962" s="85"/>
      <c r="R962" s="57"/>
      <c r="S962" s="57"/>
      <c r="T962" s="57"/>
      <c r="U962" s="57"/>
      <c r="V962" s="57"/>
    </row>
    <row r="963" spans="1:22" x14ac:dyDescent="0.2">
      <c r="A963" s="47"/>
      <c r="B963" s="59" t="s">
        <v>0</v>
      </c>
      <c r="C963" s="59" t="s">
        <v>0</v>
      </c>
      <c r="D963" s="9">
        <f>E963+F963+G963+H963+I963</f>
        <v>0</v>
      </c>
      <c r="E963" s="10"/>
      <c r="F963" s="10"/>
      <c r="G963" s="10"/>
      <c r="H963" s="10"/>
      <c r="I963" s="10"/>
      <c r="J963" s="69"/>
      <c r="K963" s="57"/>
      <c r="L963" s="57"/>
      <c r="M963" s="57"/>
      <c r="N963" s="57"/>
      <c r="O963" s="57"/>
      <c r="P963" s="57"/>
      <c r="Q963" s="85"/>
      <c r="R963" s="57"/>
      <c r="S963" s="57"/>
      <c r="T963" s="57"/>
      <c r="U963" s="57"/>
      <c r="V963" s="57"/>
    </row>
    <row r="964" spans="1:22" x14ac:dyDescent="0.2">
      <c r="A964" s="47"/>
      <c r="B964" s="59" t="s">
        <v>1</v>
      </c>
      <c r="C964" s="59" t="s">
        <v>1</v>
      </c>
      <c r="D964" s="9">
        <f>E964+F964+G964+H964+I964</f>
        <v>514.66700000000003</v>
      </c>
      <c r="E964" s="10">
        <f>0+514.667</f>
        <v>514.66700000000003</v>
      </c>
      <c r="F964" s="10"/>
      <c r="G964" s="10"/>
      <c r="H964" s="10"/>
      <c r="I964" s="10"/>
      <c r="J964" s="69"/>
      <c r="K964" s="57"/>
      <c r="L964" s="57"/>
      <c r="M964" s="57"/>
      <c r="N964" s="57"/>
      <c r="O964" s="57"/>
      <c r="P964" s="57"/>
      <c r="Q964" s="85"/>
      <c r="R964" s="57"/>
      <c r="S964" s="57"/>
      <c r="T964" s="57"/>
      <c r="U964" s="57"/>
      <c r="V964" s="57"/>
    </row>
    <row r="965" spans="1:22" x14ac:dyDescent="0.2">
      <c r="A965" s="47"/>
      <c r="B965" s="59" t="s">
        <v>2</v>
      </c>
      <c r="C965" s="59" t="s">
        <v>2</v>
      </c>
      <c r="D965" s="9">
        <f>E965+F965+G965+H965+I965</f>
        <v>0</v>
      </c>
      <c r="E965" s="10"/>
      <c r="F965" s="10"/>
      <c r="G965" s="10"/>
      <c r="H965" s="10"/>
      <c r="I965" s="10"/>
      <c r="J965" s="69"/>
      <c r="K965" s="57"/>
      <c r="L965" s="57"/>
      <c r="M965" s="57"/>
      <c r="N965" s="57"/>
      <c r="O965" s="57"/>
      <c r="P965" s="57"/>
      <c r="Q965" s="85"/>
      <c r="R965" s="57"/>
      <c r="S965" s="57"/>
      <c r="T965" s="57"/>
      <c r="U965" s="57"/>
      <c r="V965" s="57"/>
    </row>
    <row r="966" spans="1:22" ht="21" customHeight="1" x14ac:dyDescent="0.2">
      <c r="A966" s="48"/>
      <c r="B966" s="59" t="s">
        <v>3</v>
      </c>
      <c r="C966" s="59" t="s">
        <v>3</v>
      </c>
      <c r="D966" s="9">
        <f>E966+F966+G966+H966+I966</f>
        <v>0</v>
      </c>
      <c r="E966" s="10"/>
      <c r="F966" s="10"/>
      <c r="G966" s="10"/>
      <c r="H966" s="10"/>
      <c r="I966" s="10"/>
      <c r="J966" s="69"/>
      <c r="K966" s="57"/>
      <c r="L966" s="57"/>
      <c r="M966" s="57"/>
      <c r="N966" s="57"/>
      <c r="O966" s="57"/>
      <c r="P966" s="57"/>
      <c r="Q966" s="85"/>
      <c r="R966" s="57"/>
      <c r="S966" s="57"/>
      <c r="T966" s="57"/>
      <c r="U966" s="57"/>
      <c r="V966" s="57"/>
    </row>
    <row r="967" spans="1:22" x14ac:dyDescent="0.2">
      <c r="A967" s="46" t="s">
        <v>566</v>
      </c>
      <c r="B967" s="24" t="s">
        <v>18</v>
      </c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5"/>
    </row>
    <row r="968" spans="1:22" x14ac:dyDescent="0.2">
      <c r="A968" s="47" t="s">
        <v>30</v>
      </c>
      <c r="B968" s="82" t="s">
        <v>249</v>
      </c>
      <c r="C968" s="82"/>
      <c r="D968" s="82"/>
      <c r="E968" s="82"/>
      <c r="F968" s="82"/>
      <c r="G968" s="82"/>
      <c r="H968" s="82"/>
      <c r="I968" s="82"/>
      <c r="J968" s="82"/>
      <c r="K968" s="82"/>
      <c r="L968" s="82"/>
      <c r="M968" s="82"/>
      <c r="N968" s="82"/>
      <c r="O968" s="82"/>
      <c r="P968" s="82"/>
      <c r="Q968" s="82"/>
      <c r="R968" s="82"/>
      <c r="S968" s="82"/>
      <c r="T968" s="82"/>
      <c r="U968" s="82"/>
      <c r="V968" s="82"/>
    </row>
    <row r="969" spans="1:22" ht="72" customHeight="1" x14ac:dyDescent="0.2">
      <c r="A969" s="47"/>
      <c r="B969" s="60" t="s">
        <v>568</v>
      </c>
      <c r="C969" s="61" t="s">
        <v>330</v>
      </c>
      <c r="D969" s="61"/>
      <c r="E969" s="61"/>
      <c r="F969" s="61"/>
      <c r="G969" s="61"/>
      <c r="H969" s="61"/>
      <c r="I969" s="62"/>
      <c r="J969" s="69" t="s">
        <v>117</v>
      </c>
      <c r="K969" s="57" t="s">
        <v>66</v>
      </c>
      <c r="L969" s="57" t="s">
        <v>60</v>
      </c>
      <c r="M969" s="57"/>
      <c r="N969" s="57" t="s">
        <v>19</v>
      </c>
      <c r="O969" s="57" t="s">
        <v>289</v>
      </c>
      <c r="P969" s="57" t="s">
        <v>19</v>
      </c>
      <c r="Q969" s="85"/>
      <c r="R969" s="57" t="s">
        <v>11</v>
      </c>
      <c r="S969" s="57" t="s">
        <v>10</v>
      </c>
      <c r="T969" s="57" t="s">
        <v>171</v>
      </c>
      <c r="U969" s="57"/>
      <c r="V969" s="57"/>
    </row>
    <row r="970" spans="1:22" x14ac:dyDescent="0.2">
      <c r="A970" s="47"/>
      <c r="B970" s="59" t="s">
        <v>5</v>
      </c>
      <c r="C970" s="59" t="s">
        <v>5</v>
      </c>
      <c r="D970" s="9">
        <f>SUM(D971:D974)</f>
        <v>2920.0829600000002</v>
      </c>
      <c r="E970" s="10">
        <f t="shared" ref="E970" si="123">SUM(E971:E974)</f>
        <v>2920.0829600000002</v>
      </c>
      <c r="F970" s="10"/>
      <c r="G970" s="10"/>
      <c r="H970" s="10"/>
      <c r="I970" s="10"/>
      <c r="J970" s="69"/>
      <c r="K970" s="57"/>
      <c r="L970" s="57"/>
      <c r="M970" s="57"/>
      <c r="N970" s="57"/>
      <c r="O970" s="57"/>
      <c r="P970" s="57"/>
      <c r="Q970" s="85"/>
      <c r="R970" s="57"/>
      <c r="S970" s="57"/>
      <c r="T970" s="57"/>
      <c r="U970" s="57"/>
      <c r="V970" s="57"/>
    </row>
    <row r="971" spans="1:22" x14ac:dyDescent="0.2">
      <c r="A971" s="47"/>
      <c r="B971" s="59" t="s">
        <v>0</v>
      </c>
      <c r="C971" s="59" t="s">
        <v>0</v>
      </c>
      <c r="D971" s="9">
        <f>E971+F971+G971+H971+I971</f>
        <v>0</v>
      </c>
      <c r="E971" s="10"/>
      <c r="F971" s="10"/>
      <c r="G971" s="10"/>
      <c r="H971" s="10"/>
      <c r="I971" s="10"/>
      <c r="J971" s="69"/>
      <c r="K971" s="57"/>
      <c r="L971" s="57"/>
      <c r="M971" s="57"/>
      <c r="N971" s="57"/>
      <c r="O971" s="57"/>
      <c r="P971" s="57"/>
      <c r="Q971" s="85"/>
      <c r="R971" s="57"/>
      <c r="S971" s="57"/>
      <c r="T971" s="57"/>
      <c r="U971" s="57"/>
      <c r="V971" s="57"/>
    </row>
    <row r="972" spans="1:22" x14ac:dyDescent="0.2">
      <c r="A972" s="47"/>
      <c r="B972" s="59" t="s">
        <v>1</v>
      </c>
      <c r="C972" s="59" t="s">
        <v>1</v>
      </c>
      <c r="D972" s="9">
        <f>E972+F972+G972+H972+I972</f>
        <v>2920.0829600000002</v>
      </c>
      <c r="E972" s="10">
        <f>0+2920.08296</f>
        <v>2920.0829600000002</v>
      </c>
      <c r="F972" s="10"/>
      <c r="G972" s="10"/>
      <c r="H972" s="10"/>
      <c r="I972" s="10"/>
      <c r="J972" s="69"/>
      <c r="K972" s="57"/>
      <c r="L972" s="57"/>
      <c r="M972" s="57"/>
      <c r="N972" s="57"/>
      <c r="O972" s="57"/>
      <c r="P972" s="57"/>
      <c r="Q972" s="85"/>
      <c r="R972" s="57"/>
      <c r="S972" s="57"/>
      <c r="T972" s="57"/>
      <c r="U972" s="57"/>
      <c r="V972" s="57"/>
    </row>
    <row r="973" spans="1:22" x14ac:dyDescent="0.2">
      <c r="A973" s="47"/>
      <c r="B973" s="59" t="s">
        <v>2</v>
      </c>
      <c r="C973" s="59" t="s">
        <v>2</v>
      </c>
      <c r="D973" s="9">
        <f>E973+F973+G973+H973+I973</f>
        <v>0</v>
      </c>
      <c r="E973" s="10"/>
      <c r="F973" s="10"/>
      <c r="G973" s="10"/>
      <c r="H973" s="10"/>
      <c r="I973" s="10"/>
      <c r="J973" s="69"/>
      <c r="K973" s="57"/>
      <c r="L973" s="57"/>
      <c r="M973" s="57"/>
      <c r="N973" s="57"/>
      <c r="O973" s="57"/>
      <c r="P973" s="57"/>
      <c r="Q973" s="85"/>
      <c r="R973" s="57"/>
      <c r="S973" s="57"/>
      <c r="T973" s="57"/>
      <c r="U973" s="57"/>
      <c r="V973" s="57"/>
    </row>
    <row r="974" spans="1:22" ht="21" customHeight="1" x14ac:dyDescent="0.2">
      <c r="A974" s="48"/>
      <c r="B974" s="59" t="s">
        <v>3</v>
      </c>
      <c r="C974" s="59" t="s">
        <v>3</v>
      </c>
      <c r="D974" s="9">
        <f>E974+F974+G974+H974+I974</f>
        <v>0</v>
      </c>
      <c r="E974" s="10"/>
      <c r="F974" s="10"/>
      <c r="G974" s="10"/>
      <c r="H974" s="10"/>
      <c r="I974" s="10"/>
      <c r="J974" s="69"/>
      <c r="K974" s="57"/>
      <c r="L974" s="57"/>
      <c r="M974" s="57"/>
      <c r="N974" s="57"/>
      <c r="O974" s="57"/>
      <c r="P974" s="57"/>
      <c r="Q974" s="85"/>
      <c r="R974" s="57"/>
      <c r="S974" s="57"/>
      <c r="T974" s="57"/>
      <c r="U974" s="57"/>
      <c r="V974" s="57"/>
    </row>
    <row r="975" spans="1:22" x14ac:dyDescent="0.2">
      <c r="A975" s="31" t="s">
        <v>49</v>
      </c>
      <c r="B975" s="75" t="s">
        <v>99</v>
      </c>
      <c r="C975" s="75"/>
      <c r="D975" s="75"/>
      <c r="E975" s="75"/>
      <c r="F975" s="75"/>
      <c r="G975" s="75"/>
      <c r="H975" s="75"/>
      <c r="I975" s="75"/>
      <c r="J975" s="75"/>
      <c r="K975" s="75"/>
      <c r="L975" s="75"/>
      <c r="M975" s="75"/>
      <c r="N975" s="75"/>
      <c r="O975" s="75"/>
      <c r="P975" s="75"/>
      <c r="Q975" s="75"/>
      <c r="R975" s="75"/>
      <c r="S975" s="75"/>
      <c r="T975" s="75"/>
      <c r="U975" s="75"/>
      <c r="V975" s="75"/>
    </row>
    <row r="976" spans="1:22" x14ac:dyDescent="0.2">
      <c r="A976" s="32"/>
      <c r="B976" s="76" t="s">
        <v>5</v>
      </c>
      <c r="C976" s="76"/>
      <c r="D976" s="14">
        <f>SUM(D977:D980)</f>
        <v>82764.19</v>
      </c>
      <c r="E976" s="14">
        <f t="shared" ref="E976:I976" si="124">SUM(E977:E980)</f>
        <v>25000</v>
      </c>
      <c r="F976" s="14">
        <f t="shared" si="124"/>
        <v>35000</v>
      </c>
      <c r="G976" s="14">
        <f t="shared" si="124"/>
        <v>22764.19</v>
      </c>
      <c r="H976" s="14">
        <f t="shared" si="124"/>
        <v>0</v>
      </c>
      <c r="I976" s="14">
        <f t="shared" si="124"/>
        <v>0</v>
      </c>
      <c r="J976" s="34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6"/>
    </row>
    <row r="977" spans="1:22" x14ac:dyDescent="0.2">
      <c r="A977" s="32"/>
      <c r="B977" s="76" t="s">
        <v>0</v>
      </c>
      <c r="C977" s="76"/>
      <c r="D977" s="14">
        <f>E977+F977+G977+H977+I977</f>
        <v>0</v>
      </c>
      <c r="E977" s="14">
        <f t="shared" ref="E977:F977" si="125">E985</f>
        <v>0</v>
      </c>
      <c r="F977" s="14">
        <f t="shared" si="125"/>
        <v>0</v>
      </c>
      <c r="G977" s="14">
        <f t="shared" ref="G977:I977" si="126">G985</f>
        <v>0</v>
      </c>
      <c r="H977" s="14">
        <f t="shared" si="126"/>
        <v>0</v>
      </c>
      <c r="I977" s="14">
        <f t="shared" si="126"/>
        <v>0</v>
      </c>
      <c r="J977" s="37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9"/>
    </row>
    <row r="978" spans="1:22" x14ac:dyDescent="0.2">
      <c r="A978" s="32"/>
      <c r="B978" s="76" t="s">
        <v>1</v>
      </c>
      <c r="C978" s="76"/>
      <c r="D978" s="14">
        <f>E978+F978+G978+H978+I978</f>
        <v>82764.19</v>
      </c>
      <c r="E978" s="14">
        <f t="shared" ref="E978:F978" si="127">E986</f>
        <v>25000</v>
      </c>
      <c r="F978" s="14">
        <f t="shared" si="127"/>
        <v>35000</v>
      </c>
      <c r="G978" s="14">
        <f t="shared" ref="G978:I978" si="128">G986</f>
        <v>22764.19</v>
      </c>
      <c r="H978" s="14">
        <f t="shared" si="128"/>
        <v>0</v>
      </c>
      <c r="I978" s="14">
        <f t="shared" si="128"/>
        <v>0</v>
      </c>
      <c r="J978" s="37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9"/>
    </row>
    <row r="979" spans="1:22" x14ac:dyDescent="0.2">
      <c r="A979" s="32"/>
      <c r="B979" s="76" t="s">
        <v>2</v>
      </c>
      <c r="C979" s="76"/>
      <c r="D979" s="14">
        <f>E979+F979+G979+H979+I979</f>
        <v>0</v>
      </c>
      <c r="E979" s="14">
        <f t="shared" ref="E979:F979" si="129">E987</f>
        <v>0</v>
      </c>
      <c r="F979" s="14">
        <f t="shared" si="129"/>
        <v>0</v>
      </c>
      <c r="G979" s="14">
        <f t="shared" ref="G979:I979" si="130">G987</f>
        <v>0</v>
      </c>
      <c r="H979" s="14">
        <f t="shared" si="130"/>
        <v>0</v>
      </c>
      <c r="I979" s="14">
        <f t="shared" si="130"/>
        <v>0</v>
      </c>
      <c r="J979" s="37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9"/>
    </row>
    <row r="980" spans="1:22" ht="21" customHeight="1" x14ac:dyDescent="0.2">
      <c r="A980" s="33"/>
      <c r="B980" s="76" t="s">
        <v>3</v>
      </c>
      <c r="C980" s="76"/>
      <c r="D980" s="14">
        <f>E980+F980+G980+H980+I980</f>
        <v>0</v>
      </c>
      <c r="E980" s="14">
        <f t="shared" ref="E980:F980" si="131">E988</f>
        <v>0</v>
      </c>
      <c r="F980" s="14">
        <f t="shared" si="131"/>
        <v>0</v>
      </c>
      <c r="G980" s="14">
        <f t="shared" ref="G980:I980" si="132">G988</f>
        <v>0</v>
      </c>
      <c r="H980" s="14">
        <f t="shared" si="132"/>
        <v>0</v>
      </c>
      <c r="I980" s="14">
        <f t="shared" si="132"/>
        <v>0</v>
      </c>
      <c r="J980" s="40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2"/>
    </row>
    <row r="981" spans="1:22" x14ac:dyDescent="0.2">
      <c r="A981" s="46" t="s">
        <v>404</v>
      </c>
      <c r="B981" s="24" t="s">
        <v>83</v>
      </c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5"/>
    </row>
    <row r="982" spans="1:22" x14ac:dyDescent="0.2">
      <c r="A982" s="47" t="s">
        <v>30</v>
      </c>
      <c r="B982" s="82" t="s">
        <v>100</v>
      </c>
      <c r="C982" s="82"/>
      <c r="D982" s="82"/>
      <c r="E982" s="82"/>
      <c r="F982" s="82"/>
      <c r="G982" s="82"/>
      <c r="H982" s="82"/>
      <c r="I982" s="82"/>
      <c r="J982" s="82"/>
      <c r="K982" s="82"/>
      <c r="L982" s="82"/>
      <c r="M982" s="82"/>
      <c r="N982" s="82"/>
      <c r="O982" s="82"/>
      <c r="P982" s="82"/>
      <c r="Q982" s="82"/>
      <c r="R982" s="82"/>
      <c r="S982" s="82"/>
      <c r="T982" s="82"/>
      <c r="U982" s="82"/>
      <c r="V982" s="82"/>
    </row>
    <row r="983" spans="1:22" ht="99.95" customHeight="1" x14ac:dyDescent="0.2">
      <c r="A983" s="47"/>
      <c r="B983" s="60" t="s">
        <v>373</v>
      </c>
      <c r="C983" s="61" t="s">
        <v>373</v>
      </c>
      <c r="D983" s="61"/>
      <c r="E983" s="61"/>
      <c r="F983" s="61"/>
      <c r="G983" s="61"/>
      <c r="H983" s="61"/>
      <c r="I983" s="62"/>
      <c r="J983" s="57" t="s">
        <v>117</v>
      </c>
      <c r="K983" s="57"/>
      <c r="L983" s="57" t="s">
        <v>60</v>
      </c>
      <c r="M983" s="57"/>
      <c r="N983" s="57" t="s">
        <v>494</v>
      </c>
      <c r="O983" s="57" t="s">
        <v>83</v>
      </c>
      <c r="P983" s="57" t="s">
        <v>494</v>
      </c>
      <c r="Q983" s="85" t="s">
        <v>372</v>
      </c>
      <c r="R983" s="57" t="s">
        <v>11</v>
      </c>
      <c r="S983" s="57" t="s">
        <v>110</v>
      </c>
      <c r="T983" s="57" t="s">
        <v>17</v>
      </c>
      <c r="U983" s="57"/>
      <c r="V983" s="57" t="s">
        <v>484</v>
      </c>
    </row>
    <row r="984" spans="1:22" x14ac:dyDescent="0.2">
      <c r="A984" s="47"/>
      <c r="B984" s="59" t="s">
        <v>5</v>
      </c>
      <c r="C984" s="59" t="s">
        <v>5</v>
      </c>
      <c r="D984" s="9">
        <f>SUM(D985:D988)</f>
        <v>82764.19</v>
      </c>
      <c r="E984" s="10">
        <f t="shared" ref="E984" si="133">SUM(E985:E988)</f>
        <v>25000</v>
      </c>
      <c r="F984" s="10">
        <f t="shared" ref="F984" si="134">SUM(F985:F988)</f>
        <v>35000</v>
      </c>
      <c r="G984" s="10">
        <f t="shared" ref="G984" si="135">SUM(G985:G988)</f>
        <v>22764.19</v>
      </c>
      <c r="H984" s="10"/>
      <c r="I984" s="10"/>
      <c r="J984" s="57"/>
      <c r="K984" s="57"/>
      <c r="L984" s="57"/>
      <c r="M984" s="57"/>
      <c r="N984" s="57"/>
      <c r="O984" s="57"/>
      <c r="P984" s="57"/>
      <c r="Q984" s="85"/>
      <c r="R984" s="57"/>
      <c r="S984" s="57"/>
      <c r="T984" s="57"/>
      <c r="U984" s="57"/>
      <c r="V984" s="57"/>
    </row>
    <row r="985" spans="1:22" x14ac:dyDescent="0.2">
      <c r="A985" s="47"/>
      <c r="B985" s="59" t="s">
        <v>0</v>
      </c>
      <c r="C985" s="59" t="s">
        <v>0</v>
      </c>
      <c r="D985" s="9">
        <f>E985+F985+G985+H985+I985</f>
        <v>0</v>
      </c>
      <c r="E985" s="10"/>
      <c r="F985" s="10"/>
      <c r="G985" s="10"/>
      <c r="H985" s="10"/>
      <c r="I985" s="10"/>
      <c r="J985" s="57"/>
      <c r="K985" s="57"/>
      <c r="L985" s="57"/>
      <c r="M985" s="57"/>
      <c r="N985" s="57"/>
      <c r="O985" s="57"/>
      <c r="P985" s="57"/>
      <c r="Q985" s="85"/>
      <c r="R985" s="57"/>
      <c r="S985" s="57"/>
      <c r="T985" s="57"/>
      <c r="U985" s="57"/>
      <c r="V985" s="57"/>
    </row>
    <row r="986" spans="1:22" x14ac:dyDescent="0.2">
      <c r="A986" s="47"/>
      <c r="B986" s="59" t="s">
        <v>1</v>
      </c>
      <c r="C986" s="59" t="s">
        <v>1</v>
      </c>
      <c r="D986" s="9">
        <f>E986+F986+G986+H986+I986</f>
        <v>82764.19</v>
      </c>
      <c r="E986" s="10">
        <v>25000</v>
      </c>
      <c r="F986" s="10">
        <v>35000</v>
      </c>
      <c r="G986" s="10">
        <v>22764.19</v>
      </c>
      <c r="H986" s="10"/>
      <c r="I986" s="10"/>
      <c r="J986" s="57"/>
      <c r="K986" s="57"/>
      <c r="L986" s="57"/>
      <c r="M986" s="57"/>
      <c r="N986" s="57"/>
      <c r="O986" s="57"/>
      <c r="P986" s="57"/>
      <c r="Q986" s="85"/>
      <c r="R986" s="57"/>
      <c r="S986" s="57"/>
      <c r="T986" s="57"/>
      <c r="U986" s="57"/>
      <c r="V986" s="57"/>
    </row>
    <row r="987" spans="1:22" x14ac:dyDescent="0.2">
      <c r="A987" s="47"/>
      <c r="B987" s="59" t="s">
        <v>2</v>
      </c>
      <c r="C987" s="59" t="s">
        <v>2</v>
      </c>
      <c r="D987" s="9">
        <f>E987+F987+G987+H987+I987</f>
        <v>0</v>
      </c>
      <c r="E987" s="10"/>
      <c r="F987" s="10"/>
      <c r="G987" s="10"/>
      <c r="H987" s="10"/>
      <c r="I987" s="10"/>
      <c r="J987" s="57"/>
      <c r="K987" s="57"/>
      <c r="L987" s="57"/>
      <c r="M987" s="57"/>
      <c r="N987" s="57"/>
      <c r="O987" s="57"/>
      <c r="P987" s="57"/>
      <c r="Q987" s="85"/>
      <c r="R987" s="57"/>
      <c r="S987" s="57"/>
      <c r="T987" s="57"/>
      <c r="U987" s="57"/>
      <c r="V987" s="57"/>
    </row>
    <row r="988" spans="1:22" ht="21" customHeight="1" x14ac:dyDescent="0.2">
      <c r="A988" s="48"/>
      <c r="B988" s="59" t="s">
        <v>3</v>
      </c>
      <c r="C988" s="59" t="s">
        <v>3</v>
      </c>
      <c r="D988" s="9">
        <f>E988+F988+G988+H988+I988</f>
        <v>0</v>
      </c>
      <c r="E988" s="10"/>
      <c r="F988" s="10"/>
      <c r="G988" s="10"/>
      <c r="H988" s="10"/>
      <c r="I988" s="10"/>
      <c r="J988" s="57"/>
      <c r="K988" s="57"/>
      <c r="L988" s="57"/>
      <c r="M988" s="57"/>
      <c r="N988" s="57"/>
      <c r="O988" s="57"/>
      <c r="P988" s="57"/>
      <c r="Q988" s="85"/>
      <c r="R988" s="57"/>
      <c r="S988" s="57"/>
      <c r="T988" s="57"/>
      <c r="U988" s="57"/>
      <c r="V988" s="57"/>
    </row>
    <row r="989" spans="1:22" x14ac:dyDescent="0.2">
      <c r="A989" s="31" t="s">
        <v>70</v>
      </c>
      <c r="B989" s="75" t="s">
        <v>98</v>
      </c>
      <c r="C989" s="75"/>
      <c r="D989" s="75"/>
      <c r="E989" s="75"/>
      <c r="F989" s="75"/>
      <c r="G989" s="75"/>
      <c r="H989" s="75"/>
      <c r="I989" s="75"/>
      <c r="J989" s="75"/>
      <c r="K989" s="75"/>
      <c r="L989" s="75"/>
      <c r="M989" s="75"/>
      <c r="N989" s="75"/>
      <c r="O989" s="75"/>
      <c r="P989" s="75"/>
      <c r="Q989" s="75"/>
      <c r="R989" s="75"/>
      <c r="S989" s="75"/>
      <c r="T989" s="75"/>
      <c r="U989" s="75"/>
      <c r="V989" s="75"/>
    </row>
    <row r="990" spans="1:22" x14ac:dyDescent="0.2">
      <c r="A990" s="32"/>
      <c r="B990" s="76" t="s">
        <v>5</v>
      </c>
      <c r="C990" s="76"/>
      <c r="D990" s="14">
        <f>SUM(D991:D994)</f>
        <v>183647.76855000001</v>
      </c>
      <c r="E990" s="14">
        <f t="shared" ref="E990:I990" si="136">SUM(E991:E994)</f>
        <v>183647.76855000001</v>
      </c>
      <c r="F990" s="14">
        <f t="shared" si="136"/>
        <v>0</v>
      </c>
      <c r="G990" s="14">
        <f t="shared" si="136"/>
        <v>0</v>
      </c>
      <c r="H990" s="14">
        <f t="shared" si="136"/>
        <v>0</v>
      </c>
      <c r="I990" s="14">
        <f t="shared" si="136"/>
        <v>0</v>
      </c>
      <c r="J990" s="34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6"/>
    </row>
    <row r="991" spans="1:22" x14ac:dyDescent="0.2">
      <c r="A991" s="32"/>
      <c r="B991" s="76" t="s">
        <v>0</v>
      </c>
      <c r="C991" s="76"/>
      <c r="D991" s="14">
        <f>E991+F991+G991+H991+I991</f>
        <v>0</v>
      </c>
      <c r="E991" s="14">
        <f>E999+E1007+E1015</f>
        <v>0</v>
      </c>
      <c r="F991" s="14">
        <f t="shared" ref="F991" si="137">F999+F1007+F1015</f>
        <v>0</v>
      </c>
      <c r="G991" s="14">
        <f t="shared" ref="G991:I991" si="138">G999+G1007+G1015</f>
        <v>0</v>
      </c>
      <c r="H991" s="14">
        <f t="shared" si="138"/>
        <v>0</v>
      </c>
      <c r="I991" s="14">
        <f t="shared" si="138"/>
        <v>0</v>
      </c>
      <c r="J991" s="37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9"/>
    </row>
    <row r="992" spans="1:22" x14ac:dyDescent="0.2">
      <c r="A992" s="32"/>
      <c r="B992" s="76" t="s">
        <v>1</v>
      </c>
      <c r="C992" s="76"/>
      <c r="D992" s="14">
        <f>E992+F992+G992+H992+I992</f>
        <v>182867.51</v>
      </c>
      <c r="E992" s="14">
        <f t="shared" ref="E992:F992" si="139">E1000+E1008+E1016</f>
        <v>182867.51</v>
      </c>
      <c r="F992" s="14">
        <f t="shared" si="139"/>
        <v>0</v>
      </c>
      <c r="G992" s="14">
        <f t="shared" ref="G992:I992" si="140">G1000+G1008+G1016</f>
        <v>0</v>
      </c>
      <c r="H992" s="14">
        <f t="shared" si="140"/>
        <v>0</v>
      </c>
      <c r="I992" s="14">
        <f t="shared" si="140"/>
        <v>0</v>
      </c>
      <c r="J992" s="37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9"/>
    </row>
    <row r="993" spans="1:22" x14ac:dyDescent="0.2">
      <c r="A993" s="32"/>
      <c r="B993" s="76" t="s">
        <v>2</v>
      </c>
      <c r="C993" s="76"/>
      <c r="D993" s="14">
        <f>E993+F993+G993+H993+I993</f>
        <v>780.25855000000001</v>
      </c>
      <c r="E993" s="14">
        <f t="shared" ref="E993:F993" si="141">E1001+E1009+E1017</f>
        <v>780.25855000000001</v>
      </c>
      <c r="F993" s="14">
        <f t="shared" si="141"/>
        <v>0</v>
      </c>
      <c r="G993" s="14">
        <f t="shared" ref="G993:I993" si="142">G1001+G1009+G1017</f>
        <v>0</v>
      </c>
      <c r="H993" s="14">
        <f t="shared" si="142"/>
        <v>0</v>
      </c>
      <c r="I993" s="14">
        <f t="shared" si="142"/>
        <v>0</v>
      </c>
      <c r="J993" s="37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9"/>
    </row>
    <row r="994" spans="1:22" ht="21" customHeight="1" x14ac:dyDescent="0.2">
      <c r="A994" s="33"/>
      <c r="B994" s="76" t="s">
        <v>3</v>
      </c>
      <c r="C994" s="76"/>
      <c r="D994" s="14">
        <f>E994+F994+G994+H994+I994</f>
        <v>0</v>
      </c>
      <c r="E994" s="14">
        <f t="shared" ref="E994:F994" si="143">E1002+E1010+E1018</f>
        <v>0</v>
      </c>
      <c r="F994" s="14">
        <f t="shared" si="143"/>
        <v>0</v>
      </c>
      <c r="G994" s="14">
        <f t="shared" ref="G994:I994" si="144">G1002+G1010+G1018</f>
        <v>0</v>
      </c>
      <c r="H994" s="14">
        <f t="shared" si="144"/>
        <v>0</v>
      </c>
      <c r="I994" s="14">
        <f t="shared" si="144"/>
        <v>0</v>
      </c>
      <c r="J994" s="40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2"/>
    </row>
    <row r="995" spans="1:22" x14ac:dyDescent="0.2">
      <c r="A995" s="46" t="s">
        <v>405</v>
      </c>
      <c r="B995" s="24" t="s">
        <v>16</v>
      </c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5"/>
    </row>
    <row r="996" spans="1:22" x14ac:dyDescent="0.2">
      <c r="A996" s="47" t="s">
        <v>30</v>
      </c>
      <c r="B996" s="82" t="s">
        <v>97</v>
      </c>
      <c r="C996" s="82"/>
      <c r="D996" s="82"/>
      <c r="E996" s="82"/>
      <c r="F996" s="82"/>
      <c r="G996" s="82"/>
      <c r="H996" s="82"/>
      <c r="I996" s="82"/>
      <c r="J996" s="82"/>
      <c r="K996" s="82"/>
      <c r="L996" s="82"/>
      <c r="M996" s="82"/>
      <c r="N996" s="82"/>
      <c r="O996" s="82"/>
      <c r="P996" s="82"/>
      <c r="Q996" s="82"/>
      <c r="R996" s="82"/>
      <c r="S996" s="82"/>
      <c r="T996" s="82"/>
      <c r="U996" s="82"/>
      <c r="V996" s="82"/>
    </row>
    <row r="997" spans="1:22" ht="99.95" customHeight="1" x14ac:dyDescent="0.2">
      <c r="A997" s="47"/>
      <c r="B997" s="60" t="s">
        <v>192</v>
      </c>
      <c r="C997" s="61" t="s">
        <v>192</v>
      </c>
      <c r="D997" s="61"/>
      <c r="E997" s="61"/>
      <c r="F997" s="61"/>
      <c r="G997" s="61"/>
      <c r="H997" s="61"/>
      <c r="I997" s="62"/>
      <c r="J997" s="57" t="s">
        <v>66</v>
      </c>
      <c r="K997" s="57"/>
      <c r="L997" s="57" t="s">
        <v>62</v>
      </c>
      <c r="M997" s="57"/>
      <c r="N997" s="57" t="s">
        <v>58</v>
      </c>
      <c r="O997" s="57"/>
      <c r="P997" s="57" t="s">
        <v>64</v>
      </c>
      <c r="Q997" s="85"/>
      <c r="R997" s="57" t="s">
        <v>9</v>
      </c>
      <c r="S997" s="57" t="s">
        <v>58</v>
      </c>
      <c r="T997" s="57" t="s">
        <v>7</v>
      </c>
      <c r="U997" s="57"/>
      <c r="V997" s="57"/>
    </row>
    <row r="998" spans="1:22" x14ac:dyDescent="0.2">
      <c r="A998" s="47"/>
      <c r="B998" s="59" t="s">
        <v>5</v>
      </c>
      <c r="C998" s="59" t="s">
        <v>5</v>
      </c>
      <c r="D998" s="9">
        <f>SUM(D999:D1002)</f>
        <v>94847.720250000013</v>
      </c>
      <c r="E998" s="10">
        <f>SUM(E999:E1002)</f>
        <v>94847.720250000013</v>
      </c>
      <c r="F998" s="10"/>
      <c r="G998" s="10"/>
      <c r="H998" s="10"/>
      <c r="I998" s="10"/>
      <c r="J998" s="57"/>
      <c r="K998" s="57"/>
      <c r="L998" s="57"/>
      <c r="M998" s="57"/>
      <c r="N998" s="57"/>
      <c r="O998" s="57"/>
      <c r="P998" s="57"/>
      <c r="Q998" s="85"/>
      <c r="R998" s="57"/>
      <c r="S998" s="57"/>
      <c r="T998" s="57"/>
      <c r="U998" s="57"/>
      <c r="V998" s="57"/>
    </row>
    <row r="999" spans="1:22" x14ac:dyDescent="0.2">
      <c r="A999" s="47"/>
      <c r="B999" s="59" t="s">
        <v>0</v>
      </c>
      <c r="C999" s="59" t="s">
        <v>0</v>
      </c>
      <c r="D999" s="9">
        <f>E999+F999+G999+H999+I999</f>
        <v>0</v>
      </c>
      <c r="E999" s="10"/>
      <c r="F999" s="10"/>
      <c r="G999" s="10"/>
      <c r="H999" s="10"/>
      <c r="I999" s="10"/>
      <c r="J999" s="57"/>
      <c r="K999" s="57"/>
      <c r="L999" s="57"/>
      <c r="M999" s="57"/>
      <c r="N999" s="57"/>
      <c r="O999" s="57"/>
      <c r="P999" s="57"/>
      <c r="Q999" s="85"/>
      <c r="R999" s="57"/>
      <c r="S999" s="57"/>
      <c r="T999" s="57"/>
      <c r="U999" s="57"/>
      <c r="V999" s="57"/>
    </row>
    <row r="1000" spans="1:22" x14ac:dyDescent="0.2">
      <c r="A1000" s="47"/>
      <c r="B1000" s="59" t="s">
        <v>1</v>
      </c>
      <c r="C1000" s="59" t="s">
        <v>1</v>
      </c>
      <c r="D1000" s="9">
        <f>E1000+F1000+G1000+H1000+I1000</f>
        <v>94469.42025000001</v>
      </c>
      <c r="E1000" s="13">
        <f>37828.6+57841.25-1200.42975</f>
        <v>94469.42025000001</v>
      </c>
      <c r="F1000" s="10"/>
      <c r="G1000" s="10"/>
      <c r="H1000" s="10"/>
      <c r="I1000" s="10"/>
      <c r="J1000" s="57"/>
      <c r="K1000" s="57"/>
      <c r="L1000" s="57"/>
      <c r="M1000" s="57"/>
      <c r="N1000" s="57"/>
      <c r="O1000" s="57"/>
      <c r="P1000" s="57"/>
      <c r="Q1000" s="85"/>
      <c r="R1000" s="57"/>
      <c r="S1000" s="57"/>
      <c r="T1000" s="57"/>
      <c r="U1000" s="57"/>
      <c r="V1000" s="57"/>
    </row>
    <row r="1001" spans="1:22" x14ac:dyDescent="0.2">
      <c r="A1001" s="47"/>
      <c r="B1001" s="59" t="s">
        <v>2</v>
      </c>
      <c r="C1001" s="59" t="s">
        <v>2</v>
      </c>
      <c r="D1001" s="9">
        <f>E1001+F1001+G1001+H1001+I1001</f>
        <v>378.3</v>
      </c>
      <c r="E1001" s="10">
        <v>378.3</v>
      </c>
      <c r="F1001" s="10"/>
      <c r="G1001" s="10"/>
      <c r="H1001" s="10"/>
      <c r="I1001" s="10"/>
      <c r="J1001" s="57"/>
      <c r="K1001" s="57"/>
      <c r="L1001" s="57"/>
      <c r="M1001" s="57"/>
      <c r="N1001" s="57"/>
      <c r="O1001" s="57"/>
      <c r="P1001" s="57"/>
      <c r="Q1001" s="85"/>
      <c r="R1001" s="57"/>
      <c r="S1001" s="57"/>
      <c r="T1001" s="57"/>
      <c r="U1001" s="57"/>
      <c r="V1001" s="57"/>
    </row>
    <row r="1002" spans="1:22" ht="21" customHeight="1" x14ac:dyDescent="0.2">
      <c r="A1002" s="48"/>
      <c r="B1002" s="59" t="s">
        <v>3</v>
      </c>
      <c r="C1002" s="59" t="s">
        <v>3</v>
      </c>
      <c r="D1002" s="9">
        <f>E1002+F1002+G1002+H1002+I1002</f>
        <v>0</v>
      </c>
      <c r="E1002" s="10"/>
      <c r="F1002" s="10"/>
      <c r="G1002" s="10"/>
      <c r="H1002" s="10"/>
      <c r="I1002" s="10"/>
      <c r="J1002" s="57"/>
      <c r="K1002" s="57"/>
      <c r="L1002" s="57"/>
      <c r="M1002" s="57"/>
      <c r="N1002" s="57"/>
      <c r="O1002" s="57"/>
      <c r="P1002" s="57"/>
      <c r="Q1002" s="85"/>
      <c r="R1002" s="57"/>
      <c r="S1002" s="57"/>
      <c r="T1002" s="57"/>
      <c r="U1002" s="57"/>
      <c r="V1002" s="57"/>
    </row>
    <row r="1003" spans="1:22" x14ac:dyDescent="0.2">
      <c r="A1003" s="46" t="s">
        <v>406</v>
      </c>
      <c r="B1003" s="24" t="s">
        <v>16</v>
      </c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5"/>
    </row>
    <row r="1004" spans="1:22" x14ac:dyDescent="0.2">
      <c r="A1004" s="47" t="s">
        <v>30</v>
      </c>
      <c r="B1004" s="82" t="s">
        <v>97</v>
      </c>
      <c r="C1004" s="82"/>
      <c r="D1004" s="82"/>
      <c r="E1004" s="82"/>
      <c r="F1004" s="82"/>
      <c r="G1004" s="82"/>
      <c r="H1004" s="82"/>
      <c r="I1004" s="82"/>
      <c r="J1004" s="82"/>
      <c r="K1004" s="82"/>
      <c r="L1004" s="82"/>
      <c r="M1004" s="82"/>
      <c r="N1004" s="82"/>
      <c r="O1004" s="82"/>
      <c r="P1004" s="82"/>
      <c r="Q1004" s="82"/>
      <c r="R1004" s="82"/>
      <c r="S1004" s="82"/>
      <c r="T1004" s="82"/>
      <c r="U1004" s="82"/>
      <c r="V1004" s="82"/>
    </row>
    <row r="1005" spans="1:22" ht="99.95" customHeight="1" x14ac:dyDescent="0.2">
      <c r="A1005" s="47"/>
      <c r="B1005" s="60" t="s">
        <v>277</v>
      </c>
      <c r="C1005" s="61" t="s">
        <v>277</v>
      </c>
      <c r="D1005" s="61"/>
      <c r="E1005" s="61"/>
      <c r="F1005" s="61"/>
      <c r="G1005" s="61"/>
      <c r="H1005" s="61"/>
      <c r="I1005" s="62"/>
      <c r="J1005" s="57" t="s">
        <v>66</v>
      </c>
      <c r="K1005" s="57"/>
      <c r="L1005" s="57" t="s">
        <v>62</v>
      </c>
      <c r="M1005" s="57"/>
      <c r="N1005" s="57" t="s">
        <v>58</v>
      </c>
      <c r="O1005" s="57"/>
      <c r="P1005" s="57" t="s">
        <v>64</v>
      </c>
      <c r="Q1005" s="85"/>
      <c r="R1005" s="57" t="s">
        <v>9</v>
      </c>
      <c r="S1005" s="57" t="s">
        <v>58</v>
      </c>
      <c r="T1005" s="57" t="s">
        <v>7</v>
      </c>
      <c r="U1005" s="57"/>
      <c r="V1005" s="57"/>
    </row>
    <row r="1006" spans="1:22" x14ac:dyDescent="0.2">
      <c r="A1006" s="47"/>
      <c r="B1006" s="59" t="s">
        <v>5</v>
      </c>
      <c r="C1006" s="59" t="s">
        <v>5</v>
      </c>
      <c r="D1006" s="9">
        <f>SUM(D1007:D1010)</f>
        <v>79037.529750000002</v>
      </c>
      <c r="E1006" s="10">
        <f>SUM(E1007:E1010)</f>
        <v>79037.529750000002</v>
      </c>
      <c r="F1006" s="10"/>
      <c r="G1006" s="10"/>
      <c r="H1006" s="10"/>
      <c r="I1006" s="10"/>
      <c r="J1006" s="57"/>
      <c r="K1006" s="57"/>
      <c r="L1006" s="57"/>
      <c r="M1006" s="57"/>
      <c r="N1006" s="57"/>
      <c r="O1006" s="57"/>
      <c r="P1006" s="57"/>
      <c r="Q1006" s="85"/>
      <c r="R1006" s="57"/>
      <c r="S1006" s="57"/>
      <c r="T1006" s="57"/>
      <c r="U1006" s="57"/>
      <c r="V1006" s="57"/>
    </row>
    <row r="1007" spans="1:22" x14ac:dyDescent="0.2">
      <c r="A1007" s="47"/>
      <c r="B1007" s="59" t="s">
        <v>0</v>
      </c>
      <c r="C1007" s="59" t="s">
        <v>0</v>
      </c>
      <c r="D1007" s="9">
        <f>E1007+F1007+G1007+H1007+I1007</f>
        <v>0</v>
      </c>
      <c r="E1007" s="10"/>
      <c r="F1007" s="10"/>
      <c r="G1007" s="10"/>
      <c r="H1007" s="10"/>
      <c r="I1007" s="10"/>
      <c r="J1007" s="57"/>
      <c r="K1007" s="57"/>
      <c r="L1007" s="57"/>
      <c r="M1007" s="57"/>
      <c r="N1007" s="57"/>
      <c r="O1007" s="57"/>
      <c r="P1007" s="57"/>
      <c r="Q1007" s="85"/>
      <c r="R1007" s="57"/>
      <c r="S1007" s="57"/>
      <c r="T1007" s="57"/>
      <c r="U1007" s="57"/>
      <c r="V1007" s="57"/>
    </row>
    <row r="1008" spans="1:22" x14ac:dyDescent="0.2">
      <c r="A1008" s="47"/>
      <c r="B1008" s="59" t="s">
        <v>1</v>
      </c>
      <c r="C1008" s="59" t="s">
        <v>1</v>
      </c>
      <c r="D1008" s="9">
        <f>E1008+F1008+G1008+H1008+I1008</f>
        <v>78732.229749999999</v>
      </c>
      <c r="E1008" s="13">
        <f>30531.8+17000+31200.42975</f>
        <v>78732.229749999999</v>
      </c>
      <c r="F1008" s="10"/>
      <c r="G1008" s="10"/>
      <c r="H1008" s="10"/>
      <c r="I1008" s="10"/>
      <c r="J1008" s="57"/>
      <c r="K1008" s="57"/>
      <c r="L1008" s="57"/>
      <c r="M1008" s="57"/>
      <c r="N1008" s="57"/>
      <c r="O1008" s="57"/>
      <c r="P1008" s="57"/>
      <c r="Q1008" s="85"/>
      <c r="R1008" s="57"/>
      <c r="S1008" s="57"/>
      <c r="T1008" s="57"/>
      <c r="U1008" s="57"/>
      <c r="V1008" s="57"/>
    </row>
    <row r="1009" spans="1:22" x14ac:dyDescent="0.2">
      <c r="A1009" s="47"/>
      <c r="B1009" s="59" t="s">
        <v>2</v>
      </c>
      <c r="C1009" s="59" t="s">
        <v>2</v>
      </c>
      <c r="D1009" s="9">
        <f>E1009+F1009+G1009+H1009+I1009</f>
        <v>305.3</v>
      </c>
      <c r="E1009" s="10">
        <v>305.3</v>
      </c>
      <c r="F1009" s="10"/>
      <c r="G1009" s="10"/>
      <c r="H1009" s="10"/>
      <c r="I1009" s="10"/>
      <c r="J1009" s="57"/>
      <c r="K1009" s="57"/>
      <c r="L1009" s="57"/>
      <c r="M1009" s="57"/>
      <c r="N1009" s="57"/>
      <c r="O1009" s="57"/>
      <c r="P1009" s="57"/>
      <c r="Q1009" s="85"/>
      <c r="R1009" s="57"/>
      <c r="S1009" s="57"/>
      <c r="T1009" s="57"/>
      <c r="U1009" s="57"/>
      <c r="V1009" s="57"/>
    </row>
    <row r="1010" spans="1:22" ht="21" customHeight="1" x14ac:dyDescent="0.2">
      <c r="A1010" s="48"/>
      <c r="B1010" s="59" t="s">
        <v>3</v>
      </c>
      <c r="C1010" s="59" t="s">
        <v>3</v>
      </c>
      <c r="D1010" s="9">
        <f>E1010+F1010+G1010+H1010+I1010</f>
        <v>0</v>
      </c>
      <c r="E1010" s="10"/>
      <c r="F1010" s="10"/>
      <c r="G1010" s="10"/>
      <c r="H1010" s="10"/>
      <c r="I1010" s="10"/>
      <c r="J1010" s="57"/>
      <c r="K1010" s="57"/>
      <c r="L1010" s="57"/>
      <c r="M1010" s="57"/>
      <c r="N1010" s="57"/>
      <c r="O1010" s="57"/>
      <c r="P1010" s="57"/>
      <c r="Q1010" s="85"/>
      <c r="R1010" s="57"/>
      <c r="S1010" s="57"/>
      <c r="T1010" s="57"/>
      <c r="U1010" s="57"/>
      <c r="V1010" s="57"/>
    </row>
    <row r="1011" spans="1:22" x14ac:dyDescent="0.2">
      <c r="A1011" s="46" t="s">
        <v>407</v>
      </c>
      <c r="B1011" s="24" t="s">
        <v>16</v>
      </c>
      <c r="C1011" s="24"/>
      <c r="D1011" s="24"/>
      <c r="E1011" s="24"/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24"/>
      <c r="S1011" s="24"/>
      <c r="T1011" s="24"/>
      <c r="U1011" s="24"/>
      <c r="V1011" s="25"/>
    </row>
    <row r="1012" spans="1:22" x14ac:dyDescent="0.2">
      <c r="A1012" s="47" t="s">
        <v>30</v>
      </c>
      <c r="B1012" s="82" t="s">
        <v>97</v>
      </c>
      <c r="C1012" s="82"/>
      <c r="D1012" s="82"/>
      <c r="E1012" s="82"/>
      <c r="F1012" s="82"/>
      <c r="G1012" s="82"/>
      <c r="H1012" s="82"/>
      <c r="I1012" s="82"/>
      <c r="J1012" s="82"/>
      <c r="K1012" s="82"/>
      <c r="L1012" s="82"/>
      <c r="M1012" s="82"/>
      <c r="N1012" s="82"/>
      <c r="O1012" s="82"/>
      <c r="P1012" s="82"/>
      <c r="Q1012" s="82"/>
      <c r="R1012" s="82"/>
      <c r="S1012" s="82"/>
      <c r="T1012" s="82"/>
      <c r="U1012" s="82"/>
      <c r="V1012" s="82"/>
    </row>
    <row r="1013" spans="1:22" ht="71.25" customHeight="1" x14ac:dyDescent="0.2">
      <c r="A1013" s="47"/>
      <c r="B1013" s="60" t="s">
        <v>193</v>
      </c>
      <c r="C1013" s="61" t="s">
        <v>193</v>
      </c>
      <c r="D1013" s="61"/>
      <c r="E1013" s="61"/>
      <c r="F1013" s="61"/>
      <c r="G1013" s="61"/>
      <c r="H1013" s="61"/>
      <c r="I1013" s="62"/>
      <c r="J1013" s="57" t="s">
        <v>66</v>
      </c>
      <c r="K1013" s="57"/>
      <c r="L1013" s="57" t="s">
        <v>62</v>
      </c>
      <c r="M1013" s="57"/>
      <c r="N1013" s="57" t="s">
        <v>194</v>
      </c>
      <c r="O1013" s="57" t="s">
        <v>194</v>
      </c>
      <c r="P1013" s="57" t="s">
        <v>194</v>
      </c>
      <c r="Q1013" s="85"/>
      <c r="R1013" s="57" t="s">
        <v>9</v>
      </c>
      <c r="S1013" s="57" t="s">
        <v>195</v>
      </c>
      <c r="T1013" s="57" t="s">
        <v>7</v>
      </c>
      <c r="U1013" s="57"/>
      <c r="V1013" s="57"/>
    </row>
    <row r="1014" spans="1:22" x14ac:dyDescent="0.2">
      <c r="A1014" s="47"/>
      <c r="B1014" s="59" t="s">
        <v>5</v>
      </c>
      <c r="C1014" s="59" t="s">
        <v>5</v>
      </c>
      <c r="D1014" s="9">
        <f>SUM(D1015:D1018)</f>
        <v>9762.5185500000007</v>
      </c>
      <c r="E1014" s="10">
        <f>SUM(E1015:E1018)</f>
        <v>9762.5185500000007</v>
      </c>
      <c r="F1014" s="10"/>
      <c r="G1014" s="10"/>
      <c r="H1014" s="10"/>
      <c r="I1014" s="10"/>
      <c r="J1014" s="57"/>
      <c r="K1014" s="57"/>
      <c r="L1014" s="57"/>
      <c r="M1014" s="57"/>
      <c r="N1014" s="57"/>
      <c r="O1014" s="57"/>
      <c r="P1014" s="57"/>
      <c r="Q1014" s="85"/>
      <c r="R1014" s="57"/>
      <c r="S1014" s="57"/>
      <c r="T1014" s="57"/>
      <c r="U1014" s="57"/>
      <c r="V1014" s="57"/>
    </row>
    <row r="1015" spans="1:22" x14ac:dyDescent="0.2">
      <c r="A1015" s="47"/>
      <c r="B1015" s="59" t="s">
        <v>0</v>
      </c>
      <c r="C1015" s="59" t="s">
        <v>0</v>
      </c>
      <c r="D1015" s="9">
        <f>E1015+F1015+G1015+H1015+I1015</f>
        <v>0</v>
      </c>
      <c r="E1015" s="10"/>
      <c r="F1015" s="10"/>
      <c r="G1015" s="10"/>
      <c r="H1015" s="10"/>
      <c r="I1015" s="10"/>
      <c r="J1015" s="57"/>
      <c r="K1015" s="57"/>
      <c r="L1015" s="57"/>
      <c r="M1015" s="57"/>
      <c r="N1015" s="57"/>
      <c r="O1015" s="57"/>
      <c r="P1015" s="57"/>
      <c r="Q1015" s="85"/>
      <c r="R1015" s="57"/>
      <c r="S1015" s="57"/>
      <c r="T1015" s="57"/>
      <c r="U1015" s="57"/>
      <c r="V1015" s="57"/>
    </row>
    <row r="1016" spans="1:22" x14ac:dyDescent="0.2">
      <c r="A1016" s="47"/>
      <c r="B1016" s="59" t="s">
        <v>1</v>
      </c>
      <c r="C1016" s="59" t="s">
        <v>1</v>
      </c>
      <c r="D1016" s="9">
        <f>E1016+F1016+G1016+H1016+I1016</f>
        <v>9665.86</v>
      </c>
      <c r="E1016" s="10">
        <v>9665.86</v>
      </c>
      <c r="F1016" s="10"/>
      <c r="G1016" s="10"/>
      <c r="H1016" s="10"/>
      <c r="I1016" s="10"/>
      <c r="J1016" s="57"/>
      <c r="K1016" s="57"/>
      <c r="L1016" s="57"/>
      <c r="M1016" s="57"/>
      <c r="N1016" s="57"/>
      <c r="O1016" s="57"/>
      <c r="P1016" s="57"/>
      <c r="Q1016" s="85"/>
      <c r="R1016" s="57"/>
      <c r="S1016" s="57"/>
      <c r="T1016" s="57"/>
      <c r="U1016" s="57"/>
      <c r="V1016" s="57"/>
    </row>
    <row r="1017" spans="1:22" x14ac:dyDescent="0.2">
      <c r="A1017" s="47"/>
      <c r="B1017" s="59" t="s">
        <v>2</v>
      </c>
      <c r="C1017" s="59" t="s">
        <v>2</v>
      </c>
      <c r="D1017" s="9">
        <f>E1017+F1017+G1017+H1017+I1017</f>
        <v>96.658549999999991</v>
      </c>
      <c r="E1017" s="10">
        <v>96.658549999999991</v>
      </c>
      <c r="F1017" s="10"/>
      <c r="G1017" s="10"/>
      <c r="H1017" s="10"/>
      <c r="I1017" s="10"/>
      <c r="J1017" s="57"/>
      <c r="K1017" s="57"/>
      <c r="L1017" s="57"/>
      <c r="M1017" s="57"/>
      <c r="N1017" s="57"/>
      <c r="O1017" s="57"/>
      <c r="P1017" s="57"/>
      <c r="Q1017" s="85"/>
      <c r="R1017" s="57"/>
      <c r="S1017" s="57"/>
      <c r="T1017" s="57"/>
      <c r="U1017" s="57"/>
      <c r="V1017" s="57"/>
    </row>
    <row r="1018" spans="1:22" ht="21" customHeight="1" x14ac:dyDescent="0.2">
      <c r="A1018" s="48"/>
      <c r="B1018" s="59" t="s">
        <v>3</v>
      </c>
      <c r="C1018" s="59" t="s">
        <v>3</v>
      </c>
      <c r="D1018" s="9">
        <f>E1018+F1018+G1018+H1018+I1018</f>
        <v>0</v>
      </c>
      <c r="E1018" s="10"/>
      <c r="F1018" s="10"/>
      <c r="G1018" s="10"/>
      <c r="H1018" s="10"/>
      <c r="I1018" s="10"/>
      <c r="J1018" s="57"/>
      <c r="K1018" s="57"/>
      <c r="L1018" s="57"/>
      <c r="M1018" s="57"/>
      <c r="N1018" s="57"/>
      <c r="O1018" s="57"/>
      <c r="P1018" s="57"/>
      <c r="Q1018" s="85"/>
      <c r="R1018" s="57"/>
      <c r="S1018" s="57"/>
      <c r="T1018" s="57"/>
      <c r="U1018" s="57"/>
      <c r="V1018" s="57"/>
    </row>
    <row r="1019" spans="1:22" x14ac:dyDescent="0.2">
      <c r="A1019" s="31" t="s">
        <v>56</v>
      </c>
      <c r="B1019" s="75" t="s">
        <v>139</v>
      </c>
      <c r="C1019" s="75"/>
      <c r="D1019" s="75"/>
      <c r="E1019" s="75"/>
      <c r="F1019" s="75"/>
      <c r="G1019" s="75"/>
      <c r="H1019" s="75"/>
      <c r="I1019" s="75"/>
      <c r="J1019" s="75"/>
      <c r="K1019" s="75"/>
      <c r="L1019" s="75"/>
      <c r="M1019" s="75"/>
      <c r="N1019" s="75"/>
      <c r="O1019" s="75"/>
      <c r="P1019" s="75"/>
      <c r="Q1019" s="75"/>
      <c r="R1019" s="75"/>
      <c r="S1019" s="75"/>
      <c r="T1019" s="75"/>
      <c r="U1019" s="75"/>
      <c r="V1019" s="75"/>
    </row>
    <row r="1020" spans="1:22" x14ac:dyDescent="0.2">
      <c r="A1020" s="32"/>
      <c r="B1020" s="76" t="s">
        <v>5</v>
      </c>
      <c r="C1020" s="76"/>
      <c r="D1020" s="14">
        <f>SUM(D1021:D1024)</f>
        <v>39999.999999999993</v>
      </c>
      <c r="E1020" s="14">
        <f t="shared" ref="E1020:F1020" si="145">E1028+E1036+E1044</f>
        <v>39999.999999999993</v>
      </c>
      <c r="F1020" s="14">
        <f t="shared" si="145"/>
        <v>0</v>
      </c>
      <c r="G1020" s="14">
        <f t="shared" ref="G1020:I1020" si="146">G1028+G1036+G1044</f>
        <v>0</v>
      </c>
      <c r="H1020" s="14">
        <f t="shared" si="146"/>
        <v>0</v>
      </c>
      <c r="I1020" s="14">
        <f t="shared" si="146"/>
        <v>0</v>
      </c>
      <c r="J1020" s="34"/>
      <c r="K1020" s="35"/>
      <c r="L1020" s="35"/>
      <c r="M1020" s="35"/>
      <c r="N1020" s="35"/>
      <c r="O1020" s="35"/>
      <c r="P1020" s="35"/>
      <c r="Q1020" s="35"/>
      <c r="R1020" s="35"/>
      <c r="S1020" s="35"/>
      <c r="T1020" s="35"/>
      <c r="U1020" s="35"/>
      <c r="V1020" s="36"/>
    </row>
    <row r="1021" spans="1:22" x14ac:dyDescent="0.2">
      <c r="A1021" s="32"/>
      <c r="B1021" s="76" t="s">
        <v>0</v>
      </c>
      <c r="C1021" s="76"/>
      <c r="D1021" s="14">
        <f>E1021+F1021+G1021+H1021+I1021</f>
        <v>0</v>
      </c>
      <c r="E1021" s="14">
        <f t="shared" ref="E1021:F1021" si="147">E1029+E1037+E1045</f>
        <v>0</v>
      </c>
      <c r="F1021" s="14">
        <f t="shared" si="147"/>
        <v>0</v>
      </c>
      <c r="G1021" s="14">
        <f t="shared" ref="G1021:I1021" si="148">G1029+G1037+G1045</f>
        <v>0</v>
      </c>
      <c r="H1021" s="14">
        <f t="shared" si="148"/>
        <v>0</v>
      </c>
      <c r="I1021" s="14">
        <f t="shared" si="148"/>
        <v>0</v>
      </c>
      <c r="J1021" s="37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9"/>
    </row>
    <row r="1022" spans="1:22" x14ac:dyDescent="0.2">
      <c r="A1022" s="32"/>
      <c r="B1022" s="76" t="s">
        <v>1</v>
      </c>
      <c r="C1022" s="76"/>
      <c r="D1022" s="14">
        <f>E1022+F1022+G1022+H1022+I1022</f>
        <v>39999.999999999993</v>
      </c>
      <c r="E1022" s="14">
        <f>E1030+E1038+E1046</f>
        <v>39999.999999999993</v>
      </c>
      <c r="F1022" s="14">
        <f t="shared" ref="F1022" si="149">F1030+F1038+F1046</f>
        <v>0</v>
      </c>
      <c r="G1022" s="14">
        <f t="shared" ref="G1022:I1022" si="150">G1030+G1038+G1046</f>
        <v>0</v>
      </c>
      <c r="H1022" s="14">
        <f t="shared" si="150"/>
        <v>0</v>
      </c>
      <c r="I1022" s="14">
        <f t="shared" si="150"/>
        <v>0</v>
      </c>
      <c r="J1022" s="37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9"/>
    </row>
    <row r="1023" spans="1:22" x14ac:dyDescent="0.2">
      <c r="A1023" s="32"/>
      <c r="B1023" s="76" t="s">
        <v>2</v>
      </c>
      <c r="C1023" s="76"/>
      <c r="D1023" s="14">
        <f>E1023+F1023+G1023+H1023+I1023</f>
        <v>0</v>
      </c>
      <c r="E1023" s="14">
        <f t="shared" ref="E1023:F1023" si="151">E1031+E1039+E1047</f>
        <v>0</v>
      </c>
      <c r="F1023" s="14">
        <f t="shared" si="151"/>
        <v>0</v>
      </c>
      <c r="G1023" s="14">
        <f t="shared" ref="G1023:I1023" si="152">G1031+G1039+G1047</f>
        <v>0</v>
      </c>
      <c r="H1023" s="14">
        <f t="shared" si="152"/>
        <v>0</v>
      </c>
      <c r="I1023" s="14">
        <f t="shared" si="152"/>
        <v>0</v>
      </c>
      <c r="J1023" s="37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9"/>
    </row>
    <row r="1024" spans="1:22" ht="21" customHeight="1" x14ac:dyDescent="0.2">
      <c r="A1024" s="33"/>
      <c r="B1024" s="76" t="s">
        <v>3</v>
      </c>
      <c r="C1024" s="76"/>
      <c r="D1024" s="14">
        <f>E1024+F1024+G1024+H1024+I1024</f>
        <v>0</v>
      </c>
      <c r="E1024" s="14">
        <f t="shared" ref="E1024:F1024" si="153">E1032+E1040+E1048</f>
        <v>0</v>
      </c>
      <c r="F1024" s="14">
        <f t="shared" si="153"/>
        <v>0</v>
      </c>
      <c r="G1024" s="14">
        <f t="shared" ref="G1024:I1024" si="154">G1032+G1040+G1048</f>
        <v>0</v>
      </c>
      <c r="H1024" s="14">
        <f t="shared" si="154"/>
        <v>0</v>
      </c>
      <c r="I1024" s="14">
        <f t="shared" si="154"/>
        <v>0</v>
      </c>
      <c r="J1024" s="40"/>
      <c r="K1024" s="41"/>
      <c r="L1024" s="41"/>
      <c r="M1024" s="41"/>
      <c r="N1024" s="41"/>
      <c r="O1024" s="41"/>
      <c r="P1024" s="41"/>
      <c r="Q1024" s="41"/>
      <c r="R1024" s="41"/>
      <c r="S1024" s="41"/>
      <c r="T1024" s="41"/>
      <c r="U1024" s="41"/>
      <c r="V1024" s="42"/>
    </row>
    <row r="1025" spans="1:22" x14ac:dyDescent="0.2">
      <c r="A1025" s="46" t="s">
        <v>57</v>
      </c>
      <c r="B1025" s="24" t="s">
        <v>104</v>
      </c>
      <c r="C1025" s="24"/>
      <c r="D1025" s="24"/>
      <c r="E1025" s="24"/>
      <c r="F1025" s="24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  <c r="R1025" s="24"/>
      <c r="S1025" s="24"/>
      <c r="T1025" s="24"/>
      <c r="U1025" s="24"/>
      <c r="V1025" s="25"/>
    </row>
    <row r="1026" spans="1:22" x14ac:dyDescent="0.2">
      <c r="A1026" s="47" t="s">
        <v>30</v>
      </c>
      <c r="B1026" s="82" t="s">
        <v>278</v>
      </c>
      <c r="C1026" s="82"/>
      <c r="D1026" s="82"/>
      <c r="E1026" s="82"/>
      <c r="F1026" s="82"/>
      <c r="G1026" s="82"/>
      <c r="H1026" s="82"/>
      <c r="I1026" s="82"/>
      <c r="J1026" s="82"/>
      <c r="K1026" s="82"/>
      <c r="L1026" s="82"/>
      <c r="M1026" s="82"/>
      <c r="N1026" s="82"/>
      <c r="O1026" s="82"/>
      <c r="P1026" s="82"/>
      <c r="Q1026" s="82"/>
      <c r="R1026" s="82"/>
      <c r="S1026" s="82"/>
      <c r="T1026" s="82"/>
      <c r="U1026" s="82"/>
      <c r="V1026" s="82"/>
    </row>
    <row r="1027" spans="1:22" ht="63" customHeight="1" x14ac:dyDescent="0.2">
      <c r="A1027" s="47"/>
      <c r="B1027" s="54" t="s">
        <v>586</v>
      </c>
      <c r="C1027" s="55" t="s">
        <v>369</v>
      </c>
      <c r="D1027" s="55"/>
      <c r="E1027" s="55"/>
      <c r="F1027" s="55"/>
      <c r="G1027" s="55"/>
      <c r="H1027" s="55"/>
      <c r="I1027" s="56"/>
      <c r="J1027" s="57" t="s">
        <v>383</v>
      </c>
      <c r="K1027" s="57" t="s">
        <v>410</v>
      </c>
      <c r="L1027" s="69" t="s">
        <v>62</v>
      </c>
      <c r="M1027" s="57"/>
      <c r="N1027" s="57" t="s">
        <v>112</v>
      </c>
      <c r="O1027" s="57" t="s">
        <v>104</v>
      </c>
      <c r="P1027" s="57" t="s">
        <v>112</v>
      </c>
      <c r="Q1027" s="85">
        <v>16000</v>
      </c>
      <c r="R1027" s="57" t="s">
        <v>9</v>
      </c>
      <c r="S1027" s="57" t="s">
        <v>112</v>
      </c>
      <c r="T1027" s="57" t="s">
        <v>171</v>
      </c>
      <c r="U1027" s="57"/>
      <c r="V1027" s="57"/>
    </row>
    <row r="1028" spans="1:22" x14ac:dyDescent="0.2">
      <c r="A1028" s="47"/>
      <c r="B1028" s="59" t="s">
        <v>5</v>
      </c>
      <c r="C1028" s="59" t="s">
        <v>5</v>
      </c>
      <c r="D1028" s="9">
        <f>SUM(D1029:D1032)</f>
        <v>13798.619999999999</v>
      </c>
      <c r="E1028" s="10">
        <f>SUM(E1029:E1032)</f>
        <v>13798.619999999999</v>
      </c>
      <c r="F1028" s="10"/>
      <c r="G1028" s="10"/>
      <c r="H1028" s="10"/>
      <c r="I1028" s="10"/>
      <c r="J1028" s="57"/>
      <c r="K1028" s="57"/>
      <c r="L1028" s="69"/>
      <c r="M1028" s="57"/>
      <c r="N1028" s="57"/>
      <c r="O1028" s="57"/>
      <c r="P1028" s="57"/>
      <c r="Q1028" s="85"/>
      <c r="R1028" s="57"/>
      <c r="S1028" s="57"/>
      <c r="T1028" s="57"/>
      <c r="U1028" s="57"/>
      <c r="V1028" s="57"/>
    </row>
    <row r="1029" spans="1:22" x14ac:dyDescent="0.2">
      <c r="A1029" s="47"/>
      <c r="B1029" s="59" t="s">
        <v>0</v>
      </c>
      <c r="C1029" s="59" t="s">
        <v>0</v>
      </c>
      <c r="D1029" s="9">
        <f>E1029+F1029+G1029+H1029+I1029</f>
        <v>0</v>
      </c>
      <c r="E1029" s="10"/>
      <c r="F1029" s="10"/>
      <c r="G1029" s="10"/>
      <c r="H1029" s="10"/>
      <c r="I1029" s="10"/>
      <c r="J1029" s="57"/>
      <c r="K1029" s="57"/>
      <c r="L1029" s="69"/>
      <c r="M1029" s="57"/>
      <c r="N1029" s="57"/>
      <c r="O1029" s="57"/>
      <c r="P1029" s="57"/>
      <c r="Q1029" s="85"/>
      <c r="R1029" s="57"/>
      <c r="S1029" s="57"/>
      <c r="T1029" s="57"/>
      <c r="U1029" s="57"/>
      <c r="V1029" s="57"/>
    </row>
    <row r="1030" spans="1:22" x14ac:dyDescent="0.2">
      <c r="A1030" s="47"/>
      <c r="B1030" s="59" t="s">
        <v>1</v>
      </c>
      <c r="C1030" s="59" t="s">
        <v>1</v>
      </c>
      <c r="D1030" s="9">
        <f>E1030+F1030+G1030+H1030+I1030</f>
        <v>13798.619999999999</v>
      </c>
      <c r="E1030" s="13">
        <f>10000+3798.62</f>
        <v>13798.619999999999</v>
      </c>
      <c r="F1030" s="10"/>
      <c r="G1030" s="10"/>
      <c r="H1030" s="10"/>
      <c r="I1030" s="10"/>
      <c r="J1030" s="57"/>
      <c r="K1030" s="57"/>
      <c r="L1030" s="69"/>
      <c r="M1030" s="57"/>
      <c r="N1030" s="57"/>
      <c r="O1030" s="57"/>
      <c r="P1030" s="57"/>
      <c r="Q1030" s="85"/>
      <c r="R1030" s="57"/>
      <c r="S1030" s="57"/>
      <c r="T1030" s="57"/>
      <c r="U1030" s="57"/>
      <c r="V1030" s="57"/>
    </row>
    <row r="1031" spans="1:22" x14ac:dyDescent="0.2">
      <c r="A1031" s="47"/>
      <c r="B1031" s="59" t="s">
        <v>2</v>
      </c>
      <c r="C1031" s="59" t="s">
        <v>2</v>
      </c>
      <c r="D1031" s="9">
        <f>E1031+F1031+G1031+H1031+I1031</f>
        <v>0</v>
      </c>
      <c r="E1031" s="10"/>
      <c r="F1031" s="10"/>
      <c r="G1031" s="10"/>
      <c r="H1031" s="10"/>
      <c r="I1031" s="10"/>
      <c r="J1031" s="57"/>
      <c r="K1031" s="57"/>
      <c r="L1031" s="69"/>
      <c r="M1031" s="57"/>
      <c r="N1031" s="57"/>
      <c r="O1031" s="57"/>
      <c r="P1031" s="57"/>
      <c r="Q1031" s="85"/>
      <c r="R1031" s="57"/>
      <c r="S1031" s="57"/>
      <c r="T1031" s="57"/>
      <c r="U1031" s="57"/>
      <c r="V1031" s="57"/>
    </row>
    <row r="1032" spans="1:22" ht="21" customHeight="1" x14ac:dyDescent="0.2">
      <c r="A1032" s="48"/>
      <c r="B1032" s="59" t="s">
        <v>3</v>
      </c>
      <c r="C1032" s="59" t="s">
        <v>3</v>
      </c>
      <c r="D1032" s="9">
        <f>E1032+F1032+G1032+H1032+I1032</f>
        <v>0</v>
      </c>
      <c r="E1032" s="10"/>
      <c r="F1032" s="10"/>
      <c r="G1032" s="10"/>
      <c r="H1032" s="10"/>
      <c r="I1032" s="10"/>
      <c r="J1032" s="57"/>
      <c r="K1032" s="57"/>
      <c r="L1032" s="69"/>
      <c r="M1032" s="57"/>
      <c r="N1032" s="57"/>
      <c r="O1032" s="57"/>
      <c r="P1032" s="57"/>
      <c r="Q1032" s="85"/>
      <c r="R1032" s="57"/>
      <c r="S1032" s="57"/>
      <c r="T1032" s="57"/>
      <c r="U1032" s="57"/>
      <c r="V1032" s="57"/>
    </row>
    <row r="1033" spans="1:22" x14ac:dyDescent="0.2">
      <c r="A1033" s="46" t="s">
        <v>408</v>
      </c>
      <c r="B1033" s="24" t="s">
        <v>104</v>
      </c>
      <c r="C1033" s="24"/>
      <c r="D1033" s="24"/>
      <c r="E1033" s="24"/>
      <c r="F1033" s="24"/>
      <c r="G1033" s="24"/>
      <c r="H1033" s="24"/>
      <c r="I1033" s="24"/>
      <c r="J1033" s="24"/>
      <c r="K1033" s="24"/>
      <c r="L1033" s="24"/>
      <c r="M1033" s="24"/>
      <c r="N1033" s="24"/>
      <c r="O1033" s="24"/>
      <c r="P1033" s="24"/>
      <c r="Q1033" s="24"/>
      <c r="R1033" s="24"/>
      <c r="S1033" s="24"/>
      <c r="T1033" s="24"/>
      <c r="U1033" s="24"/>
      <c r="V1033" s="25"/>
    </row>
    <row r="1034" spans="1:22" x14ac:dyDescent="0.2">
      <c r="A1034" s="47" t="s">
        <v>30</v>
      </c>
      <c r="B1034" s="82" t="s">
        <v>278</v>
      </c>
      <c r="C1034" s="82"/>
      <c r="D1034" s="82"/>
      <c r="E1034" s="82"/>
      <c r="F1034" s="82"/>
      <c r="G1034" s="82"/>
      <c r="H1034" s="82"/>
      <c r="I1034" s="82"/>
      <c r="J1034" s="82"/>
      <c r="K1034" s="82"/>
      <c r="L1034" s="82"/>
      <c r="M1034" s="82"/>
      <c r="N1034" s="82"/>
      <c r="O1034" s="82"/>
      <c r="P1034" s="82"/>
      <c r="Q1034" s="82"/>
      <c r="R1034" s="82"/>
      <c r="S1034" s="82"/>
      <c r="T1034" s="82"/>
      <c r="U1034" s="82"/>
      <c r="V1034" s="82"/>
    </row>
    <row r="1035" spans="1:22" ht="69.75" customHeight="1" x14ac:dyDescent="0.2">
      <c r="A1035" s="47"/>
      <c r="B1035" s="54" t="s">
        <v>370</v>
      </c>
      <c r="C1035" s="55" t="s">
        <v>370</v>
      </c>
      <c r="D1035" s="55"/>
      <c r="E1035" s="55"/>
      <c r="F1035" s="55"/>
      <c r="G1035" s="55"/>
      <c r="H1035" s="55"/>
      <c r="I1035" s="56"/>
      <c r="J1035" s="69" t="s">
        <v>383</v>
      </c>
      <c r="K1035" s="69" t="s">
        <v>410</v>
      </c>
      <c r="L1035" s="69" t="s">
        <v>62</v>
      </c>
      <c r="M1035" s="69"/>
      <c r="N1035" s="69" t="s">
        <v>222</v>
      </c>
      <c r="O1035" s="69" t="s">
        <v>104</v>
      </c>
      <c r="P1035" s="69" t="s">
        <v>222</v>
      </c>
      <c r="Q1035" s="69" t="s">
        <v>222</v>
      </c>
      <c r="R1035" s="69" t="s">
        <v>9</v>
      </c>
      <c r="S1035" s="69" t="s">
        <v>222</v>
      </c>
      <c r="T1035" s="69" t="s">
        <v>171</v>
      </c>
      <c r="U1035" s="69"/>
      <c r="V1035" s="69"/>
    </row>
    <row r="1036" spans="1:22" x14ac:dyDescent="0.2">
      <c r="A1036" s="47"/>
      <c r="B1036" s="30" t="s">
        <v>5</v>
      </c>
      <c r="C1036" s="30" t="s">
        <v>5</v>
      </c>
      <c r="D1036" s="12">
        <f>SUM(D1037:D1040)</f>
        <v>20000</v>
      </c>
      <c r="E1036" s="13">
        <f>SUM(E1037:E1040)</f>
        <v>20000</v>
      </c>
      <c r="F1036" s="13"/>
      <c r="G1036" s="13"/>
      <c r="H1036" s="13"/>
      <c r="I1036" s="13"/>
      <c r="J1036" s="69"/>
      <c r="K1036" s="69"/>
      <c r="L1036" s="69"/>
      <c r="M1036" s="69"/>
      <c r="N1036" s="69"/>
      <c r="O1036" s="69"/>
      <c r="P1036" s="69"/>
      <c r="Q1036" s="69"/>
      <c r="R1036" s="69"/>
      <c r="S1036" s="69"/>
      <c r="T1036" s="69"/>
      <c r="U1036" s="69"/>
      <c r="V1036" s="69"/>
    </row>
    <row r="1037" spans="1:22" x14ac:dyDescent="0.2">
      <c r="A1037" s="47"/>
      <c r="B1037" s="30" t="s">
        <v>0</v>
      </c>
      <c r="C1037" s="30" t="s">
        <v>0</v>
      </c>
      <c r="D1037" s="12">
        <f>E1037+F1037+G1037+H1037+I1037</f>
        <v>0</v>
      </c>
      <c r="E1037" s="13"/>
      <c r="F1037" s="13"/>
      <c r="G1037" s="13"/>
      <c r="H1037" s="13"/>
      <c r="I1037" s="13"/>
      <c r="J1037" s="69"/>
      <c r="K1037" s="69"/>
      <c r="L1037" s="69"/>
      <c r="M1037" s="69"/>
      <c r="N1037" s="69"/>
      <c r="O1037" s="69"/>
      <c r="P1037" s="69"/>
      <c r="Q1037" s="69"/>
      <c r="R1037" s="69"/>
      <c r="S1037" s="69"/>
      <c r="T1037" s="69"/>
      <c r="U1037" s="69"/>
      <c r="V1037" s="69"/>
    </row>
    <row r="1038" spans="1:22" x14ac:dyDescent="0.2">
      <c r="A1038" s="47"/>
      <c r="B1038" s="30" t="s">
        <v>1</v>
      </c>
      <c r="C1038" s="30" t="s">
        <v>1</v>
      </c>
      <c r="D1038" s="12">
        <f>E1038+F1038+G1038+H1038+I1038</f>
        <v>20000</v>
      </c>
      <c r="E1038" s="13">
        <f>10000+10000</f>
        <v>20000</v>
      </c>
      <c r="F1038" s="13"/>
      <c r="G1038" s="13"/>
      <c r="H1038" s="13"/>
      <c r="I1038" s="13"/>
      <c r="J1038" s="69"/>
      <c r="K1038" s="69"/>
      <c r="L1038" s="69"/>
      <c r="M1038" s="69"/>
      <c r="N1038" s="69"/>
      <c r="O1038" s="69"/>
      <c r="P1038" s="69"/>
      <c r="Q1038" s="69"/>
      <c r="R1038" s="69"/>
      <c r="S1038" s="69"/>
      <c r="T1038" s="69"/>
      <c r="U1038" s="69"/>
      <c r="V1038" s="69"/>
    </row>
    <row r="1039" spans="1:22" x14ac:dyDescent="0.2">
      <c r="A1039" s="47"/>
      <c r="B1039" s="30" t="s">
        <v>2</v>
      </c>
      <c r="C1039" s="30" t="s">
        <v>2</v>
      </c>
      <c r="D1039" s="12">
        <f>E1039+F1039+G1039+H1039+I1039</f>
        <v>0</v>
      </c>
      <c r="E1039" s="13"/>
      <c r="F1039" s="13"/>
      <c r="G1039" s="13"/>
      <c r="H1039" s="13"/>
      <c r="I1039" s="13"/>
      <c r="J1039" s="69"/>
      <c r="K1039" s="69"/>
      <c r="L1039" s="69"/>
      <c r="M1039" s="69"/>
      <c r="N1039" s="69"/>
      <c r="O1039" s="69"/>
      <c r="P1039" s="69"/>
      <c r="Q1039" s="69"/>
      <c r="R1039" s="69"/>
      <c r="S1039" s="69"/>
      <c r="T1039" s="69"/>
      <c r="U1039" s="69"/>
      <c r="V1039" s="69"/>
    </row>
    <row r="1040" spans="1:22" ht="21" customHeight="1" x14ac:dyDescent="0.2">
      <c r="A1040" s="48"/>
      <c r="B1040" s="30" t="s">
        <v>3</v>
      </c>
      <c r="C1040" s="30" t="s">
        <v>3</v>
      </c>
      <c r="D1040" s="12">
        <f>E1040+F1040+G1040+H1040+I1040</f>
        <v>0</v>
      </c>
      <c r="E1040" s="13"/>
      <c r="F1040" s="13"/>
      <c r="G1040" s="13"/>
      <c r="H1040" s="13"/>
      <c r="I1040" s="13"/>
      <c r="J1040" s="69"/>
      <c r="K1040" s="69"/>
      <c r="L1040" s="69"/>
      <c r="M1040" s="69"/>
      <c r="N1040" s="69"/>
      <c r="O1040" s="69"/>
      <c r="P1040" s="69"/>
      <c r="Q1040" s="69"/>
      <c r="R1040" s="69"/>
      <c r="S1040" s="69"/>
      <c r="T1040" s="69"/>
      <c r="U1040" s="69"/>
      <c r="V1040" s="69"/>
    </row>
    <row r="1041" spans="1:22" x14ac:dyDescent="0.2">
      <c r="A1041" s="46" t="s">
        <v>409</v>
      </c>
      <c r="B1041" s="28" t="s">
        <v>104</v>
      </c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  <c r="T1041" s="28"/>
      <c r="U1041" s="28"/>
      <c r="V1041" s="29"/>
    </row>
    <row r="1042" spans="1:22" x14ac:dyDescent="0.2">
      <c r="A1042" s="47" t="s">
        <v>30</v>
      </c>
      <c r="B1042" s="26" t="s">
        <v>278</v>
      </c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  <c r="R1042" s="26"/>
      <c r="S1042" s="26"/>
      <c r="T1042" s="26"/>
      <c r="U1042" s="26"/>
      <c r="V1042" s="26"/>
    </row>
    <row r="1043" spans="1:22" ht="70.5" customHeight="1" x14ac:dyDescent="0.2">
      <c r="A1043" s="47"/>
      <c r="B1043" s="54" t="s">
        <v>371</v>
      </c>
      <c r="C1043" s="55" t="s">
        <v>371</v>
      </c>
      <c r="D1043" s="55"/>
      <c r="E1043" s="55"/>
      <c r="F1043" s="55"/>
      <c r="G1043" s="55"/>
      <c r="H1043" s="55"/>
      <c r="I1043" s="56"/>
      <c r="J1043" s="69" t="s">
        <v>383</v>
      </c>
      <c r="K1043" s="69" t="s">
        <v>410</v>
      </c>
      <c r="L1043" s="69" t="s">
        <v>60</v>
      </c>
      <c r="M1043" s="69"/>
      <c r="N1043" s="69" t="s">
        <v>495</v>
      </c>
      <c r="O1043" s="69" t="s">
        <v>104</v>
      </c>
      <c r="P1043" s="69" t="s">
        <v>495</v>
      </c>
      <c r="Q1043" s="77">
        <v>16000</v>
      </c>
      <c r="R1043" s="69" t="s">
        <v>9</v>
      </c>
      <c r="S1043" s="69" t="s">
        <v>13</v>
      </c>
      <c r="T1043" s="69" t="s">
        <v>171</v>
      </c>
      <c r="U1043" s="69"/>
      <c r="V1043" s="69"/>
    </row>
    <row r="1044" spans="1:22" x14ac:dyDescent="0.2">
      <c r="A1044" s="47"/>
      <c r="B1044" s="30" t="s">
        <v>5</v>
      </c>
      <c r="C1044" s="30" t="s">
        <v>5</v>
      </c>
      <c r="D1044" s="12">
        <f>SUM(D1045:D1048)</f>
        <v>6201.38</v>
      </c>
      <c r="E1044" s="13">
        <f>SUM(E1045:E1048)</f>
        <v>6201.38</v>
      </c>
      <c r="F1044" s="13"/>
      <c r="G1044" s="13"/>
      <c r="H1044" s="13"/>
      <c r="I1044" s="13"/>
      <c r="J1044" s="69"/>
      <c r="K1044" s="69"/>
      <c r="L1044" s="69"/>
      <c r="M1044" s="69"/>
      <c r="N1044" s="69"/>
      <c r="O1044" s="69"/>
      <c r="P1044" s="69"/>
      <c r="Q1044" s="77"/>
      <c r="R1044" s="69"/>
      <c r="S1044" s="69"/>
      <c r="T1044" s="69"/>
      <c r="U1044" s="69"/>
      <c r="V1044" s="69"/>
    </row>
    <row r="1045" spans="1:22" x14ac:dyDescent="0.2">
      <c r="A1045" s="47"/>
      <c r="B1045" s="30" t="s">
        <v>0</v>
      </c>
      <c r="C1045" s="30" t="s">
        <v>0</v>
      </c>
      <c r="D1045" s="12">
        <f>E1045+F1045+G1045+H1045+I1045</f>
        <v>0</v>
      </c>
      <c r="E1045" s="13"/>
      <c r="F1045" s="13"/>
      <c r="G1045" s="13"/>
      <c r="H1045" s="13"/>
      <c r="I1045" s="13"/>
      <c r="J1045" s="69"/>
      <c r="K1045" s="69"/>
      <c r="L1045" s="69"/>
      <c r="M1045" s="69"/>
      <c r="N1045" s="69"/>
      <c r="O1045" s="69"/>
      <c r="P1045" s="69"/>
      <c r="Q1045" s="77"/>
      <c r="R1045" s="69"/>
      <c r="S1045" s="69"/>
      <c r="T1045" s="69"/>
      <c r="U1045" s="69"/>
      <c r="V1045" s="69"/>
    </row>
    <row r="1046" spans="1:22" x14ac:dyDescent="0.2">
      <c r="A1046" s="47"/>
      <c r="B1046" s="30" t="s">
        <v>1</v>
      </c>
      <c r="C1046" s="30" t="s">
        <v>1</v>
      </c>
      <c r="D1046" s="12">
        <f>E1046+F1046+G1046+H1046+I1046</f>
        <v>6201.38</v>
      </c>
      <c r="E1046" s="13">
        <f>10000-3798.62</f>
        <v>6201.38</v>
      </c>
      <c r="F1046" s="13"/>
      <c r="G1046" s="13"/>
      <c r="H1046" s="13"/>
      <c r="I1046" s="13"/>
      <c r="J1046" s="69"/>
      <c r="K1046" s="69"/>
      <c r="L1046" s="69"/>
      <c r="M1046" s="69"/>
      <c r="N1046" s="69"/>
      <c r="O1046" s="69"/>
      <c r="P1046" s="69"/>
      <c r="Q1046" s="77"/>
      <c r="R1046" s="69"/>
      <c r="S1046" s="69"/>
      <c r="T1046" s="69"/>
      <c r="U1046" s="69"/>
      <c r="V1046" s="69"/>
    </row>
    <row r="1047" spans="1:22" x14ac:dyDescent="0.2">
      <c r="A1047" s="47"/>
      <c r="B1047" s="30" t="s">
        <v>2</v>
      </c>
      <c r="C1047" s="30" t="s">
        <v>2</v>
      </c>
      <c r="D1047" s="12">
        <f>E1047+F1047+G1047+H1047+I1047</f>
        <v>0</v>
      </c>
      <c r="E1047" s="13"/>
      <c r="F1047" s="13"/>
      <c r="G1047" s="13"/>
      <c r="H1047" s="13"/>
      <c r="I1047" s="13"/>
      <c r="J1047" s="69"/>
      <c r="K1047" s="69"/>
      <c r="L1047" s="69"/>
      <c r="M1047" s="69"/>
      <c r="N1047" s="69"/>
      <c r="O1047" s="69"/>
      <c r="P1047" s="69"/>
      <c r="Q1047" s="77"/>
      <c r="R1047" s="69"/>
      <c r="S1047" s="69"/>
      <c r="T1047" s="69"/>
      <c r="U1047" s="69"/>
      <c r="V1047" s="69"/>
    </row>
    <row r="1048" spans="1:22" ht="21" customHeight="1" x14ac:dyDescent="0.2">
      <c r="A1048" s="48"/>
      <c r="B1048" s="30" t="s">
        <v>3</v>
      </c>
      <c r="C1048" s="30" t="s">
        <v>3</v>
      </c>
      <c r="D1048" s="12">
        <f>E1048+F1048+G1048+H1048+I1048</f>
        <v>0</v>
      </c>
      <c r="E1048" s="13"/>
      <c r="F1048" s="13"/>
      <c r="G1048" s="13"/>
      <c r="H1048" s="13"/>
      <c r="I1048" s="13"/>
      <c r="J1048" s="69"/>
      <c r="K1048" s="69"/>
      <c r="L1048" s="69"/>
      <c r="M1048" s="69"/>
      <c r="N1048" s="69"/>
      <c r="O1048" s="69"/>
      <c r="P1048" s="69"/>
      <c r="Q1048" s="77"/>
      <c r="R1048" s="69"/>
      <c r="S1048" s="69"/>
      <c r="T1048" s="69"/>
      <c r="U1048" s="69"/>
      <c r="V1048" s="69"/>
    </row>
    <row r="1049" spans="1:22" x14ac:dyDescent="0.2">
      <c r="A1049" s="31" t="s">
        <v>50</v>
      </c>
      <c r="B1049" s="75" t="s">
        <v>367</v>
      </c>
      <c r="C1049" s="75"/>
      <c r="D1049" s="75"/>
      <c r="E1049" s="75"/>
      <c r="F1049" s="75"/>
      <c r="G1049" s="75"/>
      <c r="H1049" s="75"/>
      <c r="I1049" s="75"/>
      <c r="J1049" s="75"/>
      <c r="K1049" s="75"/>
      <c r="L1049" s="75"/>
      <c r="M1049" s="75"/>
      <c r="N1049" s="75"/>
      <c r="O1049" s="75"/>
      <c r="P1049" s="75"/>
      <c r="Q1049" s="75"/>
      <c r="R1049" s="75"/>
      <c r="S1049" s="75"/>
      <c r="T1049" s="75"/>
      <c r="U1049" s="75"/>
      <c r="V1049" s="75"/>
    </row>
    <row r="1050" spans="1:22" x14ac:dyDescent="0.2">
      <c r="A1050" s="32"/>
      <c r="B1050" s="76" t="s">
        <v>5</v>
      </c>
      <c r="C1050" s="76"/>
      <c r="D1050" s="14">
        <f>SUM(D1051:D1054)</f>
        <v>128653.90983</v>
      </c>
      <c r="E1050" s="14">
        <f t="shared" ref="E1050:F1050" si="155">E1058</f>
        <v>128653.90983</v>
      </c>
      <c r="F1050" s="14">
        <f t="shared" si="155"/>
        <v>0</v>
      </c>
      <c r="G1050" s="14">
        <f t="shared" ref="G1050:I1050" si="156">G1058</f>
        <v>0</v>
      </c>
      <c r="H1050" s="14">
        <f t="shared" si="156"/>
        <v>0</v>
      </c>
      <c r="I1050" s="14">
        <f t="shared" si="156"/>
        <v>0</v>
      </c>
      <c r="J1050" s="34"/>
      <c r="K1050" s="35"/>
      <c r="L1050" s="35"/>
      <c r="M1050" s="35"/>
      <c r="N1050" s="35"/>
      <c r="O1050" s="35"/>
      <c r="P1050" s="35"/>
      <c r="Q1050" s="35"/>
      <c r="R1050" s="35"/>
      <c r="S1050" s="35"/>
      <c r="T1050" s="35"/>
      <c r="U1050" s="35"/>
      <c r="V1050" s="36"/>
    </row>
    <row r="1051" spans="1:22" x14ac:dyDescent="0.2">
      <c r="A1051" s="32"/>
      <c r="B1051" s="76" t="s">
        <v>0</v>
      </c>
      <c r="C1051" s="76"/>
      <c r="D1051" s="14">
        <f>E1051+F1051+G1051+H1051+I1051</f>
        <v>0</v>
      </c>
      <c r="E1051" s="14">
        <f t="shared" ref="E1051:F1051" si="157">E1059</f>
        <v>0</v>
      </c>
      <c r="F1051" s="14">
        <f t="shared" si="157"/>
        <v>0</v>
      </c>
      <c r="G1051" s="14">
        <f t="shared" ref="G1051:I1051" si="158">G1059</f>
        <v>0</v>
      </c>
      <c r="H1051" s="14">
        <f t="shared" si="158"/>
        <v>0</v>
      </c>
      <c r="I1051" s="14">
        <f t="shared" si="158"/>
        <v>0</v>
      </c>
      <c r="J1051" s="37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9"/>
    </row>
    <row r="1052" spans="1:22" x14ac:dyDescent="0.2">
      <c r="A1052" s="32"/>
      <c r="B1052" s="76" t="s">
        <v>1</v>
      </c>
      <c r="C1052" s="76"/>
      <c r="D1052" s="14">
        <f>E1052+F1052+G1052+H1052+I1052</f>
        <v>118152.97773</v>
      </c>
      <c r="E1052" s="14">
        <f t="shared" ref="E1052:F1052" si="159">E1060</f>
        <v>118152.97773</v>
      </c>
      <c r="F1052" s="14">
        <f t="shared" si="159"/>
        <v>0</v>
      </c>
      <c r="G1052" s="14">
        <f t="shared" ref="G1052:I1052" si="160">G1060</f>
        <v>0</v>
      </c>
      <c r="H1052" s="14">
        <f t="shared" si="160"/>
        <v>0</v>
      </c>
      <c r="I1052" s="14">
        <f t="shared" si="160"/>
        <v>0</v>
      </c>
      <c r="J1052" s="37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9"/>
    </row>
    <row r="1053" spans="1:22" x14ac:dyDescent="0.2">
      <c r="A1053" s="32"/>
      <c r="B1053" s="76" t="s">
        <v>2</v>
      </c>
      <c r="C1053" s="76"/>
      <c r="D1053" s="14">
        <f>E1053+F1053+G1053+H1053+I1053</f>
        <v>10500.9321</v>
      </c>
      <c r="E1053" s="14">
        <f t="shared" ref="E1053:F1053" si="161">E1061</f>
        <v>10500.9321</v>
      </c>
      <c r="F1053" s="14">
        <f t="shared" si="161"/>
        <v>0</v>
      </c>
      <c r="G1053" s="14">
        <f t="shared" ref="G1053:I1053" si="162">G1061</f>
        <v>0</v>
      </c>
      <c r="H1053" s="14">
        <f t="shared" si="162"/>
        <v>0</v>
      </c>
      <c r="I1053" s="14">
        <f t="shared" si="162"/>
        <v>0</v>
      </c>
      <c r="J1053" s="37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9"/>
    </row>
    <row r="1054" spans="1:22" ht="21" customHeight="1" x14ac:dyDescent="0.2">
      <c r="A1054" s="33"/>
      <c r="B1054" s="76" t="s">
        <v>3</v>
      </c>
      <c r="C1054" s="76"/>
      <c r="D1054" s="14">
        <f>E1054+F1054+G1054+H1054+I1054</f>
        <v>0</v>
      </c>
      <c r="E1054" s="14">
        <f t="shared" ref="E1054:F1054" si="163">E1062</f>
        <v>0</v>
      </c>
      <c r="F1054" s="14">
        <f t="shared" si="163"/>
        <v>0</v>
      </c>
      <c r="G1054" s="14">
        <f t="shared" ref="G1054:I1054" si="164">G1062</f>
        <v>0</v>
      </c>
      <c r="H1054" s="14">
        <f t="shared" si="164"/>
        <v>0</v>
      </c>
      <c r="I1054" s="14">
        <f t="shared" si="164"/>
        <v>0</v>
      </c>
      <c r="J1054" s="40"/>
      <c r="K1054" s="41"/>
      <c r="L1054" s="41"/>
      <c r="M1054" s="41"/>
      <c r="N1054" s="41"/>
      <c r="O1054" s="41"/>
      <c r="P1054" s="41"/>
      <c r="Q1054" s="41"/>
      <c r="R1054" s="41"/>
      <c r="S1054" s="41"/>
      <c r="T1054" s="41"/>
      <c r="U1054" s="41"/>
      <c r="V1054" s="42"/>
    </row>
    <row r="1055" spans="1:22" x14ac:dyDescent="0.2">
      <c r="A1055" s="46" t="s">
        <v>51</v>
      </c>
      <c r="B1055" s="24" t="s">
        <v>63</v>
      </c>
      <c r="C1055" s="24"/>
      <c r="D1055" s="24"/>
      <c r="E1055" s="24"/>
      <c r="F1055" s="24"/>
      <c r="G1055" s="24"/>
      <c r="H1055" s="24"/>
      <c r="I1055" s="24"/>
      <c r="J1055" s="24"/>
      <c r="K1055" s="24"/>
      <c r="L1055" s="24"/>
      <c r="M1055" s="24"/>
      <c r="N1055" s="24"/>
      <c r="O1055" s="24"/>
      <c r="P1055" s="24"/>
      <c r="Q1055" s="24"/>
      <c r="R1055" s="24"/>
      <c r="S1055" s="24"/>
      <c r="T1055" s="24"/>
      <c r="U1055" s="24"/>
      <c r="V1055" s="25"/>
    </row>
    <row r="1056" spans="1:22" x14ac:dyDescent="0.2">
      <c r="A1056" s="47" t="s">
        <v>30</v>
      </c>
      <c r="B1056" s="82" t="s">
        <v>366</v>
      </c>
      <c r="C1056" s="82"/>
      <c r="D1056" s="82"/>
      <c r="E1056" s="82"/>
      <c r="F1056" s="82"/>
      <c r="G1056" s="82"/>
      <c r="H1056" s="82"/>
      <c r="I1056" s="82"/>
      <c r="J1056" s="82"/>
      <c r="K1056" s="82"/>
      <c r="L1056" s="82"/>
      <c r="M1056" s="82"/>
      <c r="N1056" s="82"/>
      <c r="O1056" s="82"/>
      <c r="P1056" s="82"/>
      <c r="Q1056" s="82"/>
      <c r="R1056" s="82"/>
      <c r="S1056" s="82"/>
      <c r="T1056" s="82"/>
      <c r="U1056" s="82"/>
      <c r="V1056" s="82"/>
    </row>
    <row r="1057" spans="1:22" ht="99.95" customHeight="1" x14ac:dyDescent="0.2">
      <c r="A1057" s="47"/>
      <c r="B1057" s="60" t="s">
        <v>413</v>
      </c>
      <c r="C1057" s="61" t="s">
        <v>413</v>
      </c>
      <c r="D1057" s="61"/>
      <c r="E1057" s="61"/>
      <c r="F1057" s="61"/>
      <c r="G1057" s="61"/>
      <c r="H1057" s="61"/>
      <c r="I1057" s="62"/>
      <c r="J1057" s="57" t="s">
        <v>66</v>
      </c>
      <c r="K1057" s="57"/>
      <c r="L1057" s="57" t="s">
        <v>62</v>
      </c>
      <c r="M1057" s="57" t="s">
        <v>283</v>
      </c>
      <c r="N1057" s="57" t="s">
        <v>356</v>
      </c>
      <c r="O1057" s="57" t="s">
        <v>357</v>
      </c>
      <c r="P1057" s="57" t="s">
        <v>357</v>
      </c>
      <c r="Q1057" s="85"/>
      <c r="R1057" s="57" t="s">
        <v>9</v>
      </c>
      <c r="S1057" s="57" t="s">
        <v>356</v>
      </c>
      <c r="T1057" s="57" t="s">
        <v>17</v>
      </c>
      <c r="U1057" s="57"/>
      <c r="V1057" s="57" t="s">
        <v>485</v>
      </c>
    </row>
    <row r="1058" spans="1:22" x14ac:dyDescent="0.2">
      <c r="A1058" s="47"/>
      <c r="B1058" s="59" t="s">
        <v>5</v>
      </c>
      <c r="C1058" s="59" t="s">
        <v>5</v>
      </c>
      <c r="D1058" s="9">
        <f>SUM(D1059:D1062)</f>
        <v>128653.90983</v>
      </c>
      <c r="E1058" s="10">
        <f>SUM(E1059:E1062)</f>
        <v>128653.90983</v>
      </c>
      <c r="F1058" s="10"/>
      <c r="G1058" s="10"/>
      <c r="H1058" s="10"/>
      <c r="I1058" s="10"/>
      <c r="J1058" s="57"/>
      <c r="K1058" s="57"/>
      <c r="L1058" s="57"/>
      <c r="M1058" s="57"/>
      <c r="N1058" s="57"/>
      <c r="O1058" s="57"/>
      <c r="P1058" s="57"/>
      <c r="Q1058" s="85"/>
      <c r="R1058" s="57"/>
      <c r="S1058" s="57"/>
      <c r="T1058" s="57"/>
      <c r="U1058" s="57"/>
      <c r="V1058" s="57"/>
    </row>
    <row r="1059" spans="1:22" x14ac:dyDescent="0.2">
      <c r="A1059" s="47"/>
      <c r="B1059" s="59" t="s">
        <v>0</v>
      </c>
      <c r="C1059" s="59" t="s">
        <v>0</v>
      </c>
      <c r="D1059" s="9">
        <f>E1059+F1059+G1059+H1059+I1059</f>
        <v>0</v>
      </c>
      <c r="E1059" s="10"/>
      <c r="F1059" s="10"/>
      <c r="G1059" s="10"/>
      <c r="H1059" s="10"/>
      <c r="I1059" s="10"/>
      <c r="J1059" s="57"/>
      <c r="K1059" s="57"/>
      <c r="L1059" s="57"/>
      <c r="M1059" s="57"/>
      <c r="N1059" s="57"/>
      <c r="O1059" s="57"/>
      <c r="P1059" s="57"/>
      <c r="Q1059" s="85"/>
      <c r="R1059" s="57"/>
      <c r="S1059" s="57"/>
      <c r="T1059" s="57"/>
      <c r="U1059" s="57"/>
      <c r="V1059" s="57"/>
    </row>
    <row r="1060" spans="1:22" x14ac:dyDescent="0.2">
      <c r="A1060" s="47"/>
      <c r="B1060" s="59" t="s">
        <v>1</v>
      </c>
      <c r="C1060" s="59" t="s">
        <v>1</v>
      </c>
      <c r="D1060" s="9">
        <f>E1060+F1060+G1060+H1060+I1060</f>
        <v>118152.97773</v>
      </c>
      <c r="E1060" s="10">
        <v>118152.97773</v>
      </c>
      <c r="F1060" s="10"/>
      <c r="G1060" s="10"/>
      <c r="H1060" s="10"/>
      <c r="I1060" s="10"/>
      <c r="J1060" s="57"/>
      <c r="K1060" s="57"/>
      <c r="L1060" s="57"/>
      <c r="M1060" s="57"/>
      <c r="N1060" s="57"/>
      <c r="O1060" s="57"/>
      <c r="P1060" s="57"/>
      <c r="Q1060" s="85"/>
      <c r="R1060" s="57"/>
      <c r="S1060" s="57"/>
      <c r="T1060" s="57"/>
      <c r="U1060" s="57"/>
      <c r="V1060" s="57"/>
    </row>
    <row r="1061" spans="1:22" x14ac:dyDescent="0.2">
      <c r="A1061" s="47"/>
      <c r="B1061" s="59" t="s">
        <v>2</v>
      </c>
      <c r="C1061" s="59" t="s">
        <v>2</v>
      </c>
      <c r="D1061" s="9">
        <f>E1061+F1061+G1061+H1061+I1061</f>
        <v>10500.9321</v>
      </c>
      <c r="E1061" s="10">
        <v>10500.9321</v>
      </c>
      <c r="F1061" s="10"/>
      <c r="G1061" s="10"/>
      <c r="H1061" s="10"/>
      <c r="I1061" s="10"/>
      <c r="J1061" s="57"/>
      <c r="K1061" s="57"/>
      <c r="L1061" s="57"/>
      <c r="M1061" s="57"/>
      <c r="N1061" s="57"/>
      <c r="O1061" s="57"/>
      <c r="P1061" s="57"/>
      <c r="Q1061" s="85"/>
      <c r="R1061" s="57"/>
      <c r="S1061" s="57"/>
      <c r="T1061" s="57"/>
      <c r="U1061" s="57"/>
      <c r="V1061" s="57"/>
    </row>
    <row r="1062" spans="1:22" ht="21" customHeight="1" x14ac:dyDescent="0.2">
      <c r="A1062" s="48"/>
      <c r="B1062" s="59" t="s">
        <v>3</v>
      </c>
      <c r="C1062" s="59" t="s">
        <v>3</v>
      </c>
      <c r="D1062" s="9">
        <f>E1062+F1062+G1062+H1062+I1062</f>
        <v>0</v>
      </c>
      <c r="E1062" s="10"/>
      <c r="F1062" s="10"/>
      <c r="G1062" s="10"/>
      <c r="H1062" s="10"/>
      <c r="I1062" s="10"/>
      <c r="J1062" s="57"/>
      <c r="K1062" s="57"/>
      <c r="L1062" s="57"/>
      <c r="M1062" s="57"/>
      <c r="N1062" s="57"/>
      <c r="O1062" s="57"/>
      <c r="P1062" s="57"/>
      <c r="Q1062" s="85"/>
      <c r="R1062" s="57"/>
      <c r="S1062" s="57"/>
      <c r="T1062" s="57"/>
      <c r="U1062" s="57"/>
      <c r="V1062" s="57"/>
    </row>
    <row r="1063" spans="1:22" x14ac:dyDescent="0.2">
      <c r="A1063" s="31" t="s">
        <v>285</v>
      </c>
      <c r="B1063" s="75" t="s">
        <v>377</v>
      </c>
      <c r="C1063" s="75"/>
      <c r="D1063" s="75"/>
      <c r="E1063" s="75"/>
      <c r="F1063" s="75"/>
      <c r="G1063" s="75"/>
      <c r="H1063" s="75"/>
      <c r="I1063" s="75"/>
      <c r="J1063" s="75"/>
      <c r="K1063" s="75"/>
      <c r="L1063" s="75"/>
      <c r="M1063" s="75"/>
      <c r="N1063" s="75"/>
      <c r="O1063" s="75"/>
      <c r="P1063" s="75"/>
      <c r="Q1063" s="75"/>
      <c r="R1063" s="75"/>
      <c r="S1063" s="75"/>
      <c r="T1063" s="75"/>
      <c r="U1063" s="75"/>
      <c r="V1063" s="75"/>
    </row>
    <row r="1064" spans="1:22" x14ac:dyDescent="0.2">
      <c r="A1064" s="32"/>
      <c r="B1064" s="76" t="s">
        <v>5</v>
      </c>
      <c r="C1064" s="76"/>
      <c r="D1064" s="14">
        <f>SUM(D1065:D1068)</f>
        <v>11815.099999999999</v>
      </c>
      <c r="E1064" s="14">
        <f>E1072+E1080</f>
        <v>0</v>
      </c>
      <c r="F1064" s="14">
        <f t="shared" ref="F1064" si="165">F1072+F1080</f>
        <v>5907.5499999999993</v>
      </c>
      <c r="G1064" s="14">
        <f t="shared" ref="G1064:I1064" si="166">G1072+G1080</f>
        <v>5907.5499999999993</v>
      </c>
      <c r="H1064" s="14">
        <f t="shared" si="166"/>
        <v>0</v>
      </c>
      <c r="I1064" s="14">
        <f t="shared" si="166"/>
        <v>0</v>
      </c>
      <c r="J1064" s="34"/>
      <c r="K1064" s="35"/>
      <c r="L1064" s="35"/>
      <c r="M1064" s="35"/>
      <c r="N1064" s="35"/>
      <c r="O1064" s="35"/>
      <c r="P1064" s="35"/>
      <c r="Q1064" s="35"/>
      <c r="R1064" s="35"/>
      <c r="S1064" s="35"/>
      <c r="T1064" s="35"/>
      <c r="U1064" s="35"/>
      <c r="V1064" s="36"/>
    </row>
    <row r="1065" spans="1:22" x14ac:dyDescent="0.2">
      <c r="A1065" s="32"/>
      <c r="B1065" s="76" t="s">
        <v>0</v>
      </c>
      <c r="C1065" s="76"/>
      <c r="D1065" s="14">
        <f>E1065+F1065+G1065+H1065+I1065</f>
        <v>0</v>
      </c>
      <c r="E1065" s="14">
        <f t="shared" ref="E1065:F1065" si="167">E1073+E1081</f>
        <v>0</v>
      </c>
      <c r="F1065" s="14">
        <f t="shared" si="167"/>
        <v>0</v>
      </c>
      <c r="G1065" s="14">
        <f t="shared" ref="G1065:I1065" si="168">G1073+G1081</f>
        <v>0</v>
      </c>
      <c r="H1065" s="14">
        <f t="shared" si="168"/>
        <v>0</v>
      </c>
      <c r="I1065" s="14">
        <f t="shared" si="168"/>
        <v>0</v>
      </c>
      <c r="J1065" s="37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9"/>
    </row>
    <row r="1066" spans="1:22" x14ac:dyDescent="0.2">
      <c r="A1066" s="32"/>
      <c r="B1066" s="76" t="s">
        <v>1</v>
      </c>
      <c r="C1066" s="76"/>
      <c r="D1066" s="14">
        <f>E1066+F1066+G1066+H1066+I1066</f>
        <v>11815.099999999999</v>
      </c>
      <c r="E1066" s="14">
        <f t="shared" ref="E1066:F1066" si="169">E1074+E1082</f>
        <v>0</v>
      </c>
      <c r="F1066" s="14">
        <f t="shared" si="169"/>
        <v>5907.5499999999993</v>
      </c>
      <c r="G1066" s="14">
        <f t="shared" ref="G1066:I1066" si="170">G1074+G1082</f>
        <v>5907.5499999999993</v>
      </c>
      <c r="H1066" s="14">
        <f t="shared" si="170"/>
        <v>0</v>
      </c>
      <c r="I1066" s="14">
        <f t="shared" si="170"/>
        <v>0</v>
      </c>
      <c r="J1066" s="37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9"/>
    </row>
    <row r="1067" spans="1:22" x14ac:dyDescent="0.2">
      <c r="A1067" s="32"/>
      <c r="B1067" s="76" t="s">
        <v>2</v>
      </c>
      <c r="C1067" s="76"/>
      <c r="D1067" s="14">
        <f>E1067+F1067+G1067+H1067+I1067</f>
        <v>0</v>
      </c>
      <c r="E1067" s="14">
        <f t="shared" ref="E1067:F1067" si="171">E1075+E1083</f>
        <v>0</v>
      </c>
      <c r="F1067" s="14">
        <f t="shared" si="171"/>
        <v>0</v>
      </c>
      <c r="G1067" s="14">
        <f t="shared" ref="G1067:I1067" si="172">G1075+G1083</f>
        <v>0</v>
      </c>
      <c r="H1067" s="14">
        <f t="shared" si="172"/>
        <v>0</v>
      </c>
      <c r="I1067" s="14">
        <f t="shared" si="172"/>
        <v>0</v>
      </c>
      <c r="J1067" s="37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9"/>
    </row>
    <row r="1068" spans="1:22" ht="21" customHeight="1" x14ac:dyDescent="0.2">
      <c r="A1068" s="33"/>
      <c r="B1068" s="76" t="s">
        <v>3</v>
      </c>
      <c r="C1068" s="76"/>
      <c r="D1068" s="14">
        <f>E1068+F1068+G1068+H1068+I1068</f>
        <v>0</v>
      </c>
      <c r="E1068" s="14">
        <f t="shared" ref="E1068:F1068" si="173">E1076+E1084</f>
        <v>0</v>
      </c>
      <c r="F1068" s="14">
        <f t="shared" si="173"/>
        <v>0</v>
      </c>
      <c r="G1068" s="14">
        <f t="shared" ref="G1068:I1068" si="174">G1076+G1084</f>
        <v>0</v>
      </c>
      <c r="H1068" s="14">
        <f t="shared" si="174"/>
        <v>0</v>
      </c>
      <c r="I1068" s="14">
        <f t="shared" si="174"/>
        <v>0</v>
      </c>
      <c r="J1068" s="40"/>
      <c r="K1068" s="41"/>
      <c r="L1068" s="41"/>
      <c r="M1068" s="41"/>
      <c r="N1068" s="41"/>
      <c r="O1068" s="41"/>
      <c r="P1068" s="41"/>
      <c r="Q1068" s="41"/>
      <c r="R1068" s="41"/>
      <c r="S1068" s="41"/>
      <c r="T1068" s="41"/>
      <c r="U1068" s="41"/>
      <c r="V1068" s="42"/>
    </row>
    <row r="1069" spans="1:22" x14ac:dyDescent="0.2">
      <c r="A1069" s="98" t="s">
        <v>375</v>
      </c>
      <c r="B1069" s="24" t="s">
        <v>381</v>
      </c>
      <c r="C1069" s="24"/>
      <c r="D1069" s="24"/>
      <c r="E1069" s="24"/>
      <c r="F1069" s="24"/>
      <c r="G1069" s="24"/>
      <c r="H1069" s="24"/>
      <c r="I1069" s="24"/>
      <c r="J1069" s="24"/>
      <c r="K1069" s="24"/>
      <c r="L1069" s="24"/>
      <c r="M1069" s="24"/>
      <c r="N1069" s="24"/>
      <c r="O1069" s="24"/>
      <c r="P1069" s="24"/>
      <c r="Q1069" s="24"/>
      <c r="R1069" s="24"/>
      <c r="S1069" s="24"/>
      <c r="T1069" s="24"/>
      <c r="U1069" s="24"/>
      <c r="V1069" s="25"/>
    </row>
    <row r="1070" spans="1:22" x14ac:dyDescent="0.2">
      <c r="A1070" s="99" t="s">
        <v>30</v>
      </c>
      <c r="B1070" s="82" t="s">
        <v>378</v>
      </c>
      <c r="C1070" s="82"/>
      <c r="D1070" s="82"/>
      <c r="E1070" s="82"/>
      <c r="F1070" s="82"/>
      <c r="G1070" s="82"/>
      <c r="H1070" s="82"/>
      <c r="I1070" s="82"/>
      <c r="J1070" s="82"/>
      <c r="K1070" s="82"/>
      <c r="L1070" s="82"/>
      <c r="M1070" s="82"/>
      <c r="N1070" s="82"/>
      <c r="O1070" s="82"/>
      <c r="P1070" s="82"/>
      <c r="Q1070" s="82"/>
      <c r="R1070" s="82"/>
      <c r="S1070" s="82"/>
      <c r="T1070" s="82"/>
      <c r="U1070" s="82"/>
      <c r="V1070" s="82"/>
    </row>
    <row r="1071" spans="1:22" ht="99.95" customHeight="1" x14ac:dyDescent="0.2">
      <c r="A1071" s="99"/>
      <c r="B1071" s="60" t="s">
        <v>379</v>
      </c>
      <c r="C1071" s="61" t="s">
        <v>379</v>
      </c>
      <c r="D1071" s="61"/>
      <c r="E1071" s="61"/>
      <c r="F1071" s="61"/>
      <c r="G1071" s="61"/>
      <c r="H1071" s="61"/>
      <c r="I1071" s="62"/>
      <c r="J1071" s="57"/>
      <c r="K1071" s="57"/>
      <c r="L1071" s="57" t="s">
        <v>60</v>
      </c>
      <c r="M1071" s="57"/>
      <c r="N1071" s="57" t="s">
        <v>382</v>
      </c>
      <c r="O1071" s="57" t="s">
        <v>382</v>
      </c>
      <c r="P1071" s="57" t="s">
        <v>382</v>
      </c>
      <c r="Q1071" s="85">
        <v>117084.63</v>
      </c>
      <c r="R1071" s="57" t="s">
        <v>9</v>
      </c>
      <c r="S1071" s="57" t="s">
        <v>13</v>
      </c>
      <c r="T1071" s="57" t="s">
        <v>17</v>
      </c>
      <c r="U1071" s="57"/>
      <c r="V1071" s="57" t="s">
        <v>486</v>
      </c>
    </row>
    <row r="1072" spans="1:22" x14ac:dyDescent="0.2">
      <c r="A1072" s="99"/>
      <c r="B1072" s="59" t="s">
        <v>5</v>
      </c>
      <c r="C1072" s="59" t="s">
        <v>5</v>
      </c>
      <c r="D1072" s="9">
        <f>SUM(D1073:D1076)</f>
        <v>5854.24</v>
      </c>
      <c r="E1072" s="10"/>
      <c r="F1072" s="10">
        <f>SUM(F1073:F1076)</f>
        <v>2927.12</v>
      </c>
      <c r="G1072" s="10">
        <f>SUM(G1073:G1076)</f>
        <v>2927.12</v>
      </c>
      <c r="H1072" s="10"/>
      <c r="I1072" s="10"/>
      <c r="J1072" s="57"/>
      <c r="K1072" s="57"/>
      <c r="L1072" s="57"/>
      <c r="M1072" s="57"/>
      <c r="N1072" s="57"/>
      <c r="O1072" s="57"/>
      <c r="P1072" s="57"/>
      <c r="Q1072" s="85"/>
      <c r="R1072" s="57"/>
      <c r="S1072" s="57"/>
      <c r="T1072" s="57"/>
      <c r="U1072" s="57"/>
      <c r="V1072" s="57"/>
    </row>
    <row r="1073" spans="1:22" x14ac:dyDescent="0.2">
      <c r="A1073" s="99"/>
      <c r="B1073" s="59" t="s">
        <v>0</v>
      </c>
      <c r="C1073" s="59" t="s">
        <v>0</v>
      </c>
      <c r="D1073" s="9">
        <f>E1073+F1073+G1073+H1073+I1073</f>
        <v>0</v>
      </c>
      <c r="E1073" s="10"/>
      <c r="F1073" s="10"/>
      <c r="G1073" s="10"/>
      <c r="H1073" s="10"/>
      <c r="I1073" s="10"/>
      <c r="J1073" s="57"/>
      <c r="K1073" s="57"/>
      <c r="L1073" s="57"/>
      <c r="M1073" s="57"/>
      <c r="N1073" s="57"/>
      <c r="O1073" s="57"/>
      <c r="P1073" s="57"/>
      <c r="Q1073" s="85"/>
      <c r="R1073" s="57"/>
      <c r="S1073" s="57"/>
      <c r="T1073" s="57"/>
      <c r="U1073" s="57"/>
      <c r="V1073" s="57"/>
    </row>
    <row r="1074" spans="1:22" x14ac:dyDescent="0.2">
      <c r="A1074" s="99"/>
      <c r="B1074" s="59" t="s">
        <v>1</v>
      </c>
      <c r="C1074" s="59" t="s">
        <v>1</v>
      </c>
      <c r="D1074" s="9">
        <f>E1074+F1074+G1074+H1074+I1074</f>
        <v>5854.24</v>
      </c>
      <c r="E1074" s="10"/>
      <c r="F1074" s="10">
        <v>2927.12</v>
      </c>
      <c r="G1074" s="10">
        <v>2927.12</v>
      </c>
      <c r="H1074" s="10"/>
      <c r="I1074" s="10"/>
      <c r="J1074" s="57"/>
      <c r="K1074" s="57"/>
      <c r="L1074" s="57"/>
      <c r="M1074" s="57"/>
      <c r="N1074" s="57"/>
      <c r="O1074" s="57"/>
      <c r="P1074" s="57"/>
      <c r="Q1074" s="85"/>
      <c r="R1074" s="57"/>
      <c r="S1074" s="57"/>
      <c r="T1074" s="57"/>
      <c r="U1074" s="57"/>
      <c r="V1074" s="57"/>
    </row>
    <row r="1075" spans="1:22" x14ac:dyDescent="0.2">
      <c r="A1075" s="99"/>
      <c r="B1075" s="59" t="s">
        <v>2</v>
      </c>
      <c r="C1075" s="59" t="s">
        <v>2</v>
      </c>
      <c r="D1075" s="9">
        <f>E1075+F1075+G1075+H1075+I1075</f>
        <v>0</v>
      </c>
      <c r="E1075" s="10"/>
      <c r="F1075" s="10"/>
      <c r="G1075" s="10"/>
      <c r="H1075" s="10"/>
      <c r="I1075" s="10"/>
      <c r="J1075" s="57"/>
      <c r="K1075" s="57"/>
      <c r="L1075" s="57"/>
      <c r="M1075" s="57"/>
      <c r="N1075" s="57"/>
      <c r="O1075" s="57"/>
      <c r="P1075" s="57"/>
      <c r="Q1075" s="85"/>
      <c r="R1075" s="57"/>
      <c r="S1075" s="57"/>
      <c r="T1075" s="57"/>
      <c r="U1075" s="57"/>
      <c r="V1075" s="57"/>
    </row>
    <row r="1076" spans="1:22" ht="21" customHeight="1" x14ac:dyDescent="0.2">
      <c r="A1076" s="100"/>
      <c r="B1076" s="59" t="s">
        <v>3</v>
      </c>
      <c r="C1076" s="59" t="s">
        <v>3</v>
      </c>
      <c r="D1076" s="9">
        <f>E1076+F1076+G1076+H1076+I1076</f>
        <v>0</v>
      </c>
      <c r="E1076" s="10"/>
      <c r="F1076" s="10"/>
      <c r="G1076" s="10"/>
      <c r="H1076" s="10"/>
      <c r="I1076" s="10"/>
      <c r="J1076" s="57"/>
      <c r="K1076" s="57"/>
      <c r="L1076" s="57"/>
      <c r="M1076" s="57"/>
      <c r="N1076" s="57"/>
      <c r="O1076" s="57"/>
      <c r="P1076" s="57"/>
      <c r="Q1076" s="85"/>
      <c r="R1076" s="57"/>
      <c r="S1076" s="57"/>
      <c r="T1076" s="57"/>
      <c r="U1076" s="57"/>
      <c r="V1076" s="57"/>
    </row>
    <row r="1077" spans="1:22" x14ac:dyDescent="0.2">
      <c r="A1077" s="98" t="s">
        <v>376</v>
      </c>
      <c r="B1077" s="24" t="s">
        <v>381</v>
      </c>
      <c r="C1077" s="24"/>
      <c r="D1077" s="24"/>
      <c r="E1077" s="24"/>
      <c r="F1077" s="24"/>
      <c r="G1077" s="24"/>
      <c r="H1077" s="24"/>
      <c r="I1077" s="24"/>
      <c r="J1077" s="24"/>
      <c r="K1077" s="24"/>
      <c r="L1077" s="24"/>
      <c r="M1077" s="24"/>
      <c r="N1077" s="24"/>
      <c r="O1077" s="24"/>
      <c r="P1077" s="24"/>
      <c r="Q1077" s="24"/>
      <c r="R1077" s="24"/>
      <c r="S1077" s="24"/>
      <c r="T1077" s="24"/>
      <c r="U1077" s="24"/>
      <c r="V1077" s="25"/>
    </row>
    <row r="1078" spans="1:22" x14ac:dyDescent="0.2">
      <c r="A1078" s="99" t="s">
        <v>30</v>
      </c>
      <c r="B1078" s="82" t="s">
        <v>378</v>
      </c>
      <c r="C1078" s="82"/>
      <c r="D1078" s="82"/>
      <c r="E1078" s="82"/>
      <c r="F1078" s="82"/>
      <c r="G1078" s="82"/>
      <c r="H1078" s="82"/>
      <c r="I1078" s="82"/>
      <c r="J1078" s="82"/>
      <c r="K1078" s="82"/>
      <c r="L1078" s="82"/>
      <c r="M1078" s="82"/>
      <c r="N1078" s="82"/>
      <c r="O1078" s="82"/>
      <c r="P1078" s="82"/>
      <c r="Q1078" s="82"/>
      <c r="R1078" s="82"/>
      <c r="S1078" s="82"/>
      <c r="T1078" s="82"/>
      <c r="U1078" s="82"/>
      <c r="V1078" s="82"/>
    </row>
    <row r="1079" spans="1:22" ht="99.95" customHeight="1" x14ac:dyDescent="0.2">
      <c r="A1079" s="99"/>
      <c r="B1079" s="60" t="s">
        <v>380</v>
      </c>
      <c r="C1079" s="61" t="s">
        <v>380</v>
      </c>
      <c r="D1079" s="61"/>
      <c r="E1079" s="61"/>
      <c r="F1079" s="61"/>
      <c r="G1079" s="61"/>
      <c r="H1079" s="61"/>
      <c r="I1079" s="62"/>
      <c r="J1079" s="57"/>
      <c r="K1079" s="57"/>
      <c r="L1079" s="57" t="s">
        <v>60</v>
      </c>
      <c r="M1079" s="57"/>
      <c r="N1079" s="57" t="s">
        <v>382</v>
      </c>
      <c r="O1079" s="57" t="s">
        <v>382</v>
      </c>
      <c r="P1079" s="57" t="s">
        <v>382</v>
      </c>
      <c r="Q1079" s="85">
        <v>178825.34</v>
      </c>
      <c r="R1079" s="57" t="s">
        <v>9</v>
      </c>
      <c r="S1079" s="57" t="s">
        <v>12</v>
      </c>
      <c r="T1079" s="57" t="s">
        <v>17</v>
      </c>
      <c r="U1079" s="57"/>
      <c r="V1079" s="57" t="s">
        <v>487</v>
      </c>
    </row>
    <row r="1080" spans="1:22" x14ac:dyDescent="0.2">
      <c r="A1080" s="99"/>
      <c r="B1080" s="59" t="s">
        <v>5</v>
      </c>
      <c r="C1080" s="59" t="s">
        <v>5</v>
      </c>
      <c r="D1080" s="9">
        <f>SUM(D1081:D1084)</f>
        <v>5960.86</v>
      </c>
      <c r="E1080" s="10"/>
      <c r="F1080" s="10">
        <f>SUM(F1081:F1084)</f>
        <v>2980.43</v>
      </c>
      <c r="G1080" s="10">
        <f>SUM(G1081:G1084)</f>
        <v>2980.43</v>
      </c>
      <c r="H1080" s="10"/>
      <c r="I1080" s="10"/>
      <c r="J1080" s="57"/>
      <c r="K1080" s="57"/>
      <c r="L1080" s="57"/>
      <c r="M1080" s="57"/>
      <c r="N1080" s="57"/>
      <c r="O1080" s="57"/>
      <c r="P1080" s="57"/>
      <c r="Q1080" s="85"/>
      <c r="R1080" s="57"/>
      <c r="S1080" s="57"/>
      <c r="T1080" s="57"/>
      <c r="U1080" s="57"/>
      <c r="V1080" s="57"/>
    </row>
    <row r="1081" spans="1:22" x14ac:dyDescent="0.2">
      <c r="A1081" s="99"/>
      <c r="B1081" s="59" t="s">
        <v>0</v>
      </c>
      <c r="C1081" s="59" t="s">
        <v>0</v>
      </c>
      <c r="D1081" s="9">
        <f>E1081+F1081+G1081+H1081+I1081</f>
        <v>0</v>
      </c>
      <c r="E1081" s="10"/>
      <c r="F1081" s="10"/>
      <c r="G1081" s="10"/>
      <c r="H1081" s="10"/>
      <c r="I1081" s="10"/>
      <c r="J1081" s="57"/>
      <c r="K1081" s="57"/>
      <c r="L1081" s="57"/>
      <c r="M1081" s="57"/>
      <c r="N1081" s="57"/>
      <c r="O1081" s="57"/>
      <c r="P1081" s="57"/>
      <c r="Q1081" s="85"/>
      <c r="R1081" s="57"/>
      <c r="S1081" s="57"/>
      <c r="T1081" s="57"/>
      <c r="U1081" s="57"/>
      <c r="V1081" s="57"/>
    </row>
    <row r="1082" spans="1:22" x14ac:dyDescent="0.2">
      <c r="A1082" s="99"/>
      <c r="B1082" s="59" t="s">
        <v>1</v>
      </c>
      <c r="C1082" s="59" t="s">
        <v>1</v>
      </c>
      <c r="D1082" s="9">
        <f>E1082+F1082+G1082+H1082+I1082</f>
        <v>5960.86</v>
      </c>
      <c r="E1082" s="10"/>
      <c r="F1082" s="10">
        <v>2980.43</v>
      </c>
      <c r="G1082" s="10">
        <v>2980.43</v>
      </c>
      <c r="H1082" s="10"/>
      <c r="I1082" s="10"/>
      <c r="J1082" s="57"/>
      <c r="K1082" s="57"/>
      <c r="L1082" s="57"/>
      <c r="M1082" s="57"/>
      <c r="N1082" s="57"/>
      <c r="O1082" s="57"/>
      <c r="P1082" s="57"/>
      <c r="Q1082" s="85"/>
      <c r="R1082" s="57"/>
      <c r="S1082" s="57"/>
      <c r="T1082" s="57"/>
      <c r="U1082" s="57"/>
      <c r="V1082" s="57"/>
    </row>
    <row r="1083" spans="1:22" x14ac:dyDescent="0.2">
      <c r="A1083" s="99"/>
      <c r="B1083" s="59" t="s">
        <v>2</v>
      </c>
      <c r="C1083" s="59" t="s">
        <v>2</v>
      </c>
      <c r="D1083" s="9">
        <f>E1083+F1083+G1083+H1083+I1083</f>
        <v>0</v>
      </c>
      <c r="E1083" s="10"/>
      <c r="F1083" s="10"/>
      <c r="G1083" s="10"/>
      <c r="H1083" s="10"/>
      <c r="I1083" s="10"/>
      <c r="J1083" s="57"/>
      <c r="K1083" s="57"/>
      <c r="L1083" s="57"/>
      <c r="M1083" s="57"/>
      <c r="N1083" s="57"/>
      <c r="O1083" s="57"/>
      <c r="P1083" s="57"/>
      <c r="Q1083" s="85"/>
      <c r="R1083" s="57"/>
      <c r="S1083" s="57"/>
      <c r="T1083" s="57"/>
      <c r="U1083" s="57"/>
      <c r="V1083" s="57"/>
    </row>
    <row r="1084" spans="1:22" ht="21" customHeight="1" x14ac:dyDescent="0.2">
      <c r="A1084" s="100"/>
      <c r="B1084" s="59" t="s">
        <v>3</v>
      </c>
      <c r="C1084" s="59" t="s">
        <v>3</v>
      </c>
      <c r="D1084" s="9">
        <f>E1084+F1084+G1084+H1084+I1084</f>
        <v>0</v>
      </c>
      <c r="E1084" s="10"/>
      <c r="F1084" s="10"/>
      <c r="G1084" s="10"/>
      <c r="H1084" s="10"/>
      <c r="I1084" s="10"/>
      <c r="J1084" s="57"/>
      <c r="K1084" s="57"/>
      <c r="L1084" s="57"/>
      <c r="M1084" s="57"/>
      <c r="N1084" s="57"/>
      <c r="O1084" s="57"/>
      <c r="P1084" s="57"/>
      <c r="Q1084" s="85"/>
      <c r="R1084" s="57"/>
      <c r="S1084" s="57"/>
      <c r="T1084" s="57"/>
      <c r="U1084" s="57"/>
      <c r="V1084" s="57"/>
    </row>
    <row r="1085" spans="1:22" x14ac:dyDescent="0.2">
      <c r="A1085" s="31" t="s">
        <v>496</v>
      </c>
      <c r="B1085" s="75" t="s">
        <v>513</v>
      </c>
      <c r="C1085" s="75"/>
      <c r="D1085" s="75"/>
      <c r="E1085" s="75"/>
      <c r="F1085" s="75"/>
      <c r="G1085" s="75"/>
      <c r="H1085" s="75"/>
      <c r="I1085" s="75"/>
      <c r="J1085" s="75"/>
      <c r="K1085" s="75"/>
      <c r="L1085" s="75"/>
      <c r="M1085" s="75"/>
      <c r="N1085" s="75"/>
      <c r="O1085" s="75"/>
      <c r="P1085" s="75"/>
      <c r="Q1085" s="75"/>
      <c r="R1085" s="75"/>
      <c r="S1085" s="75"/>
      <c r="T1085" s="75"/>
      <c r="U1085" s="75"/>
      <c r="V1085" s="75"/>
    </row>
    <row r="1086" spans="1:22" x14ac:dyDescent="0.2">
      <c r="A1086" s="32"/>
      <c r="B1086" s="76" t="s">
        <v>5</v>
      </c>
      <c r="C1086" s="76"/>
      <c r="D1086" s="14">
        <f>SUM(D1087:D1091)</f>
        <v>172356.234</v>
      </c>
      <c r="E1086" s="14">
        <f>E1095+E1104+E1113+E1122</f>
        <v>169516.66500000001</v>
      </c>
      <c r="F1086" s="14">
        <f t="shared" ref="F1086:I1086" si="175">F1095+F1104+F1113+F1122</f>
        <v>0</v>
      </c>
      <c r="G1086" s="14">
        <f t="shared" si="175"/>
        <v>0</v>
      </c>
      <c r="H1086" s="14">
        <f t="shared" si="175"/>
        <v>0</v>
      </c>
      <c r="I1086" s="14">
        <f t="shared" si="175"/>
        <v>0</v>
      </c>
      <c r="J1086" s="34"/>
      <c r="K1086" s="35"/>
      <c r="L1086" s="35"/>
      <c r="M1086" s="35"/>
      <c r="N1086" s="35"/>
      <c r="O1086" s="35"/>
      <c r="P1086" s="35"/>
      <c r="Q1086" s="35"/>
      <c r="R1086" s="35"/>
      <c r="S1086" s="35"/>
      <c r="T1086" s="35"/>
      <c r="U1086" s="35"/>
      <c r="V1086" s="36"/>
    </row>
    <row r="1087" spans="1:22" x14ac:dyDescent="0.2">
      <c r="A1087" s="32"/>
      <c r="B1087" s="76" t="s">
        <v>0</v>
      </c>
      <c r="C1087" s="76"/>
      <c r="D1087" s="14">
        <f>E1087+F1087+G1087+H1087+I1087</f>
        <v>0</v>
      </c>
      <c r="E1087" s="14">
        <f>E1096+E1105+E1114+E1123+E1132</f>
        <v>0</v>
      </c>
      <c r="F1087" s="14">
        <f t="shared" ref="F1087:I1087" si="176">F1096+F1105+F1114+F1123+F1132</f>
        <v>0</v>
      </c>
      <c r="G1087" s="14">
        <f t="shared" si="176"/>
        <v>0</v>
      </c>
      <c r="H1087" s="14">
        <f t="shared" si="176"/>
        <v>0</v>
      </c>
      <c r="I1087" s="14">
        <f t="shared" si="176"/>
        <v>0</v>
      </c>
      <c r="J1087" s="37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9"/>
    </row>
    <row r="1088" spans="1:22" x14ac:dyDescent="0.2">
      <c r="A1088" s="32"/>
      <c r="B1088" s="76" t="s">
        <v>1</v>
      </c>
      <c r="C1088" s="76"/>
      <c r="D1088" s="14">
        <f>E1088+F1088+G1088+H1088+I1088</f>
        <v>2839.569</v>
      </c>
      <c r="E1088" s="14">
        <f t="shared" ref="E1088:I1091" si="177">E1097+E1106+E1115+E1124+E1133</f>
        <v>2839.569</v>
      </c>
      <c r="F1088" s="14">
        <f t="shared" si="177"/>
        <v>0</v>
      </c>
      <c r="G1088" s="14">
        <f t="shared" si="177"/>
        <v>0</v>
      </c>
      <c r="H1088" s="14">
        <f t="shared" si="177"/>
        <v>0</v>
      </c>
      <c r="I1088" s="14">
        <f t="shared" si="177"/>
        <v>0</v>
      </c>
      <c r="J1088" s="37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9"/>
    </row>
    <row r="1089" spans="1:22" ht="38.25" customHeight="1" x14ac:dyDescent="0.2">
      <c r="A1089" s="32"/>
      <c r="B1089" s="79" t="s">
        <v>514</v>
      </c>
      <c r="C1089" s="80"/>
      <c r="D1089" s="14">
        <f>E1089+F1089+G1089+H1089+I1089</f>
        <v>169516.66500000001</v>
      </c>
      <c r="E1089" s="14">
        <f>E1098+E1107+E1116+E1125+E1134</f>
        <v>169516.66500000001</v>
      </c>
      <c r="F1089" s="14">
        <f t="shared" si="177"/>
        <v>0</v>
      </c>
      <c r="G1089" s="14">
        <f t="shared" si="177"/>
        <v>0</v>
      </c>
      <c r="H1089" s="14">
        <f t="shared" si="177"/>
        <v>0</v>
      </c>
      <c r="I1089" s="14">
        <f t="shared" si="177"/>
        <v>0</v>
      </c>
      <c r="J1089" s="37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9"/>
    </row>
    <row r="1090" spans="1:22" x14ac:dyDescent="0.2">
      <c r="A1090" s="32"/>
      <c r="B1090" s="76" t="s">
        <v>2</v>
      </c>
      <c r="C1090" s="76"/>
      <c r="D1090" s="14">
        <f>E1090+F1090+G1090+H1090+I1090</f>
        <v>0</v>
      </c>
      <c r="E1090" s="14">
        <f>E1099+E1108+E1117+E1126+E1135</f>
        <v>0</v>
      </c>
      <c r="F1090" s="14">
        <f t="shared" si="177"/>
        <v>0</v>
      </c>
      <c r="G1090" s="14">
        <f t="shared" si="177"/>
        <v>0</v>
      </c>
      <c r="H1090" s="14">
        <f t="shared" si="177"/>
        <v>0</v>
      </c>
      <c r="I1090" s="14">
        <f t="shared" si="177"/>
        <v>0</v>
      </c>
      <c r="J1090" s="37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9"/>
    </row>
    <row r="1091" spans="1:22" ht="21" customHeight="1" x14ac:dyDescent="0.2">
      <c r="A1091" s="33"/>
      <c r="B1091" s="76" t="s">
        <v>3</v>
      </c>
      <c r="C1091" s="76"/>
      <c r="D1091" s="14">
        <f>E1091+F1091+G1091+H1091+I1091</f>
        <v>0</v>
      </c>
      <c r="E1091" s="14">
        <f t="shared" si="177"/>
        <v>0</v>
      </c>
      <c r="F1091" s="14">
        <f t="shared" si="177"/>
        <v>0</v>
      </c>
      <c r="G1091" s="14">
        <f t="shared" si="177"/>
        <v>0</v>
      </c>
      <c r="H1091" s="14">
        <f t="shared" si="177"/>
        <v>0</v>
      </c>
      <c r="I1091" s="14">
        <f t="shared" si="177"/>
        <v>0</v>
      </c>
      <c r="J1091" s="40"/>
      <c r="K1091" s="41"/>
      <c r="L1091" s="41"/>
      <c r="M1091" s="41"/>
      <c r="N1091" s="41"/>
      <c r="O1091" s="41"/>
      <c r="P1091" s="41"/>
      <c r="Q1091" s="41"/>
      <c r="R1091" s="41"/>
      <c r="S1091" s="41"/>
      <c r="T1091" s="41"/>
      <c r="U1091" s="41"/>
      <c r="V1091" s="42"/>
    </row>
    <row r="1092" spans="1:22" x14ac:dyDescent="0.2">
      <c r="A1092" s="46" t="s">
        <v>497</v>
      </c>
      <c r="B1092" s="78" t="s">
        <v>500</v>
      </c>
      <c r="C1092" s="78"/>
      <c r="D1092" s="78"/>
      <c r="E1092" s="78"/>
      <c r="F1092" s="78"/>
      <c r="G1092" s="78"/>
      <c r="H1092" s="78"/>
      <c r="I1092" s="78"/>
      <c r="J1092" s="78"/>
      <c r="K1092" s="78"/>
      <c r="L1092" s="78"/>
      <c r="M1092" s="78"/>
      <c r="N1092" s="78"/>
      <c r="O1092" s="78"/>
      <c r="P1092" s="78"/>
      <c r="Q1092" s="78"/>
      <c r="R1092" s="78"/>
      <c r="S1092" s="78"/>
      <c r="T1092" s="78"/>
      <c r="U1092" s="78"/>
      <c r="V1092" s="78"/>
    </row>
    <row r="1093" spans="1:22" x14ac:dyDescent="0.2">
      <c r="A1093" s="47" t="s">
        <v>30</v>
      </c>
      <c r="B1093" s="82" t="s">
        <v>501</v>
      </c>
      <c r="C1093" s="82"/>
      <c r="D1093" s="82"/>
      <c r="E1093" s="82"/>
      <c r="F1093" s="82"/>
      <c r="G1093" s="82"/>
      <c r="H1093" s="82"/>
      <c r="I1093" s="82"/>
      <c r="J1093" s="82"/>
      <c r="K1093" s="82"/>
      <c r="L1093" s="82"/>
      <c r="M1093" s="82"/>
      <c r="N1093" s="82"/>
      <c r="O1093" s="82"/>
      <c r="P1093" s="82"/>
      <c r="Q1093" s="82"/>
      <c r="R1093" s="82"/>
      <c r="S1093" s="82"/>
      <c r="T1093" s="82"/>
      <c r="U1093" s="82"/>
      <c r="V1093" s="82"/>
    </row>
    <row r="1094" spans="1:22" ht="48" customHeight="1" x14ac:dyDescent="0.2">
      <c r="A1094" s="47"/>
      <c r="B1094" s="30" t="s">
        <v>502</v>
      </c>
      <c r="C1094" s="30" t="s">
        <v>502</v>
      </c>
      <c r="D1094" s="30"/>
      <c r="E1094" s="30"/>
      <c r="F1094" s="30"/>
      <c r="G1094" s="30"/>
      <c r="H1094" s="30"/>
      <c r="I1094" s="30"/>
      <c r="J1094" s="69" t="s">
        <v>66</v>
      </c>
      <c r="K1094" s="69"/>
      <c r="L1094" s="69" t="s">
        <v>598</v>
      </c>
      <c r="M1094" s="69"/>
      <c r="N1094" s="69" t="s">
        <v>503</v>
      </c>
      <c r="O1094" s="69" t="s">
        <v>500</v>
      </c>
      <c r="P1094" s="69" t="s">
        <v>504</v>
      </c>
      <c r="Q1094" s="77" t="s">
        <v>505</v>
      </c>
      <c r="R1094" s="69" t="s">
        <v>11</v>
      </c>
      <c r="S1094" s="69" t="s">
        <v>10</v>
      </c>
      <c r="T1094" s="69" t="s">
        <v>17</v>
      </c>
      <c r="U1094" s="69"/>
      <c r="V1094" s="69"/>
    </row>
    <row r="1095" spans="1:22" x14ac:dyDescent="0.2">
      <c r="A1095" s="47"/>
      <c r="B1095" s="30" t="s">
        <v>5</v>
      </c>
      <c r="C1095" s="30" t="s">
        <v>5</v>
      </c>
      <c r="D1095" s="12">
        <f>SUM(D1096:D1100)</f>
        <v>145579.48000000001</v>
      </c>
      <c r="E1095" s="13">
        <f>SUM(E1096:E1100)</f>
        <v>145579.48000000001</v>
      </c>
      <c r="F1095" s="13"/>
      <c r="G1095" s="13"/>
      <c r="H1095" s="13"/>
      <c r="I1095" s="13"/>
      <c r="J1095" s="69"/>
      <c r="K1095" s="69"/>
      <c r="L1095" s="69"/>
      <c r="M1095" s="69"/>
      <c r="N1095" s="69"/>
      <c r="O1095" s="69"/>
      <c r="P1095" s="69"/>
      <c r="Q1095" s="77"/>
      <c r="R1095" s="69"/>
      <c r="S1095" s="69"/>
      <c r="T1095" s="69"/>
      <c r="U1095" s="69"/>
      <c r="V1095" s="69"/>
    </row>
    <row r="1096" spans="1:22" x14ac:dyDescent="0.2">
      <c r="A1096" s="47"/>
      <c r="B1096" s="30" t="s">
        <v>0</v>
      </c>
      <c r="C1096" s="30" t="s">
        <v>0</v>
      </c>
      <c r="D1096" s="12">
        <f>E1096+F1096+G1096+H1096+I1096</f>
        <v>0</v>
      </c>
      <c r="E1096" s="13"/>
      <c r="F1096" s="13"/>
      <c r="G1096" s="13"/>
      <c r="H1096" s="13"/>
      <c r="I1096" s="13"/>
      <c r="J1096" s="69"/>
      <c r="K1096" s="69"/>
      <c r="L1096" s="69"/>
      <c r="M1096" s="69"/>
      <c r="N1096" s="69"/>
      <c r="O1096" s="69"/>
      <c r="P1096" s="69"/>
      <c r="Q1096" s="77"/>
      <c r="R1096" s="69"/>
      <c r="S1096" s="69"/>
      <c r="T1096" s="69"/>
      <c r="U1096" s="69"/>
      <c r="V1096" s="69"/>
    </row>
    <row r="1097" spans="1:22" x14ac:dyDescent="0.2">
      <c r="A1097" s="47"/>
      <c r="B1097" s="30" t="s">
        <v>1</v>
      </c>
      <c r="C1097" s="30" t="s">
        <v>1</v>
      </c>
      <c r="D1097" s="12">
        <f>E1097+F1097+G1097+H1097+I1097</f>
        <v>0</v>
      </c>
      <c r="E1097" s="13"/>
      <c r="F1097" s="13"/>
      <c r="G1097" s="13"/>
      <c r="H1097" s="13"/>
      <c r="I1097" s="13"/>
      <c r="J1097" s="69"/>
      <c r="K1097" s="69"/>
      <c r="L1097" s="69"/>
      <c r="M1097" s="69"/>
      <c r="N1097" s="69"/>
      <c r="O1097" s="69"/>
      <c r="P1097" s="69"/>
      <c r="Q1097" s="77"/>
      <c r="R1097" s="69"/>
      <c r="S1097" s="69"/>
      <c r="T1097" s="69"/>
      <c r="U1097" s="69"/>
      <c r="V1097" s="69"/>
    </row>
    <row r="1098" spans="1:22" ht="42" customHeight="1" x14ac:dyDescent="0.2">
      <c r="A1098" s="47"/>
      <c r="B1098" s="27" t="s">
        <v>514</v>
      </c>
      <c r="C1098" s="29"/>
      <c r="D1098" s="12">
        <f>E1098+F1098+G1098+H1098+I1098</f>
        <v>145579.48000000001</v>
      </c>
      <c r="E1098" s="13">
        <f>57518+135216.07-13872.185-33282.405</f>
        <v>145579.48000000001</v>
      </c>
      <c r="F1098" s="13"/>
      <c r="G1098" s="13"/>
      <c r="H1098" s="13"/>
      <c r="I1098" s="13"/>
      <c r="J1098" s="69"/>
      <c r="K1098" s="69"/>
      <c r="L1098" s="69"/>
      <c r="M1098" s="69"/>
      <c r="N1098" s="69"/>
      <c r="O1098" s="69"/>
      <c r="P1098" s="69"/>
      <c r="Q1098" s="77"/>
      <c r="R1098" s="69"/>
      <c r="S1098" s="69"/>
      <c r="T1098" s="69"/>
      <c r="U1098" s="69"/>
      <c r="V1098" s="69"/>
    </row>
    <row r="1099" spans="1:22" x14ac:dyDescent="0.2">
      <c r="A1099" s="47"/>
      <c r="B1099" s="30" t="s">
        <v>2</v>
      </c>
      <c r="C1099" s="30" t="s">
        <v>2</v>
      </c>
      <c r="D1099" s="12">
        <f>E1099+F1099+G1099+H1099+I1099</f>
        <v>0</v>
      </c>
      <c r="E1099" s="13"/>
      <c r="F1099" s="13"/>
      <c r="G1099" s="13"/>
      <c r="H1099" s="13"/>
      <c r="I1099" s="13"/>
      <c r="J1099" s="69"/>
      <c r="K1099" s="69"/>
      <c r="L1099" s="69"/>
      <c r="M1099" s="69"/>
      <c r="N1099" s="69"/>
      <c r="O1099" s="69"/>
      <c r="P1099" s="69"/>
      <c r="Q1099" s="77"/>
      <c r="R1099" s="69"/>
      <c r="S1099" s="69"/>
      <c r="T1099" s="69"/>
      <c r="U1099" s="69"/>
      <c r="V1099" s="69"/>
    </row>
    <row r="1100" spans="1:22" ht="21" customHeight="1" x14ac:dyDescent="0.2">
      <c r="A1100" s="48"/>
      <c r="B1100" s="30" t="s">
        <v>3</v>
      </c>
      <c r="C1100" s="30" t="s">
        <v>3</v>
      </c>
      <c r="D1100" s="12">
        <f>E1100+F1100+G1100+H1100+I1100</f>
        <v>0</v>
      </c>
      <c r="E1100" s="13"/>
      <c r="F1100" s="13"/>
      <c r="G1100" s="13"/>
      <c r="H1100" s="13"/>
      <c r="I1100" s="13"/>
      <c r="J1100" s="69"/>
      <c r="K1100" s="69"/>
      <c r="L1100" s="69"/>
      <c r="M1100" s="69"/>
      <c r="N1100" s="69"/>
      <c r="O1100" s="69"/>
      <c r="P1100" s="69"/>
      <c r="Q1100" s="77"/>
      <c r="R1100" s="69"/>
      <c r="S1100" s="69"/>
      <c r="T1100" s="69"/>
      <c r="U1100" s="69"/>
      <c r="V1100" s="69"/>
    </row>
    <row r="1101" spans="1:22" x14ac:dyDescent="0.2">
      <c r="A1101" s="46" t="s">
        <v>498</v>
      </c>
      <c r="B1101" s="78" t="s">
        <v>500</v>
      </c>
      <c r="C1101" s="78"/>
      <c r="D1101" s="78"/>
      <c r="E1101" s="78"/>
      <c r="F1101" s="78"/>
      <c r="G1101" s="78"/>
      <c r="H1101" s="78"/>
      <c r="I1101" s="78"/>
      <c r="J1101" s="78"/>
      <c r="K1101" s="78"/>
      <c r="L1101" s="78"/>
      <c r="M1101" s="78"/>
      <c r="N1101" s="78"/>
      <c r="O1101" s="78"/>
      <c r="P1101" s="78"/>
      <c r="Q1101" s="78"/>
      <c r="R1101" s="78"/>
      <c r="S1101" s="78"/>
      <c r="T1101" s="78"/>
      <c r="U1101" s="78"/>
      <c r="V1101" s="78"/>
    </row>
    <row r="1102" spans="1:22" x14ac:dyDescent="0.2">
      <c r="A1102" s="47" t="s">
        <v>30</v>
      </c>
      <c r="B1102" s="26" t="s">
        <v>501</v>
      </c>
      <c r="C1102" s="26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  <c r="R1102" s="26"/>
      <c r="S1102" s="26"/>
      <c r="T1102" s="26"/>
      <c r="U1102" s="26"/>
      <c r="V1102" s="26"/>
    </row>
    <row r="1103" spans="1:22" ht="36" customHeight="1" x14ac:dyDescent="0.2">
      <c r="A1103" s="47"/>
      <c r="B1103" s="30" t="s">
        <v>506</v>
      </c>
      <c r="C1103" s="30" t="s">
        <v>506</v>
      </c>
      <c r="D1103" s="30"/>
      <c r="E1103" s="30"/>
      <c r="F1103" s="30"/>
      <c r="G1103" s="30"/>
      <c r="H1103" s="30"/>
      <c r="I1103" s="30"/>
      <c r="J1103" s="69" t="s">
        <v>66</v>
      </c>
      <c r="K1103" s="69"/>
      <c r="L1103" s="69" t="s">
        <v>598</v>
      </c>
      <c r="M1103" s="69"/>
      <c r="N1103" s="69" t="s">
        <v>503</v>
      </c>
      <c r="O1103" s="69" t="s">
        <v>500</v>
      </c>
      <c r="P1103" s="69" t="s">
        <v>504</v>
      </c>
      <c r="Q1103" s="77" t="s">
        <v>507</v>
      </c>
      <c r="R1103" s="69" t="s">
        <v>11</v>
      </c>
      <c r="S1103" s="69" t="s">
        <v>10</v>
      </c>
      <c r="T1103" s="69" t="s">
        <v>17</v>
      </c>
      <c r="U1103" s="69"/>
      <c r="V1103" s="69"/>
    </row>
    <row r="1104" spans="1:22" x14ac:dyDescent="0.2">
      <c r="A1104" s="47"/>
      <c r="B1104" s="30" t="s">
        <v>5</v>
      </c>
      <c r="C1104" s="30" t="s">
        <v>5</v>
      </c>
      <c r="D1104" s="12">
        <f>SUM(D1105:D1109)</f>
        <v>5041.067</v>
      </c>
      <c r="E1104" s="13">
        <f>SUM(E1105:E1109)</f>
        <v>5041.067</v>
      </c>
      <c r="F1104" s="13"/>
      <c r="G1104" s="13"/>
      <c r="H1104" s="13"/>
      <c r="I1104" s="13"/>
      <c r="J1104" s="69"/>
      <c r="K1104" s="69"/>
      <c r="L1104" s="69"/>
      <c r="M1104" s="69"/>
      <c r="N1104" s="69"/>
      <c r="O1104" s="69"/>
      <c r="P1104" s="69"/>
      <c r="Q1104" s="77"/>
      <c r="R1104" s="69"/>
      <c r="S1104" s="69"/>
      <c r="T1104" s="69"/>
      <c r="U1104" s="69"/>
      <c r="V1104" s="69"/>
    </row>
    <row r="1105" spans="1:22" x14ac:dyDescent="0.2">
      <c r="A1105" s="47"/>
      <c r="B1105" s="30" t="s">
        <v>0</v>
      </c>
      <c r="C1105" s="30" t="s">
        <v>0</v>
      </c>
      <c r="D1105" s="12">
        <f>E1105+F1105+G1105+H1105+I1105</f>
        <v>0</v>
      </c>
      <c r="E1105" s="13"/>
      <c r="F1105" s="13"/>
      <c r="G1105" s="13"/>
      <c r="H1105" s="13"/>
      <c r="I1105" s="13"/>
      <c r="J1105" s="69"/>
      <c r="K1105" s="69"/>
      <c r="L1105" s="69"/>
      <c r="M1105" s="69"/>
      <c r="N1105" s="69"/>
      <c r="O1105" s="69"/>
      <c r="P1105" s="69"/>
      <c r="Q1105" s="77"/>
      <c r="R1105" s="69"/>
      <c r="S1105" s="69"/>
      <c r="T1105" s="69"/>
      <c r="U1105" s="69"/>
      <c r="V1105" s="69"/>
    </row>
    <row r="1106" spans="1:22" x14ac:dyDescent="0.2">
      <c r="A1106" s="47"/>
      <c r="B1106" s="30" t="s">
        <v>1</v>
      </c>
      <c r="C1106" s="30" t="s">
        <v>1</v>
      </c>
      <c r="D1106" s="12">
        <f t="shared" ref="D1106:D1107" si="178">E1106+F1106+G1106+H1106+I1106</f>
        <v>0</v>
      </c>
      <c r="E1106" s="13"/>
      <c r="F1106" s="13"/>
      <c r="G1106" s="13"/>
      <c r="H1106" s="13"/>
      <c r="I1106" s="13"/>
      <c r="J1106" s="69"/>
      <c r="K1106" s="69"/>
      <c r="L1106" s="69"/>
      <c r="M1106" s="69"/>
      <c r="N1106" s="69"/>
      <c r="O1106" s="69"/>
      <c r="P1106" s="69"/>
      <c r="Q1106" s="77"/>
      <c r="R1106" s="69"/>
      <c r="S1106" s="69"/>
      <c r="T1106" s="69"/>
      <c r="U1106" s="69"/>
      <c r="V1106" s="69"/>
    </row>
    <row r="1107" spans="1:22" ht="42" customHeight="1" x14ac:dyDescent="0.2">
      <c r="A1107" s="47"/>
      <c r="B1107" s="27" t="s">
        <v>514</v>
      </c>
      <c r="C1107" s="29"/>
      <c r="D1107" s="12">
        <f t="shared" si="178"/>
        <v>5041.067</v>
      </c>
      <c r="E1107" s="13">
        <f>0+5041.067</f>
        <v>5041.067</v>
      </c>
      <c r="F1107" s="13"/>
      <c r="G1107" s="13"/>
      <c r="H1107" s="13"/>
      <c r="I1107" s="13"/>
      <c r="J1107" s="69"/>
      <c r="K1107" s="69"/>
      <c r="L1107" s="69"/>
      <c r="M1107" s="69"/>
      <c r="N1107" s="69"/>
      <c r="O1107" s="69"/>
      <c r="P1107" s="69"/>
      <c r="Q1107" s="77"/>
      <c r="R1107" s="69"/>
      <c r="S1107" s="69"/>
      <c r="T1107" s="69"/>
      <c r="U1107" s="69"/>
      <c r="V1107" s="69"/>
    </row>
    <row r="1108" spans="1:22" x14ac:dyDescent="0.2">
      <c r="A1108" s="47"/>
      <c r="B1108" s="30" t="s">
        <v>2</v>
      </c>
      <c r="C1108" s="30" t="s">
        <v>2</v>
      </c>
      <c r="D1108" s="12">
        <f>E1108+F1108+G1108+H1108+I1108</f>
        <v>0</v>
      </c>
      <c r="E1108" s="13"/>
      <c r="F1108" s="13"/>
      <c r="G1108" s="13"/>
      <c r="H1108" s="13"/>
      <c r="I1108" s="13"/>
      <c r="J1108" s="69"/>
      <c r="K1108" s="69"/>
      <c r="L1108" s="69"/>
      <c r="M1108" s="69"/>
      <c r="N1108" s="69"/>
      <c r="O1108" s="69"/>
      <c r="P1108" s="69"/>
      <c r="Q1108" s="77"/>
      <c r="R1108" s="69"/>
      <c r="S1108" s="69"/>
      <c r="T1108" s="69"/>
      <c r="U1108" s="69"/>
      <c r="V1108" s="69"/>
    </row>
    <row r="1109" spans="1:22" ht="21" customHeight="1" x14ac:dyDescent="0.2">
      <c r="A1109" s="48"/>
      <c r="B1109" s="30" t="s">
        <v>3</v>
      </c>
      <c r="C1109" s="30" t="s">
        <v>3</v>
      </c>
      <c r="D1109" s="12">
        <f>E1109+F1109+G1109+H1109+I1109</f>
        <v>0</v>
      </c>
      <c r="E1109" s="13"/>
      <c r="F1109" s="13"/>
      <c r="G1109" s="13"/>
      <c r="H1109" s="13"/>
      <c r="I1109" s="13"/>
      <c r="J1109" s="69"/>
      <c r="K1109" s="69"/>
      <c r="L1109" s="69"/>
      <c r="M1109" s="69"/>
      <c r="N1109" s="69"/>
      <c r="O1109" s="69"/>
      <c r="P1109" s="69"/>
      <c r="Q1109" s="77"/>
      <c r="R1109" s="69"/>
      <c r="S1109" s="69"/>
      <c r="T1109" s="69"/>
      <c r="U1109" s="69"/>
      <c r="V1109" s="69"/>
    </row>
    <row r="1110" spans="1:22" x14ac:dyDescent="0.2">
      <c r="A1110" s="46" t="s">
        <v>499</v>
      </c>
      <c r="B1110" s="78" t="s">
        <v>500</v>
      </c>
      <c r="C1110" s="78"/>
      <c r="D1110" s="78"/>
      <c r="E1110" s="78"/>
      <c r="F1110" s="78"/>
      <c r="G1110" s="78"/>
      <c r="H1110" s="78"/>
      <c r="I1110" s="78"/>
      <c r="J1110" s="78"/>
      <c r="K1110" s="78"/>
      <c r="L1110" s="78"/>
      <c r="M1110" s="78"/>
      <c r="N1110" s="78"/>
      <c r="O1110" s="78"/>
      <c r="P1110" s="78"/>
      <c r="Q1110" s="78"/>
      <c r="R1110" s="78"/>
      <c r="S1110" s="78"/>
      <c r="T1110" s="78"/>
      <c r="U1110" s="78"/>
      <c r="V1110" s="78"/>
    </row>
    <row r="1111" spans="1:22" x14ac:dyDescent="0.2">
      <c r="A1111" s="47" t="s">
        <v>30</v>
      </c>
      <c r="B1111" s="26" t="s">
        <v>501</v>
      </c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  <c r="R1111" s="26"/>
      <c r="S1111" s="26"/>
      <c r="T1111" s="26"/>
      <c r="U1111" s="26"/>
      <c r="V1111" s="26"/>
    </row>
    <row r="1112" spans="1:22" ht="39.75" customHeight="1" x14ac:dyDescent="0.2">
      <c r="A1112" s="47"/>
      <c r="B1112" s="30" t="s">
        <v>508</v>
      </c>
      <c r="C1112" s="30" t="s">
        <v>508</v>
      </c>
      <c r="D1112" s="30"/>
      <c r="E1112" s="30"/>
      <c r="F1112" s="30"/>
      <c r="G1112" s="30"/>
      <c r="H1112" s="30"/>
      <c r="I1112" s="30"/>
      <c r="J1112" s="69" t="s">
        <v>66</v>
      </c>
      <c r="K1112" s="69"/>
      <c r="L1112" s="69" t="s">
        <v>598</v>
      </c>
      <c r="M1112" s="69"/>
      <c r="N1112" s="69" t="s">
        <v>503</v>
      </c>
      <c r="O1112" s="69" t="s">
        <v>500</v>
      </c>
      <c r="P1112" s="69" t="s">
        <v>504</v>
      </c>
      <c r="Q1112" s="77" t="s">
        <v>509</v>
      </c>
      <c r="R1112" s="69" t="s">
        <v>11</v>
      </c>
      <c r="S1112" s="69" t="s">
        <v>10</v>
      </c>
      <c r="T1112" s="69" t="s">
        <v>17</v>
      </c>
      <c r="U1112" s="69"/>
      <c r="V1112" s="69"/>
    </row>
    <row r="1113" spans="1:22" x14ac:dyDescent="0.2">
      <c r="A1113" s="47"/>
      <c r="B1113" s="30" t="s">
        <v>5</v>
      </c>
      <c r="C1113" s="30" t="s">
        <v>5</v>
      </c>
      <c r="D1113" s="12">
        <f>SUM(D1114:D1118)</f>
        <v>6996.1180000000004</v>
      </c>
      <c r="E1113" s="13">
        <f>SUM(E1114:E1118)</f>
        <v>6996.1180000000004</v>
      </c>
      <c r="F1113" s="13"/>
      <c r="G1113" s="13"/>
      <c r="H1113" s="13"/>
      <c r="I1113" s="13"/>
      <c r="J1113" s="69"/>
      <c r="K1113" s="69"/>
      <c r="L1113" s="69"/>
      <c r="M1113" s="69"/>
      <c r="N1113" s="69"/>
      <c r="O1113" s="69"/>
      <c r="P1113" s="69"/>
      <c r="Q1113" s="77"/>
      <c r="R1113" s="69"/>
      <c r="S1113" s="69"/>
      <c r="T1113" s="69"/>
      <c r="U1113" s="69"/>
      <c r="V1113" s="69"/>
    </row>
    <row r="1114" spans="1:22" x14ac:dyDescent="0.2">
      <c r="A1114" s="47"/>
      <c r="B1114" s="30" t="s">
        <v>0</v>
      </c>
      <c r="C1114" s="30" t="s">
        <v>0</v>
      </c>
      <c r="D1114" s="12">
        <f>E1114+F1114+G1114+H1114+I1114</f>
        <v>0</v>
      </c>
      <c r="E1114" s="13"/>
      <c r="F1114" s="13"/>
      <c r="G1114" s="13"/>
      <c r="H1114" s="13"/>
      <c r="I1114" s="13"/>
      <c r="J1114" s="69"/>
      <c r="K1114" s="69"/>
      <c r="L1114" s="69"/>
      <c r="M1114" s="69"/>
      <c r="N1114" s="69"/>
      <c r="O1114" s="69"/>
      <c r="P1114" s="69"/>
      <c r="Q1114" s="77"/>
      <c r="R1114" s="69"/>
      <c r="S1114" s="69"/>
      <c r="T1114" s="69"/>
      <c r="U1114" s="69"/>
      <c r="V1114" s="69"/>
    </row>
    <row r="1115" spans="1:22" x14ac:dyDescent="0.2">
      <c r="A1115" s="47"/>
      <c r="B1115" s="30" t="s">
        <v>1</v>
      </c>
      <c r="C1115" s="30" t="s">
        <v>1</v>
      </c>
      <c r="D1115" s="12">
        <f t="shared" ref="D1115:D1116" si="179">E1115+F1115+G1115+H1115+I1115</f>
        <v>0</v>
      </c>
      <c r="E1115" s="13"/>
      <c r="F1115" s="13"/>
      <c r="G1115" s="13"/>
      <c r="H1115" s="13"/>
      <c r="I1115" s="13"/>
      <c r="J1115" s="69"/>
      <c r="K1115" s="69"/>
      <c r="L1115" s="69"/>
      <c r="M1115" s="69"/>
      <c r="N1115" s="69"/>
      <c r="O1115" s="69"/>
      <c r="P1115" s="69"/>
      <c r="Q1115" s="77"/>
      <c r="R1115" s="69"/>
      <c r="S1115" s="69"/>
      <c r="T1115" s="69"/>
      <c r="U1115" s="69"/>
      <c r="V1115" s="69"/>
    </row>
    <row r="1116" spans="1:22" ht="42" customHeight="1" x14ac:dyDescent="0.2">
      <c r="A1116" s="47"/>
      <c r="B1116" s="27" t="s">
        <v>514</v>
      </c>
      <c r="C1116" s="29"/>
      <c r="D1116" s="12">
        <f t="shared" si="179"/>
        <v>6996.1180000000004</v>
      </c>
      <c r="E1116" s="13">
        <f>0+6996.118</f>
        <v>6996.1180000000004</v>
      </c>
      <c r="F1116" s="13"/>
      <c r="G1116" s="13"/>
      <c r="H1116" s="13"/>
      <c r="I1116" s="13"/>
      <c r="J1116" s="69"/>
      <c r="K1116" s="69"/>
      <c r="L1116" s="69"/>
      <c r="M1116" s="69"/>
      <c r="N1116" s="69"/>
      <c r="O1116" s="69"/>
      <c r="P1116" s="69"/>
      <c r="Q1116" s="77"/>
      <c r="R1116" s="69"/>
      <c r="S1116" s="69"/>
      <c r="T1116" s="69"/>
      <c r="U1116" s="69"/>
      <c r="V1116" s="69"/>
    </row>
    <row r="1117" spans="1:22" x14ac:dyDescent="0.2">
      <c r="A1117" s="47"/>
      <c r="B1117" s="30" t="s">
        <v>2</v>
      </c>
      <c r="C1117" s="30" t="s">
        <v>2</v>
      </c>
      <c r="D1117" s="12">
        <f>E1117+F1117+G1117+H1117+I1117</f>
        <v>0</v>
      </c>
      <c r="E1117" s="13"/>
      <c r="F1117" s="13"/>
      <c r="G1117" s="13"/>
      <c r="H1117" s="13"/>
      <c r="I1117" s="13"/>
      <c r="J1117" s="69"/>
      <c r="K1117" s="69"/>
      <c r="L1117" s="69"/>
      <c r="M1117" s="69"/>
      <c r="N1117" s="69"/>
      <c r="O1117" s="69"/>
      <c r="P1117" s="69"/>
      <c r="Q1117" s="77"/>
      <c r="R1117" s="69"/>
      <c r="S1117" s="69"/>
      <c r="T1117" s="69"/>
      <c r="U1117" s="69"/>
      <c r="V1117" s="69"/>
    </row>
    <row r="1118" spans="1:22" ht="21" customHeight="1" x14ac:dyDescent="0.2">
      <c r="A1118" s="48"/>
      <c r="B1118" s="30" t="s">
        <v>3</v>
      </c>
      <c r="C1118" s="30" t="s">
        <v>3</v>
      </c>
      <c r="D1118" s="12">
        <f>E1118+F1118+G1118+H1118+I1118</f>
        <v>0</v>
      </c>
      <c r="E1118" s="13"/>
      <c r="F1118" s="13"/>
      <c r="G1118" s="13"/>
      <c r="H1118" s="13"/>
      <c r="I1118" s="13"/>
      <c r="J1118" s="69"/>
      <c r="K1118" s="69"/>
      <c r="L1118" s="69"/>
      <c r="M1118" s="69"/>
      <c r="N1118" s="69"/>
      <c r="O1118" s="69"/>
      <c r="P1118" s="69"/>
      <c r="Q1118" s="77"/>
      <c r="R1118" s="69"/>
      <c r="S1118" s="69"/>
      <c r="T1118" s="69"/>
      <c r="U1118" s="69"/>
      <c r="V1118" s="69"/>
    </row>
    <row r="1119" spans="1:22" x14ac:dyDescent="0.2">
      <c r="A1119" s="46" t="s">
        <v>512</v>
      </c>
      <c r="B1119" s="78" t="s">
        <v>500</v>
      </c>
      <c r="C1119" s="78"/>
      <c r="D1119" s="78"/>
      <c r="E1119" s="78"/>
      <c r="F1119" s="78"/>
      <c r="G1119" s="78"/>
      <c r="H1119" s="78"/>
      <c r="I1119" s="78"/>
      <c r="J1119" s="78"/>
      <c r="K1119" s="78"/>
      <c r="L1119" s="78"/>
      <c r="M1119" s="78"/>
      <c r="N1119" s="78"/>
      <c r="O1119" s="78"/>
      <c r="P1119" s="78"/>
      <c r="Q1119" s="78"/>
      <c r="R1119" s="78"/>
      <c r="S1119" s="78"/>
      <c r="T1119" s="78"/>
      <c r="U1119" s="78"/>
      <c r="V1119" s="78"/>
    </row>
    <row r="1120" spans="1:22" x14ac:dyDescent="0.2">
      <c r="A1120" s="47" t="s">
        <v>30</v>
      </c>
      <c r="B1120" s="26" t="s">
        <v>501</v>
      </c>
      <c r="C1120" s="26"/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  <c r="N1120" s="26"/>
      <c r="O1120" s="26"/>
      <c r="P1120" s="26"/>
      <c r="Q1120" s="26"/>
      <c r="R1120" s="26"/>
      <c r="S1120" s="26"/>
      <c r="T1120" s="26"/>
      <c r="U1120" s="26"/>
      <c r="V1120" s="26"/>
    </row>
    <row r="1121" spans="1:22" ht="41.25" customHeight="1" x14ac:dyDescent="0.2">
      <c r="A1121" s="47"/>
      <c r="B1121" s="30" t="s">
        <v>510</v>
      </c>
      <c r="C1121" s="30" t="s">
        <v>510</v>
      </c>
      <c r="D1121" s="30"/>
      <c r="E1121" s="30"/>
      <c r="F1121" s="30"/>
      <c r="G1121" s="30"/>
      <c r="H1121" s="30"/>
      <c r="I1121" s="30"/>
      <c r="J1121" s="69"/>
      <c r="K1121" s="69" t="s">
        <v>66</v>
      </c>
      <c r="L1121" s="69" t="s">
        <v>598</v>
      </c>
      <c r="M1121" s="69"/>
      <c r="N1121" s="69" t="s">
        <v>503</v>
      </c>
      <c r="O1121" s="69" t="s">
        <v>500</v>
      </c>
      <c r="P1121" s="69" t="s">
        <v>504</v>
      </c>
      <c r="Q1121" s="77" t="s">
        <v>511</v>
      </c>
      <c r="R1121" s="69" t="s">
        <v>11</v>
      </c>
      <c r="S1121" s="69" t="s">
        <v>10</v>
      </c>
      <c r="T1121" s="69" t="s">
        <v>171</v>
      </c>
      <c r="U1121" s="69"/>
      <c r="V1121" s="69"/>
    </row>
    <row r="1122" spans="1:22" x14ac:dyDescent="0.2">
      <c r="A1122" s="47"/>
      <c r="B1122" s="30" t="s">
        <v>5</v>
      </c>
      <c r="C1122" s="30" t="s">
        <v>5</v>
      </c>
      <c r="D1122" s="12">
        <f>SUM(D1123:D1127)</f>
        <v>11900</v>
      </c>
      <c r="E1122" s="13">
        <f>SUM(E1123:E1127)</f>
        <v>11900</v>
      </c>
      <c r="F1122" s="13"/>
      <c r="G1122" s="13"/>
      <c r="H1122" s="13"/>
      <c r="I1122" s="13"/>
      <c r="J1122" s="69"/>
      <c r="K1122" s="69"/>
      <c r="L1122" s="69"/>
      <c r="M1122" s="69"/>
      <c r="N1122" s="69"/>
      <c r="O1122" s="69"/>
      <c r="P1122" s="69"/>
      <c r="Q1122" s="77"/>
      <c r="R1122" s="69"/>
      <c r="S1122" s="69"/>
      <c r="T1122" s="69"/>
      <c r="U1122" s="69"/>
      <c r="V1122" s="69"/>
    </row>
    <row r="1123" spans="1:22" x14ac:dyDescent="0.2">
      <c r="A1123" s="47"/>
      <c r="B1123" s="30" t="s">
        <v>0</v>
      </c>
      <c r="C1123" s="30" t="s">
        <v>0</v>
      </c>
      <c r="D1123" s="12">
        <f>E1123+F1123+G1123+H1123+I1123</f>
        <v>0</v>
      </c>
      <c r="E1123" s="13"/>
      <c r="F1123" s="13"/>
      <c r="G1123" s="13"/>
      <c r="H1123" s="13"/>
      <c r="I1123" s="13"/>
      <c r="J1123" s="69"/>
      <c r="K1123" s="69"/>
      <c r="L1123" s="69"/>
      <c r="M1123" s="69"/>
      <c r="N1123" s="69"/>
      <c r="O1123" s="69"/>
      <c r="P1123" s="69"/>
      <c r="Q1123" s="77"/>
      <c r="R1123" s="69"/>
      <c r="S1123" s="69"/>
      <c r="T1123" s="69"/>
      <c r="U1123" s="69"/>
      <c r="V1123" s="69"/>
    </row>
    <row r="1124" spans="1:22" x14ac:dyDescent="0.2">
      <c r="A1124" s="47"/>
      <c r="B1124" s="30" t="s">
        <v>1</v>
      </c>
      <c r="C1124" s="30" t="s">
        <v>1</v>
      </c>
      <c r="D1124" s="12">
        <f t="shared" ref="D1124:D1126" si="180">E1124+F1124+G1124+H1124+I1124</f>
        <v>0</v>
      </c>
      <c r="E1124" s="13"/>
      <c r="F1124" s="13"/>
      <c r="G1124" s="13"/>
      <c r="H1124" s="13"/>
      <c r="I1124" s="13"/>
      <c r="J1124" s="69"/>
      <c r="K1124" s="69"/>
      <c r="L1124" s="69"/>
      <c r="M1124" s="69"/>
      <c r="N1124" s="69"/>
      <c r="O1124" s="69"/>
      <c r="P1124" s="69"/>
      <c r="Q1124" s="77"/>
      <c r="R1124" s="69"/>
      <c r="S1124" s="69"/>
      <c r="T1124" s="69"/>
      <c r="U1124" s="69"/>
      <c r="V1124" s="69"/>
    </row>
    <row r="1125" spans="1:22" ht="42" customHeight="1" x14ac:dyDescent="0.2">
      <c r="A1125" s="47"/>
      <c r="B1125" s="27" t="s">
        <v>514</v>
      </c>
      <c r="C1125" s="29"/>
      <c r="D1125" s="12">
        <f t="shared" si="180"/>
        <v>11900</v>
      </c>
      <c r="E1125" s="13">
        <v>11900</v>
      </c>
      <c r="F1125" s="13"/>
      <c r="G1125" s="13"/>
      <c r="H1125" s="13"/>
      <c r="I1125" s="13"/>
      <c r="J1125" s="69"/>
      <c r="K1125" s="69"/>
      <c r="L1125" s="69"/>
      <c r="M1125" s="69"/>
      <c r="N1125" s="69"/>
      <c r="O1125" s="69"/>
      <c r="P1125" s="69"/>
      <c r="Q1125" s="77"/>
      <c r="R1125" s="69"/>
      <c r="S1125" s="69"/>
      <c r="T1125" s="69"/>
      <c r="U1125" s="69"/>
      <c r="V1125" s="69"/>
    </row>
    <row r="1126" spans="1:22" x14ac:dyDescent="0.2">
      <c r="A1126" s="47"/>
      <c r="B1126" s="30" t="s">
        <v>2</v>
      </c>
      <c r="C1126" s="30" t="s">
        <v>2</v>
      </c>
      <c r="D1126" s="12">
        <f t="shared" si="180"/>
        <v>0</v>
      </c>
      <c r="E1126" s="13"/>
      <c r="F1126" s="13"/>
      <c r="G1126" s="13"/>
      <c r="H1126" s="13"/>
      <c r="I1126" s="13"/>
      <c r="J1126" s="69"/>
      <c r="K1126" s="69"/>
      <c r="L1126" s="69"/>
      <c r="M1126" s="69"/>
      <c r="N1126" s="69"/>
      <c r="O1126" s="69"/>
      <c r="P1126" s="69"/>
      <c r="Q1126" s="77"/>
      <c r="R1126" s="69"/>
      <c r="S1126" s="69"/>
      <c r="T1126" s="69"/>
      <c r="U1126" s="69"/>
      <c r="V1126" s="69"/>
    </row>
    <row r="1127" spans="1:22" ht="21" customHeight="1" x14ac:dyDescent="0.2">
      <c r="A1127" s="48"/>
      <c r="B1127" s="30" t="s">
        <v>3</v>
      </c>
      <c r="C1127" s="30" t="s">
        <v>3</v>
      </c>
      <c r="D1127" s="12">
        <f>E1127+F1127+G1127+H1127+I1127</f>
        <v>0</v>
      </c>
      <c r="E1127" s="13"/>
      <c r="F1127" s="13"/>
      <c r="G1127" s="13"/>
      <c r="H1127" s="13"/>
      <c r="I1127" s="13"/>
      <c r="J1127" s="69"/>
      <c r="K1127" s="69"/>
      <c r="L1127" s="69"/>
      <c r="M1127" s="69"/>
      <c r="N1127" s="69"/>
      <c r="O1127" s="69"/>
      <c r="P1127" s="69"/>
      <c r="Q1127" s="77"/>
      <c r="R1127" s="69"/>
      <c r="S1127" s="69"/>
      <c r="T1127" s="69"/>
      <c r="U1127" s="69"/>
      <c r="V1127" s="69"/>
    </row>
    <row r="1128" spans="1:22" x14ac:dyDescent="0.2">
      <c r="A1128" s="46" t="s">
        <v>519</v>
      </c>
      <c r="B1128" s="24" t="s">
        <v>16</v>
      </c>
      <c r="C1128" s="24"/>
      <c r="D1128" s="24"/>
      <c r="E1128" s="24"/>
      <c r="F1128" s="24"/>
      <c r="G1128" s="24"/>
      <c r="H1128" s="24"/>
      <c r="I1128" s="24"/>
      <c r="J1128" s="24"/>
      <c r="K1128" s="24"/>
      <c r="L1128" s="24"/>
      <c r="M1128" s="24"/>
      <c r="N1128" s="24"/>
      <c r="O1128" s="24"/>
      <c r="P1128" s="24"/>
      <c r="Q1128" s="24"/>
      <c r="R1128" s="24"/>
      <c r="S1128" s="24"/>
      <c r="T1128" s="24"/>
      <c r="U1128" s="24"/>
      <c r="V1128" s="25"/>
    </row>
    <row r="1129" spans="1:22" x14ac:dyDescent="0.2">
      <c r="A1129" s="47"/>
      <c r="B1129" s="82" t="s">
        <v>501</v>
      </c>
      <c r="C1129" s="82"/>
      <c r="D1129" s="82"/>
      <c r="E1129" s="82"/>
      <c r="F1129" s="82"/>
      <c r="G1129" s="82"/>
      <c r="H1129" s="82"/>
      <c r="I1129" s="82"/>
      <c r="J1129" s="82"/>
      <c r="K1129" s="82"/>
      <c r="L1129" s="82"/>
      <c r="M1129" s="82"/>
      <c r="N1129" s="82"/>
      <c r="O1129" s="82"/>
      <c r="P1129" s="82"/>
      <c r="Q1129" s="82"/>
      <c r="R1129" s="82"/>
      <c r="S1129" s="82"/>
      <c r="T1129" s="82"/>
      <c r="U1129" s="82"/>
      <c r="V1129" s="82"/>
    </row>
    <row r="1130" spans="1:22" ht="36" customHeight="1" x14ac:dyDescent="0.2">
      <c r="A1130" s="47"/>
      <c r="B1130" s="27" t="s">
        <v>520</v>
      </c>
      <c r="C1130" s="28"/>
      <c r="D1130" s="28"/>
      <c r="E1130" s="28"/>
      <c r="F1130" s="28"/>
      <c r="G1130" s="28"/>
      <c r="H1130" s="28"/>
      <c r="I1130" s="29"/>
      <c r="J1130" s="86" t="s">
        <v>521</v>
      </c>
      <c r="K1130" s="86"/>
      <c r="L1130" s="86" t="s">
        <v>60</v>
      </c>
      <c r="M1130" s="86"/>
      <c r="N1130" s="86" t="s">
        <v>82</v>
      </c>
      <c r="O1130" s="86"/>
      <c r="P1130" s="86" t="s">
        <v>82</v>
      </c>
      <c r="Q1130" s="89" t="s">
        <v>522</v>
      </c>
      <c r="R1130" s="86" t="s">
        <v>11</v>
      </c>
      <c r="S1130" s="86" t="s">
        <v>10</v>
      </c>
      <c r="T1130" s="86" t="s">
        <v>7</v>
      </c>
      <c r="U1130" s="86"/>
      <c r="V1130" s="86" t="s">
        <v>523</v>
      </c>
    </row>
    <row r="1131" spans="1:22" x14ac:dyDescent="0.2">
      <c r="A1131" s="47"/>
      <c r="B1131" s="30" t="s">
        <v>5</v>
      </c>
      <c r="C1131" s="30" t="s">
        <v>5</v>
      </c>
      <c r="D1131" s="12">
        <f>SUM(D1132:D1136)</f>
        <v>2839.569</v>
      </c>
      <c r="E1131" s="12">
        <f>SUM(E1132:E1136)</f>
        <v>2839.569</v>
      </c>
      <c r="F1131" s="13"/>
      <c r="G1131" s="13"/>
      <c r="H1131" s="13"/>
      <c r="I1131" s="13"/>
      <c r="J1131" s="87"/>
      <c r="K1131" s="87"/>
      <c r="L1131" s="87"/>
      <c r="M1131" s="87"/>
      <c r="N1131" s="87"/>
      <c r="O1131" s="87"/>
      <c r="P1131" s="87"/>
      <c r="Q1131" s="90"/>
      <c r="R1131" s="87"/>
      <c r="S1131" s="87"/>
      <c r="T1131" s="87"/>
      <c r="U1131" s="87"/>
      <c r="V1131" s="87"/>
    </row>
    <row r="1132" spans="1:22" x14ac:dyDescent="0.2">
      <c r="A1132" s="47"/>
      <c r="B1132" s="30" t="s">
        <v>0</v>
      </c>
      <c r="C1132" s="30" t="s">
        <v>0</v>
      </c>
      <c r="D1132" s="12">
        <f>SUM(E1132:I1132)</f>
        <v>0</v>
      </c>
      <c r="E1132" s="13"/>
      <c r="F1132" s="13"/>
      <c r="G1132" s="13"/>
      <c r="H1132" s="13"/>
      <c r="I1132" s="13"/>
      <c r="J1132" s="87"/>
      <c r="K1132" s="87"/>
      <c r="L1132" s="87"/>
      <c r="M1132" s="87"/>
      <c r="N1132" s="87"/>
      <c r="O1132" s="87"/>
      <c r="P1132" s="87"/>
      <c r="Q1132" s="90"/>
      <c r="R1132" s="87"/>
      <c r="S1132" s="87"/>
      <c r="T1132" s="87"/>
      <c r="U1132" s="87"/>
      <c r="V1132" s="87"/>
    </row>
    <row r="1133" spans="1:22" x14ac:dyDescent="0.2">
      <c r="A1133" s="47"/>
      <c r="B1133" s="30" t="s">
        <v>1</v>
      </c>
      <c r="C1133" s="30" t="s">
        <v>1</v>
      </c>
      <c r="D1133" s="12">
        <f t="shared" ref="D1133:D1136" si="181">SUM(E1133:I1133)</f>
        <v>2839.569</v>
      </c>
      <c r="E1133" s="13">
        <f>0+2839.569</f>
        <v>2839.569</v>
      </c>
      <c r="F1133" s="13"/>
      <c r="G1133" s="13"/>
      <c r="H1133" s="13"/>
      <c r="I1133" s="13"/>
      <c r="J1133" s="87"/>
      <c r="K1133" s="87"/>
      <c r="L1133" s="87"/>
      <c r="M1133" s="87"/>
      <c r="N1133" s="87"/>
      <c r="O1133" s="87"/>
      <c r="P1133" s="87"/>
      <c r="Q1133" s="90"/>
      <c r="R1133" s="87"/>
      <c r="S1133" s="87"/>
      <c r="T1133" s="87"/>
      <c r="U1133" s="87"/>
      <c r="V1133" s="87"/>
    </row>
    <row r="1134" spans="1:22" ht="42" customHeight="1" x14ac:dyDescent="0.2">
      <c r="A1134" s="47"/>
      <c r="B1134" s="95" t="s">
        <v>514</v>
      </c>
      <c r="C1134" s="96"/>
      <c r="D1134" s="9">
        <f t="shared" si="181"/>
        <v>0</v>
      </c>
      <c r="E1134" s="10"/>
      <c r="F1134" s="10"/>
      <c r="G1134" s="10"/>
      <c r="H1134" s="10"/>
      <c r="I1134" s="10"/>
      <c r="J1134" s="87"/>
      <c r="K1134" s="87"/>
      <c r="L1134" s="87"/>
      <c r="M1134" s="87"/>
      <c r="N1134" s="87"/>
      <c r="O1134" s="87"/>
      <c r="P1134" s="87"/>
      <c r="Q1134" s="90"/>
      <c r="R1134" s="87"/>
      <c r="S1134" s="87"/>
      <c r="T1134" s="87"/>
      <c r="U1134" s="87"/>
      <c r="V1134" s="87"/>
    </row>
    <row r="1135" spans="1:22" x14ac:dyDescent="0.2">
      <c r="A1135" s="47"/>
      <c r="B1135" s="59" t="s">
        <v>2</v>
      </c>
      <c r="C1135" s="59" t="s">
        <v>2</v>
      </c>
      <c r="D1135" s="9">
        <f t="shared" si="181"/>
        <v>0</v>
      </c>
      <c r="E1135" s="10"/>
      <c r="F1135" s="10"/>
      <c r="G1135" s="10"/>
      <c r="H1135" s="10"/>
      <c r="I1135" s="10"/>
      <c r="J1135" s="87"/>
      <c r="K1135" s="87"/>
      <c r="L1135" s="87"/>
      <c r="M1135" s="87"/>
      <c r="N1135" s="87"/>
      <c r="O1135" s="87"/>
      <c r="P1135" s="87"/>
      <c r="Q1135" s="90"/>
      <c r="R1135" s="87"/>
      <c r="S1135" s="87"/>
      <c r="T1135" s="87"/>
      <c r="U1135" s="87"/>
      <c r="V1135" s="87"/>
    </row>
    <row r="1136" spans="1:22" ht="21" customHeight="1" x14ac:dyDescent="0.2">
      <c r="A1136" s="48"/>
      <c r="B1136" s="59" t="s">
        <v>3</v>
      </c>
      <c r="C1136" s="59" t="s">
        <v>3</v>
      </c>
      <c r="D1136" s="9">
        <f t="shared" si="181"/>
        <v>0</v>
      </c>
      <c r="E1136" s="10"/>
      <c r="F1136" s="10"/>
      <c r="G1136" s="10"/>
      <c r="H1136" s="10"/>
      <c r="I1136" s="10"/>
      <c r="J1136" s="88"/>
      <c r="K1136" s="88"/>
      <c r="L1136" s="88"/>
      <c r="M1136" s="88"/>
      <c r="N1136" s="88"/>
      <c r="O1136" s="88"/>
      <c r="P1136" s="88"/>
      <c r="Q1136" s="91"/>
      <c r="R1136" s="88"/>
      <c r="S1136" s="88"/>
      <c r="T1136" s="88"/>
      <c r="U1136" s="88"/>
      <c r="V1136" s="88"/>
    </row>
    <row r="1137" spans="1:22" ht="21" customHeight="1" x14ac:dyDescent="0.2">
      <c r="A1137" s="31" t="s">
        <v>637</v>
      </c>
      <c r="B1137" s="75" t="s">
        <v>646</v>
      </c>
      <c r="C1137" s="75"/>
      <c r="D1137" s="75"/>
      <c r="E1137" s="75"/>
      <c r="F1137" s="75"/>
      <c r="G1137" s="75"/>
      <c r="H1137" s="75"/>
      <c r="I1137" s="75"/>
      <c r="J1137" s="75"/>
      <c r="K1137" s="75"/>
      <c r="L1137" s="75"/>
      <c r="M1137" s="75"/>
      <c r="N1137" s="75"/>
      <c r="O1137" s="75"/>
      <c r="P1137" s="75"/>
      <c r="Q1137" s="75"/>
      <c r="R1137" s="75"/>
      <c r="S1137" s="75"/>
      <c r="T1137" s="75"/>
      <c r="U1137" s="75"/>
      <c r="V1137" s="75"/>
    </row>
    <row r="1138" spans="1:22" ht="17.25" customHeight="1" x14ac:dyDescent="0.2">
      <c r="A1138" s="32"/>
      <c r="B1138" s="76" t="s">
        <v>5</v>
      </c>
      <c r="C1138" s="76"/>
      <c r="D1138" s="14">
        <f>SUM(D1139:D1142)</f>
        <v>26869.276290000002</v>
      </c>
      <c r="E1138" s="14">
        <f t="shared" ref="E1138:I1138" si="182">SUM(E1139:E1142)</f>
        <v>26869.276290000002</v>
      </c>
      <c r="F1138" s="14">
        <f t="shared" si="182"/>
        <v>0</v>
      </c>
      <c r="G1138" s="14">
        <f t="shared" si="182"/>
        <v>0</v>
      </c>
      <c r="H1138" s="14">
        <f t="shared" si="182"/>
        <v>0</v>
      </c>
      <c r="I1138" s="14">
        <f t="shared" si="182"/>
        <v>0</v>
      </c>
      <c r="J1138" s="34"/>
      <c r="K1138" s="35"/>
      <c r="L1138" s="35"/>
      <c r="M1138" s="35"/>
      <c r="N1138" s="35"/>
      <c r="O1138" s="35"/>
      <c r="P1138" s="35"/>
      <c r="Q1138" s="35"/>
      <c r="R1138" s="35"/>
      <c r="S1138" s="35"/>
      <c r="T1138" s="35"/>
      <c r="U1138" s="35"/>
      <c r="V1138" s="36"/>
    </row>
    <row r="1139" spans="1:22" ht="13.5" customHeight="1" x14ac:dyDescent="0.2">
      <c r="A1139" s="32"/>
      <c r="B1139" s="76" t="s">
        <v>0</v>
      </c>
      <c r="C1139" s="76"/>
      <c r="D1139" s="14">
        <f>SUM(E1139:I1139)</f>
        <v>0</v>
      </c>
      <c r="E1139" s="14">
        <f>E1147</f>
        <v>0</v>
      </c>
      <c r="F1139" s="14"/>
      <c r="G1139" s="14"/>
      <c r="H1139" s="14"/>
      <c r="I1139" s="14"/>
      <c r="J1139" s="37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9"/>
    </row>
    <row r="1140" spans="1:22" ht="15" customHeight="1" x14ac:dyDescent="0.2">
      <c r="A1140" s="32"/>
      <c r="B1140" s="76" t="s">
        <v>1</v>
      </c>
      <c r="C1140" s="76"/>
      <c r="D1140" s="14">
        <f t="shared" ref="D1140:D1142" si="183">SUM(E1140:I1140)</f>
        <v>18000</v>
      </c>
      <c r="E1140" s="14">
        <f t="shared" ref="E1140:E1142" si="184">E1148</f>
        <v>18000</v>
      </c>
      <c r="F1140" s="14"/>
      <c r="G1140" s="14"/>
      <c r="H1140" s="14"/>
      <c r="I1140" s="14"/>
      <c r="J1140" s="37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9"/>
    </row>
    <row r="1141" spans="1:22" ht="14.25" customHeight="1" x14ac:dyDescent="0.2">
      <c r="A1141" s="32"/>
      <c r="B1141" s="76" t="s">
        <v>2</v>
      </c>
      <c r="C1141" s="76"/>
      <c r="D1141" s="14">
        <f t="shared" si="183"/>
        <v>8869.2762899999998</v>
      </c>
      <c r="E1141" s="14">
        <f t="shared" si="184"/>
        <v>8869.2762899999998</v>
      </c>
      <c r="F1141" s="14"/>
      <c r="G1141" s="14"/>
      <c r="H1141" s="14"/>
      <c r="I1141" s="14"/>
      <c r="J1141" s="37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9"/>
    </row>
    <row r="1142" spans="1:22" ht="14.25" customHeight="1" x14ac:dyDescent="0.2">
      <c r="A1142" s="33"/>
      <c r="B1142" s="76" t="s">
        <v>3</v>
      </c>
      <c r="C1142" s="76"/>
      <c r="D1142" s="14">
        <f t="shared" si="183"/>
        <v>0</v>
      </c>
      <c r="E1142" s="14">
        <f t="shared" si="184"/>
        <v>0</v>
      </c>
      <c r="F1142" s="14"/>
      <c r="G1142" s="14"/>
      <c r="H1142" s="14"/>
      <c r="I1142" s="14"/>
      <c r="J1142" s="40"/>
      <c r="K1142" s="41"/>
      <c r="L1142" s="41"/>
      <c r="M1142" s="41"/>
      <c r="N1142" s="41"/>
      <c r="O1142" s="41"/>
      <c r="P1142" s="41"/>
      <c r="Q1142" s="41"/>
      <c r="R1142" s="41"/>
      <c r="S1142" s="41"/>
      <c r="T1142" s="41"/>
      <c r="U1142" s="41"/>
      <c r="V1142" s="42"/>
    </row>
    <row r="1143" spans="1:22" ht="18" customHeight="1" x14ac:dyDescent="0.2">
      <c r="A1143" s="46" t="s">
        <v>638</v>
      </c>
      <c r="B1143" s="24" t="s">
        <v>632</v>
      </c>
      <c r="C1143" s="24"/>
      <c r="D1143" s="24"/>
      <c r="E1143" s="24"/>
      <c r="F1143" s="24"/>
      <c r="G1143" s="24"/>
      <c r="H1143" s="24"/>
      <c r="I1143" s="24"/>
      <c r="J1143" s="24"/>
      <c r="K1143" s="24"/>
      <c r="L1143" s="24"/>
      <c r="M1143" s="24"/>
      <c r="N1143" s="24"/>
      <c r="O1143" s="24"/>
      <c r="P1143" s="24"/>
      <c r="Q1143" s="24"/>
      <c r="R1143" s="24"/>
      <c r="S1143" s="24"/>
      <c r="T1143" s="24"/>
      <c r="U1143" s="24"/>
      <c r="V1143" s="25"/>
    </row>
    <row r="1144" spans="1:22" ht="15" customHeight="1" x14ac:dyDescent="0.2">
      <c r="A1144" s="47"/>
      <c r="B1144" s="26" t="s">
        <v>633</v>
      </c>
      <c r="C1144" s="26"/>
      <c r="D1144" s="26"/>
      <c r="E1144" s="26"/>
      <c r="F1144" s="26"/>
      <c r="G1144" s="26"/>
      <c r="H1144" s="26"/>
      <c r="I1144" s="26"/>
      <c r="J1144" s="26"/>
      <c r="K1144" s="26"/>
      <c r="L1144" s="26"/>
      <c r="M1144" s="26"/>
      <c r="N1144" s="26"/>
      <c r="O1144" s="26"/>
      <c r="P1144" s="26"/>
      <c r="Q1144" s="26"/>
      <c r="R1144" s="26"/>
      <c r="S1144" s="26"/>
      <c r="T1144" s="26"/>
      <c r="U1144" s="26"/>
      <c r="V1144" s="26"/>
    </row>
    <row r="1145" spans="1:22" ht="36.75" customHeight="1" x14ac:dyDescent="0.2">
      <c r="A1145" s="47"/>
      <c r="B1145" s="54" t="s">
        <v>634</v>
      </c>
      <c r="C1145" s="55"/>
      <c r="D1145" s="55"/>
      <c r="E1145" s="55"/>
      <c r="F1145" s="55"/>
      <c r="G1145" s="55"/>
      <c r="H1145" s="55"/>
      <c r="I1145" s="56"/>
      <c r="J1145" s="69" t="s">
        <v>87</v>
      </c>
      <c r="K1145" s="69" t="s">
        <v>66</v>
      </c>
      <c r="L1145" s="69" t="s">
        <v>61</v>
      </c>
      <c r="M1145" s="69" t="s">
        <v>635</v>
      </c>
      <c r="N1145" s="69" t="s">
        <v>120</v>
      </c>
      <c r="O1145" s="69" t="s">
        <v>120</v>
      </c>
      <c r="P1145" s="69" t="s">
        <v>120</v>
      </c>
      <c r="Q1145" s="77" t="s">
        <v>636</v>
      </c>
      <c r="R1145" s="69" t="s">
        <v>9</v>
      </c>
      <c r="S1145" s="69" t="s">
        <v>10</v>
      </c>
      <c r="T1145" s="69" t="s">
        <v>171</v>
      </c>
      <c r="U1145" s="69"/>
      <c r="V1145" s="69"/>
    </row>
    <row r="1146" spans="1:22" ht="15" customHeight="1" x14ac:dyDescent="0.2">
      <c r="A1146" s="47"/>
      <c r="B1146" s="30" t="s">
        <v>5</v>
      </c>
      <c r="C1146" s="30"/>
      <c r="D1146" s="12">
        <f>SUM(D1147:D1150)</f>
        <v>26869.276290000002</v>
      </c>
      <c r="E1146" s="12">
        <f>SUM(E1147:E1150)</f>
        <v>26869.276290000002</v>
      </c>
      <c r="F1146" s="13"/>
      <c r="G1146" s="13"/>
      <c r="H1146" s="13"/>
      <c r="I1146" s="13"/>
      <c r="J1146" s="69"/>
      <c r="K1146" s="69"/>
      <c r="L1146" s="69"/>
      <c r="M1146" s="69"/>
      <c r="N1146" s="69"/>
      <c r="O1146" s="69"/>
      <c r="P1146" s="69"/>
      <c r="Q1146" s="77"/>
      <c r="R1146" s="69"/>
      <c r="S1146" s="69"/>
      <c r="T1146" s="69"/>
      <c r="U1146" s="69"/>
      <c r="V1146" s="69"/>
    </row>
    <row r="1147" spans="1:22" ht="13.5" customHeight="1" x14ac:dyDescent="0.2">
      <c r="A1147" s="47"/>
      <c r="B1147" s="30" t="s">
        <v>0</v>
      </c>
      <c r="C1147" s="30"/>
      <c r="D1147" s="12">
        <f>E1147+F1147+G1147+H1147+I1147</f>
        <v>0</v>
      </c>
      <c r="E1147" s="13">
        <v>0</v>
      </c>
      <c r="F1147" s="13"/>
      <c r="G1147" s="13"/>
      <c r="H1147" s="13"/>
      <c r="I1147" s="13"/>
      <c r="J1147" s="69"/>
      <c r="K1147" s="69"/>
      <c r="L1147" s="69"/>
      <c r="M1147" s="69"/>
      <c r="N1147" s="69"/>
      <c r="O1147" s="69"/>
      <c r="P1147" s="69"/>
      <c r="Q1147" s="77"/>
      <c r="R1147" s="69"/>
      <c r="S1147" s="69"/>
      <c r="T1147" s="69"/>
      <c r="U1147" s="69"/>
      <c r="V1147" s="69"/>
    </row>
    <row r="1148" spans="1:22" ht="15" customHeight="1" x14ac:dyDescent="0.2">
      <c r="A1148" s="47"/>
      <c r="B1148" s="30" t="s">
        <v>1</v>
      </c>
      <c r="C1148" s="30"/>
      <c r="D1148" s="12">
        <f>E1148+F1148+G1148+H1148+I1148</f>
        <v>18000</v>
      </c>
      <c r="E1148" s="13">
        <v>18000</v>
      </c>
      <c r="F1148" s="13"/>
      <c r="G1148" s="13"/>
      <c r="H1148" s="13"/>
      <c r="I1148" s="13"/>
      <c r="J1148" s="69"/>
      <c r="K1148" s="69"/>
      <c r="L1148" s="69"/>
      <c r="M1148" s="69"/>
      <c r="N1148" s="69"/>
      <c r="O1148" s="69"/>
      <c r="P1148" s="69"/>
      <c r="Q1148" s="77"/>
      <c r="R1148" s="69"/>
      <c r="S1148" s="69"/>
      <c r="T1148" s="69"/>
      <c r="U1148" s="69"/>
      <c r="V1148" s="69"/>
    </row>
    <row r="1149" spans="1:22" ht="15" customHeight="1" x14ac:dyDescent="0.2">
      <c r="A1149" s="47"/>
      <c r="B1149" s="30" t="s">
        <v>2</v>
      </c>
      <c r="C1149" s="30"/>
      <c r="D1149" s="12">
        <f>E1149+F1149+G1149+H1149+I1149</f>
        <v>8869.2762899999998</v>
      </c>
      <c r="E1149" s="13">
        <v>8869.2762899999998</v>
      </c>
      <c r="F1149" s="13"/>
      <c r="G1149" s="13"/>
      <c r="H1149" s="13"/>
      <c r="I1149" s="13"/>
      <c r="J1149" s="69"/>
      <c r="K1149" s="69"/>
      <c r="L1149" s="69"/>
      <c r="M1149" s="69"/>
      <c r="N1149" s="69"/>
      <c r="O1149" s="69"/>
      <c r="P1149" s="69"/>
      <c r="Q1149" s="77"/>
      <c r="R1149" s="69"/>
      <c r="S1149" s="69"/>
      <c r="T1149" s="69"/>
      <c r="U1149" s="69"/>
      <c r="V1149" s="69"/>
    </row>
    <row r="1150" spans="1:22" ht="14.25" customHeight="1" x14ac:dyDescent="0.2">
      <c r="A1150" s="48"/>
      <c r="B1150" s="30" t="s">
        <v>3</v>
      </c>
      <c r="C1150" s="30"/>
      <c r="D1150" s="12">
        <f>E1150+F1150+G1150+H1150+I1150</f>
        <v>0</v>
      </c>
      <c r="E1150" s="13">
        <v>0</v>
      </c>
      <c r="F1150" s="13"/>
      <c r="G1150" s="13"/>
      <c r="H1150" s="13"/>
      <c r="I1150" s="13"/>
      <c r="J1150" s="69"/>
      <c r="K1150" s="69"/>
      <c r="L1150" s="69"/>
      <c r="M1150" s="69"/>
      <c r="N1150" s="69"/>
      <c r="O1150" s="69"/>
      <c r="P1150" s="69"/>
      <c r="Q1150" s="77"/>
      <c r="R1150" s="69"/>
      <c r="S1150" s="69"/>
      <c r="T1150" s="69"/>
      <c r="U1150" s="69"/>
      <c r="V1150" s="69"/>
    </row>
    <row r="1151" spans="1:22" ht="14.25" customHeight="1" x14ac:dyDescent="0.2">
      <c r="A1151" s="31" t="s">
        <v>645</v>
      </c>
      <c r="B1151" s="75" t="s">
        <v>647</v>
      </c>
      <c r="C1151" s="75"/>
      <c r="D1151" s="75"/>
      <c r="E1151" s="75"/>
      <c r="F1151" s="75"/>
      <c r="G1151" s="75"/>
      <c r="H1151" s="75"/>
      <c r="I1151" s="75"/>
      <c r="J1151" s="75"/>
      <c r="K1151" s="75"/>
      <c r="L1151" s="75"/>
      <c r="M1151" s="75"/>
      <c r="N1151" s="75"/>
      <c r="O1151" s="75"/>
      <c r="P1151" s="75"/>
      <c r="Q1151" s="75"/>
      <c r="R1151" s="75"/>
      <c r="S1151" s="75"/>
      <c r="T1151" s="75"/>
      <c r="U1151" s="75"/>
      <c r="V1151" s="75"/>
    </row>
    <row r="1152" spans="1:22" ht="14.25" customHeight="1" x14ac:dyDescent="0.2">
      <c r="A1152" s="32"/>
      <c r="B1152" s="76" t="s">
        <v>5</v>
      </c>
      <c r="C1152" s="76"/>
      <c r="D1152" s="14">
        <f>SUM(D1153:D1156)</f>
        <v>1000</v>
      </c>
      <c r="E1152" s="14">
        <f>SUM(E1153:E1156)</f>
        <v>1000</v>
      </c>
      <c r="F1152" s="14">
        <f>SUM(F1153:F1156)</f>
        <v>0</v>
      </c>
      <c r="G1152" s="14">
        <f t="shared" ref="G1152:I1152" si="185">SUM(G1153:G1156)</f>
        <v>0</v>
      </c>
      <c r="H1152" s="14">
        <f t="shared" si="185"/>
        <v>0</v>
      </c>
      <c r="I1152" s="14">
        <f t="shared" si="185"/>
        <v>0</v>
      </c>
      <c r="J1152" s="34"/>
      <c r="K1152" s="35"/>
      <c r="L1152" s="35"/>
      <c r="M1152" s="35"/>
      <c r="N1152" s="35"/>
      <c r="O1152" s="35"/>
      <c r="P1152" s="35"/>
      <c r="Q1152" s="35"/>
      <c r="R1152" s="35"/>
      <c r="S1152" s="35"/>
      <c r="T1152" s="35"/>
      <c r="U1152" s="35"/>
      <c r="V1152" s="36"/>
    </row>
    <row r="1153" spans="1:22" ht="14.25" customHeight="1" x14ac:dyDescent="0.2">
      <c r="A1153" s="32"/>
      <c r="B1153" s="76" t="s">
        <v>0</v>
      </c>
      <c r="C1153" s="76"/>
      <c r="D1153" s="14">
        <f>SUM(E1153:I1153)</f>
        <v>0</v>
      </c>
      <c r="E1153" s="14">
        <f>E1161</f>
        <v>0</v>
      </c>
      <c r="F1153" s="14"/>
      <c r="G1153" s="14"/>
      <c r="H1153" s="14"/>
      <c r="I1153" s="14"/>
      <c r="J1153" s="37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9"/>
    </row>
    <row r="1154" spans="1:22" ht="14.25" customHeight="1" x14ac:dyDescent="0.2">
      <c r="A1154" s="32"/>
      <c r="B1154" s="76" t="s">
        <v>1</v>
      </c>
      <c r="C1154" s="76"/>
      <c r="D1154" s="14">
        <f t="shared" ref="D1154:D1156" si="186">SUM(E1154:I1154)</f>
        <v>1000</v>
      </c>
      <c r="E1154" s="14">
        <f>E1162</f>
        <v>1000</v>
      </c>
      <c r="F1154" s="14"/>
      <c r="G1154" s="14"/>
      <c r="H1154" s="14"/>
      <c r="I1154" s="14"/>
      <c r="J1154" s="37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9"/>
    </row>
    <row r="1155" spans="1:22" ht="14.25" customHeight="1" x14ac:dyDescent="0.2">
      <c r="A1155" s="32"/>
      <c r="B1155" s="76" t="s">
        <v>2</v>
      </c>
      <c r="C1155" s="76"/>
      <c r="D1155" s="14">
        <f t="shared" si="186"/>
        <v>0</v>
      </c>
      <c r="E1155" s="14">
        <f t="shared" ref="E1155:E1156" si="187">E1163</f>
        <v>0</v>
      </c>
      <c r="F1155" s="14"/>
      <c r="G1155" s="14"/>
      <c r="H1155" s="14"/>
      <c r="I1155" s="14"/>
      <c r="J1155" s="37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9"/>
    </row>
    <row r="1156" spans="1:22" ht="14.25" customHeight="1" x14ac:dyDescent="0.2">
      <c r="A1156" s="33"/>
      <c r="B1156" s="76" t="s">
        <v>3</v>
      </c>
      <c r="C1156" s="76"/>
      <c r="D1156" s="14">
        <f t="shared" si="186"/>
        <v>0</v>
      </c>
      <c r="E1156" s="14">
        <f t="shared" si="187"/>
        <v>0</v>
      </c>
      <c r="F1156" s="14"/>
      <c r="G1156" s="14"/>
      <c r="H1156" s="14"/>
      <c r="I1156" s="14"/>
      <c r="J1156" s="40"/>
      <c r="K1156" s="41"/>
      <c r="L1156" s="41"/>
      <c r="M1156" s="41"/>
      <c r="N1156" s="41"/>
      <c r="O1156" s="41"/>
      <c r="P1156" s="41"/>
      <c r="Q1156" s="41"/>
      <c r="R1156" s="41"/>
      <c r="S1156" s="41"/>
      <c r="T1156" s="41"/>
      <c r="U1156" s="41"/>
      <c r="V1156" s="42"/>
    </row>
    <row r="1157" spans="1:22" ht="14.25" customHeight="1" x14ac:dyDescent="0.2">
      <c r="A1157" s="46" t="s">
        <v>648</v>
      </c>
      <c r="B1157" s="24" t="s">
        <v>649</v>
      </c>
      <c r="C1157" s="24"/>
      <c r="D1157" s="24"/>
      <c r="E1157" s="24"/>
      <c r="F1157" s="24"/>
      <c r="G1157" s="24"/>
      <c r="H1157" s="24"/>
      <c r="I1157" s="24"/>
      <c r="J1157" s="24"/>
      <c r="K1157" s="24"/>
      <c r="L1157" s="24"/>
      <c r="M1157" s="24"/>
      <c r="N1157" s="24"/>
      <c r="O1157" s="24"/>
      <c r="P1157" s="24"/>
      <c r="Q1157" s="24"/>
      <c r="R1157" s="24"/>
      <c r="S1157" s="24"/>
      <c r="T1157" s="24"/>
      <c r="U1157" s="24"/>
      <c r="V1157" s="25"/>
    </row>
    <row r="1158" spans="1:22" ht="15.75" customHeight="1" x14ac:dyDescent="0.2">
      <c r="A1158" s="47"/>
      <c r="B1158" s="26" t="s">
        <v>651</v>
      </c>
      <c r="C1158" s="26"/>
      <c r="D1158" s="26"/>
      <c r="E1158" s="26"/>
      <c r="F1158" s="26"/>
      <c r="G1158" s="26"/>
      <c r="H1158" s="26"/>
      <c r="I1158" s="26"/>
      <c r="J1158" s="26"/>
      <c r="K1158" s="26"/>
      <c r="L1158" s="26"/>
      <c r="M1158" s="26"/>
      <c r="N1158" s="26"/>
      <c r="O1158" s="26"/>
      <c r="P1158" s="26"/>
      <c r="Q1158" s="26"/>
      <c r="R1158" s="26"/>
      <c r="S1158" s="26"/>
      <c r="T1158" s="26"/>
      <c r="U1158" s="26"/>
      <c r="V1158" s="26"/>
    </row>
    <row r="1159" spans="1:22" ht="30.75" customHeight="1" x14ac:dyDescent="0.2">
      <c r="A1159" s="47"/>
      <c r="B1159" s="54" t="s">
        <v>650</v>
      </c>
      <c r="C1159" s="55"/>
      <c r="D1159" s="55"/>
      <c r="E1159" s="55"/>
      <c r="F1159" s="55"/>
      <c r="G1159" s="55"/>
      <c r="H1159" s="55"/>
      <c r="I1159" s="56"/>
      <c r="J1159" s="43">
        <v>2019</v>
      </c>
      <c r="K1159" s="43"/>
      <c r="L1159" s="43" t="s">
        <v>59</v>
      </c>
      <c r="M1159" s="43"/>
      <c r="N1159" s="43" t="s">
        <v>652</v>
      </c>
      <c r="O1159" s="43" t="s">
        <v>652</v>
      </c>
      <c r="P1159" s="43" t="s">
        <v>653</v>
      </c>
      <c r="Q1159" s="63">
        <v>1000</v>
      </c>
      <c r="R1159" s="43" t="s">
        <v>11</v>
      </c>
      <c r="S1159" s="43" t="s">
        <v>654</v>
      </c>
      <c r="T1159" s="43" t="s">
        <v>81</v>
      </c>
      <c r="U1159" s="43"/>
      <c r="V1159" s="43"/>
    </row>
    <row r="1160" spans="1:22" ht="14.25" customHeight="1" x14ac:dyDescent="0.2">
      <c r="A1160" s="47"/>
      <c r="B1160" s="30" t="s">
        <v>5</v>
      </c>
      <c r="C1160" s="30"/>
      <c r="D1160" s="12">
        <f>SUM(D1161:D1164)</f>
        <v>1000</v>
      </c>
      <c r="E1160" s="12">
        <f>SUM(E1161:E1164)</f>
        <v>1000</v>
      </c>
      <c r="F1160" s="13"/>
      <c r="G1160" s="13"/>
      <c r="H1160" s="13"/>
      <c r="I1160" s="13"/>
      <c r="J1160" s="44"/>
      <c r="K1160" s="44"/>
      <c r="L1160" s="44"/>
      <c r="M1160" s="44"/>
      <c r="N1160" s="44"/>
      <c r="O1160" s="44"/>
      <c r="P1160" s="44"/>
      <c r="Q1160" s="64"/>
      <c r="R1160" s="44"/>
      <c r="S1160" s="44"/>
      <c r="T1160" s="44"/>
      <c r="U1160" s="44"/>
      <c r="V1160" s="44"/>
    </row>
    <row r="1161" spans="1:22" ht="14.25" customHeight="1" x14ac:dyDescent="0.2">
      <c r="A1161" s="47"/>
      <c r="B1161" s="30" t="s">
        <v>0</v>
      </c>
      <c r="C1161" s="30"/>
      <c r="D1161" s="12">
        <f>E1161+F1161+G1161+H1161+I1161</f>
        <v>0</v>
      </c>
      <c r="E1161" s="13">
        <v>0</v>
      </c>
      <c r="F1161" s="13"/>
      <c r="G1161" s="13"/>
      <c r="H1161" s="13"/>
      <c r="I1161" s="13"/>
      <c r="J1161" s="44"/>
      <c r="K1161" s="44"/>
      <c r="L1161" s="44"/>
      <c r="M1161" s="44"/>
      <c r="N1161" s="44"/>
      <c r="O1161" s="44"/>
      <c r="P1161" s="44"/>
      <c r="Q1161" s="64"/>
      <c r="R1161" s="44"/>
      <c r="S1161" s="44"/>
      <c r="T1161" s="44"/>
      <c r="U1161" s="44"/>
      <c r="V1161" s="44"/>
    </row>
    <row r="1162" spans="1:22" ht="14.25" customHeight="1" x14ac:dyDescent="0.2">
      <c r="A1162" s="47"/>
      <c r="B1162" s="30" t="s">
        <v>1</v>
      </c>
      <c r="C1162" s="30"/>
      <c r="D1162" s="12">
        <f>E1162+F1162+G1162+H1162+I1162</f>
        <v>1000</v>
      </c>
      <c r="E1162" s="13">
        <f>0+1000</f>
        <v>1000</v>
      </c>
      <c r="F1162" s="13"/>
      <c r="G1162" s="13"/>
      <c r="H1162" s="13"/>
      <c r="I1162" s="13"/>
      <c r="J1162" s="44"/>
      <c r="K1162" s="44"/>
      <c r="L1162" s="44"/>
      <c r="M1162" s="44"/>
      <c r="N1162" s="44"/>
      <c r="O1162" s="44"/>
      <c r="P1162" s="44"/>
      <c r="Q1162" s="64"/>
      <c r="R1162" s="44"/>
      <c r="S1162" s="44"/>
      <c r="T1162" s="44"/>
      <c r="U1162" s="44"/>
      <c r="V1162" s="44"/>
    </row>
    <row r="1163" spans="1:22" ht="14.25" customHeight="1" x14ac:dyDescent="0.2">
      <c r="A1163" s="47"/>
      <c r="B1163" s="30" t="s">
        <v>2</v>
      </c>
      <c r="C1163" s="30"/>
      <c r="D1163" s="12">
        <f>E1163+F1163+G1163+H1163+I1163</f>
        <v>0</v>
      </c>
      <c r="E1163" s="13">
        <v>0</v>
      </c>
      <c r="F1163" s="13"/>
      <c r="G1163" s="13"/>
      <c r="H1163" s="13"/>
      <c r="I1163" s="13"/>
      <c r="J1163" s="44"/>
      <c r="K1163" s="44"/>
      <c r="L1163" s="44"/>
      <c r="M1163" s="44"/>
      <c r="N1163" s="44"/>
      <c r="O1163" s="44"/>
      <c r="P1163" s="44"/>
      <c r="Q1163" s="64"/>
      <c r="R1163" s="44"/>
      <c r="S1163" s="44"/>
      <c r="T1163" s="44"/>
      <c r="U1163" s="44"/>
      <c r="V1163" s="44"/>
    </row>
    <row r="1164" spans="1:22" ht="14.25" customHeight="1" x14ac:dyDescent="0.2">
      <c r="A1164" s="48"/>
      <c r="B1164" s="30" t="s">
        <v>3</v>
      </c>
      <c r="C1164" s="30"/>
      <c r="D1164" s="12">
        <f>E1164+F1164+G1164+H1164+I1164</f>
        <v>0</v>
      </c>
      <c r="E1164" s="13">
        <v>0</v>
      </c>
      <c r="F1164" s="13"/>
      <c r="G1164" s="13"/>
      <c r="H1164" s="13"/>
      <c r="I1164" s="13"/>
      <c r="J1164" s="45"/>
      <c r="K1164" s="45"/>
      <c r="L1164" s="45"/>
      <c r="M1164" s="45"/>
      <c r="N1164" s="45"/>
      <c r="O1164" s="45"/>
      <c r="P1164" s="45"/>
      <c r="Q1164" s="65"/>
      <c r="R1164" s="45"/>
      <c r="S1164" s="45"/>
      <c r="T1164" s="45"/>
      <c r="U1164" s="45"/>
      <c r="V1164" s="45"/>
    </row>
    <row r="1165" spans="1:22" x14ac:dyDescent="0.2">
      <c r="A1165" s="78"/>
      <c r="B1165" s="78"/>
      <c r="C1165" s="78"/>
      <c r="D1165" s="78"/>
      <c r="E1165" s="78"/>
      <c r="F1165" s="78"/>
      <c r="G1165" s="78"/>
      <c r="H1165" s="78"/>
      <c r="I1165" s="78"/>
      <c r="J1165" s="78"/>
      <c r="K1165" s="78"/>
      <c r="L1165" s="78"/>
      <c r="M1165" s="78"/>
      <c r="N1165" s="78"/>
      <c r="O1165" s="78"/>
      <c r="P1165" s="78"/>
      <c r="Q1165" s="78"/>
      <c r="R1165" s="78"/>
      <c r="S1165" s="78"/>
      <c r="T1165" s="78"/>
      <c r="U1165" s="78"/>
      <c r="V1165" s="78"/>
    </row>
    <row r="1166" spans="1:22" ht="15.75" customHeight="1" x14ac:dyDescent="0.2">
      <c r="A1166" s="70" t="s">
        <v>5</v>
      </c>
      <c r="B1166" s="70"/>
      <c r="C1166" s="70"/>
      <c r="D1166" s="16">
        <f>SUM(D1167:D1173)</f>
        <v>26941785.997821502</v>
      </c>
      <c r="E1166" s="16">
        <f>SUM(E1167:E1173)</f>
        <v>9762091.028635757</v>
      </c>
      <c r="F1166" s="16">
        <f t="shared" ref="F1166:I1166" si="188">SUM(F1167:F1173)</f>
        <v>7055287.3827185463</v>
      </c>
      <c r="G1166" s="16">
        <f t="shared" si="188"/>
        <v>2914888.4450692488</v>
      </c>
      <c r="H1166" s="16">
        <f t="shared" si="188"/>
        <v>6528252.2992737442</v>
      </c>
      <c r="I1166" s="16">
        <f t="shared" si="188"/>
        <v>681266.84212420194</v>
      </c>
      <c r="J1166" s="71"/>
      <c r="K1166" s="72"/>
      <c r="L1166" s="72"/>
      <c r="M1166" s="72"/>
      <c r="N1166" s="72"/>
      <c r="O1166" s="72"/>
      <c r="P1166" s="72"/>
      <c r="Q1166" s="72"/>
      <c r="R1166" s="72"/>
      <c r="S1166" s="72"/>
      <c r="T1166" s="72"/>
      <c r="U1166" s="72"/>
      <c r="V1166" s="72"/>
    </row>
    <row r="1167" spans="1:22" x14ac:dyDescent="0.2">
      <c r="A1167" s="70" t="s">
        <v>0</v>
      </c>
      <c r="B1167" s="70"/>
      <c r="C1167" s="70"/>
      <c r="D1167" s="16">
        <f>E1167+F1167+G1167+H1167+I1167</f>
        <v>10566214.900000002</v>
      </c>
      <c r="E1167" s="16">
        <f t="shared" ref="E1167:I1168" si="189">E11+E73+E233+E263+E279+E333+E395+E523+E675+E977+E991+E1021+E1051+E1065+E1087+E1139+E1153</f>
        <v>4791936.9000000004</v>
      </c>
      <c r="F1167" s="16">
        <f t="shared" si="189"/>
        <v>4295871.8000000007</v>
      </c>
      <c r="G1167" s="16">
        <f t="shared" si="189"/>
        <v>1478406.2000000002</v>
      </c>
      <c r="H1167" s="16">
        <f t="shared" si="189"/>
        <v>0</v>
      </c>
      <c r="I1167" s="16">
        <f t="shared" si="189"/>
        <v>0</v>
      </c>
      <c r="J1167" s="73"/>
      <c r="K1167" s="74"/>
      <c r="L1167" s="74"/>
      <c r="M1167" s="74"/>
      <c r="N1167" s="74"/>
      <c r="O1167" s="74"/>
      <c r="P1167" s="74"/>
      <c r="Q1167" s="74"/>
      <c r="R1167" s="74"/>
      <c r="S1167" s="74"/>
      <c r="T1167" s="74"/>
      <c r="U1167" s="74"/>
      <c r="V1167" s="74"/>
    </row>
    <row r="1168" spans="1:22" x14ac:dyDescent="0.2">
      <c r="A1168" s="70" t="s">
        <v>1</v>
      </c>
      <c r="B1168" s="70"/>
      <c r="C1168" s="70"/>
      <c r="D1168" s="16">
        <f t="shared" ref="D1168:D1173" si="190">E1168+F1168+G1168+H1168+I1168</f>
        <v>15563979.420165841</v>
      </c>
      <c r="E1168" s="16">
        <f t="shared" si="189"/>
        <v>4339422.2449200004</v>
      </c>
      <c r="F1168" s="16">
        <f t="shared" si="189"/>
        <v>2756277.2468199995</v>
      </c>
      <c r="G1168" s="16">
        <f t="shared" si="189"/>
        <v>1379789.1731200002</v>
      </c>
      <c r="H1168" s="16">
        <f t="shared" si="189"/>
        <v>6422377.9657122511</v>
      </c>
      <c r="I1168" s="16">
        <f t="shared" si="189"/>
        <v>666112.78959358972</v>
      </c>
      <c r="J1168" s="73"/>
      <c r="K1168" s="74"/>
      <c r="L1168" s="74"/>
      <c r="M1168" s="74"/>
      <c r="N1168" s="74"/>
      <c r="O1168" s="74"/>
      <c r="P1168" s="74"/>
      <c r="Q1168" s="74"/>
      <c r="R1168" s="74"/>
      <c r="S1168" s="74"/>
      <c r="T1168" s="74"/>
      <c r="U1168" s="74"/>
      <c r="V1168" s="74"/>
    </row>
    <row r="1169" spans="1:22" ht="27.75" customHeight="1" x14ac:dyDescent="0.2">
      <c r="A1169" s="92" t="s">
        <v>514</v>
      </c>
      <c r="B1169" s="93"/>
      <c r="C1169" s="94"/>
      <c r="D1169" s="16">
        <f t="shared" si="190"/>
        <v>190986.17237000001</v>
      </c>
      <c r="E1169" s="16">
        <f>E1089+E525+E75</f>
        <v>190986.17237000001</v>
      </c>
      <c r="F1169" s="16">
        <f>F1089+F525+F75</f>
        <v>0</v>
      </c>
      <c r="G1169" s="16">
        <f>G1089+G525+G75</f>
        <v>0</v>
      </c>
      <c r="H1169" s="16">
        <f>H1089+H525+H75</f>
        <v>0</v>
      </c>
      <c r="I1169" s="16">
        <f>I1089+I525+I75</f>
        <v>0</v>
      </c>
      <c r="J1169" s="73"/>
      <c r="K1169" s="74"/>
      <c r="L1169" s="74"/>
      <c r="M1169" s="74"/>
      <c r="N1169" s="74"/>
      <c r="O1169" s="74"/>
      <c r="P1169" s="74"/>
      <c r="Q1169" s="74"/>
      <c r="R1169" s="74"/>
      <c r="S1169" s="74"/>
      <c r="T1169" s="74"/>
      <c r="U1169" s="74"/>
      <c r="V1169" s="74"/>
    </row>
    <row r="1170" spans="1:22" ht="17.25" customHeight="1" x14ac:dyDescent="0.2">
      <c r="A1170" s="70" t="s">
        <v>2</v>
      </c>
      <c r="B1170" s="70"/>
      <c r="C1170" s="70"/>
      <c r="D1170" s="16">
        <f t="shared" si="190"/>
        <v>222173.30528565717</v>
      </c>
      <c r="E1170" s="16">
        <f t="shared" ref="E1170:I1171" si="191">E13+E76+E235+E265+E281+E335+E397+E526+E677+E979+E993+E1023+E1053+E1067+E1090+E1141+E1155</f>
        <v>41313.511345756902</v>
      </c>
      <c r="F1170" s="16">
        <f t="shared" si="191"/>
        <v>3138.3358985468894</v>
      </c>
      <c r="G1170" s="16">
        <f t="shared" si="191"/>
        <v>56693.071949248115</v>
      </c>
      <c r="H1170" s="16">
        <f t="shared" si="191"/>
        <v>105874.33356149303</v>
      </c>
      <c r="I1170" s="16">
        <f t="shared" si="191"/>
        <v>15154.052530612245</v>
      </c>
      <c r="J1170" s="73"/>
      <c r="K1170" s="74"/>
      <c r="L1170" s="74"/>
      <c r="M1170" s="74"/>
      <c r="N1170" s="74"/>
      <c r="O1170" s="74"/>
      <c r="P1170" s="74"/>
      <c r="Q1170" s="74"/>
      <c r="R1170" s="74"/>
      <c r="S1170" s="74"/>
      <c r="T1170" s="74"/>
      <c r="U1170" s="74"/>
      <c r="V1170" s="74"/>
    </row>
    <row r="1171" spans="1:22" ht="15" customHeight="1" x14ac:dyDescent="0.2">
      <c r="A1171" s="70" t="s">
        <v>3</v>
      </c>
      <c r="B1171" s="70"/>
      <c r="C1171" s="70"/>
      <c r="D1171" s="16">
        <f t="shared" si="190"/>
        <v>0</v>
      </c>
      <c r="E1171" s="16">
        <f t="shared" si="191"/>
        <v>0</v>
      </c>
      <c r="F1171" s="16">
        <f t="shared" si="191"/>
        <v>0</v>
      </c>
      <c r="G1171" s="16">
        <f t="shared" si="191"/>
        <v>0</v>
      </c>
      <c r="H1171" s="16">
        <f t="shared" si="191"/>
        <v>0</v>
      </c>
      <c r="I1171" s="16">
        <f t="shared" si="191"/>
        <v>0</v>
      </c>
      <c r="J1171" s="73"/>
      <c r="K1171" s="74"/>
      <c r="L1171" s="74"/>
      <c r="M1171" s="74"/>
      <c r="N1171" s="74"/>
      <c r="O1171" s="74"/>
      <c r="P1171" s="74"/>
      <c r="Q1171" s="74"/>
      <c r="R1171" s="74"/>
      <c r="S1171" s="74"/>
      <c r="T1171" s="74"/>
      <c r="U1171" s="74"/>
      <c r="V1171" s="74"/>
    </row>
    <row r="1172" spans="1:22" ht="25.5" customHeight="1" x14ac:dyDescent="0.2">
      <c r="A1172" s="125" t="s">
        <v>725</v>
      </c>
      <c r="B1172" s="126"/>
      <c r="C1172" s="127"/>
      <c r="D1172" s="16">
        <f t="shared" si="190"/>
        <v>118328</v>
      </c>
      <c r="E1172" s="16">
        <f>E267</f>
        <v>118328</v>
      </c>
      <c r="F1172" s="16">
        <f>F267</f>
        <v>0</v>
      </c>
      <c r="G1172" s="16">
        <f>G267</f>
        <v>0</v>
      </c>
      <c r="H1172" s="16">
        <f>H267</f>
        <v>0</v>
      </c>
      <c r="I1172" s="16">
        <f>I267</f>
        <v>0</v>
      </c>
      <c r="J1172" s="73"/>
      <c r="K1172" s="74"/>
      <c r="L1172" s="74"/>
      <c r="M1172" s="74"/>
      <c r="N1172" s="74"/>
      <c r="O1172" s="74"/>
      <c r="P1172" s="74"/>
      <c r="Q1172" s="74"/>
      <c r="R1172" s="74"/>
      <c r="S1172" s="74"/>
      <c r="T1172" s="74"/>
      <c r="U1172" s="74"/>
      <c r="V1172" s="74"/>
    </row>
    <row r="1173" spans="1:22" ht="39" customHeight="1" x14ac:dyDescent="0.2">
      <c r="A1173" s="70" t="s">
        <v>670</v>
      </c>
      <c r="B1173" s="70"/>
      <c r="C1173" s="70"/>
      <c r="D1173" s="16">
        <f t="shared" si="190"/>
        <v>280104.2</v>
      </c>
      <c r="E1173" s="16">
        <f>E399</f>
        <v>280104.2</v>
      </c>
      <c r="F1173" s="16">
        <f t="shared" ref="F1173:I1173" si="192">F399</f>
        <v>0</v>
      </c>
      <c r="G1173" s="16">
        <f t="shared" si="192"/>
        <v>0</v>
      </c>
      <c r="H1173" s="16">
        <f t="shared" si="192"/>
        <v>0</v>
      </c>
      <c r="I1173" s="16">
        <f t="shared" si="192"/>
        <v>0</v>
      </c>
      <c r="J1173" s="73"/>
      <c r="K1173" s="74"/>
      <c r="L1173" s="74"/>
      <c r="M1173" s="74"/>
      <c r="N1173" s="74"/>
      <c r="O1173" s="74"/>
      <c r="P1173" s="74"/>
      <c r="Q1173" s="74"/>
      <c r="R1173" s="74"/>
      <c r="S1173" s="74"/>
      <c r="T1173" s="74"/>
      <c r="U1173" s="74"/>
      <c r="V1173" s="74"/>
    </row>
    <row r="1174" spans="1:22" ht="26.25" x14ac:dyDescent="0.2">
      <c r="A1174" s="97" t="s">
        <v>423</v>
      </c>
      <c r="B1174" s="97"/>
      <c r="C1174" s="97"/>
      <c r="D1174" s="97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</row>
    <row r="1175" spans="1:22" x14ac:dyDescent="0.2">
      <c r="H1175" s="8"/>
      <c r="I1175" s="8"/>
    </row>
  </sheetData>
  <mergeCells count="3029">
    <mergeCell ref="A1172:C1172"/>
    <mergeCell ref="P659:P664"/>
    <mergeCell ref="Q659:Q664"/>
    <mergeCell ref="R659:R664"/>
    <mergeCell ref="B276:C276"/>
    <mergeCell ref="A268:A276"/>
    <mergeCell ref="A261:A267"/>
    <mergeCell ref="B267:C267"/>
    <mergeCell ref="A323:A330"/>
    <mergeCell ref="B323:V323"/>
    <mergeCell ref="B324:V324"/>
    <mergeCell ref="B326:C326"/>
    <mergeCell ref="B327:C327"/>
    <mergeCell ref="B328:C328"/>
    <mergeCell ref="B329:C329"/>
    <mergeCell ref="B330:C330"/>
    <mergeCell ref="B325:I325"/>
    <mergeCell ref="J325:J330"/>
    <mergeCell ref="K325:K330"/>
    <mergeCell ref="L325:L330"/>
    <mergeCell ref="M325:M330"/>
    <mergeCell ref="N325:N330"/>
    <mergeCell ref="O325:O330"/>
    <mergeCell ref="P325:P330"/>
    <mergeCell ref="Q325:Q330"/>
    <mergeCell ref="R325:R330"/>
    <mergeCell ref="S325:S330"/>
    <mergeCell ref="T325:T330"/>
    <mergeCell ref="U325:U330"/>
    <mergeCell ref="V325:V330"/>
    <mergeCell ref="A315:A322"/>
    <mergeCell ref="B315:V315"/>
    <mergeCell ref="B667:I667"/>
    <mergeCell ref="B665:V665"/>
    <mergeCell ref="B666:V666"/>
    <mergeCell ref="B668:C668"/>
    <mergeCell ref="B669:C669"/>
    <mergeCell ref="B670:C670"/>
    <mergeCell ref="B671:C671"/>
    <mergeCell ref="B672:C672"/>
    <mergeCell ref="A665:A672"/>
    <mergeCell ref="J667:J672"/>
    <mergeCell ref="K667:K672"/>
    <mergeCell ref="L667:L672"/>
    <mergeCell ref="M667:M672"/>
    <mergeCell ref="N667:N672"/>
    <mergeCell ref="O667:O672"/>
    <mergeCell ref="P667:P672"/>
    <mergeCell ref="Q667:Q672"/>
    <mergeCell ref="R667:R672"/>
    <mergeCell ref="S667:S672"/>
    <mergeCell ref="T667:T672"/>
    <mergeCell ref="U667:U672"/>
    <mergeCell ref="V667:V672"/>
    <mergeCell ref="S659:S664"/>
    <mergeCell ref="T659:T664"/>
    <mergeCell ref="U659:U664"/>
    <mergeCell ref="V659:V664"/>
    <mergeCell ref="B651:I651"/>
    <mergeCell ref="J659:J664"/>
    <mergeCell ref="K659:K664"/>
    <mergeCell ref="L659:L664"/>
    <mergeCell ref="M659:M664"/>
    <mergeCell ref="N659:N664"/>
    <mergeCell ref="O659:O664"/>
    <mergeCell ref="B657:V657"/>
    <mergeCell ref="B658:V658"/>
    <mergeCell ref="B659:I659"/>
    <mergeCell ref="B660:C660"/>
    <mergeCell ref="B661:C661"/>
    <mergeCell ref="B662:C662"/>
    <mergeCell ref="B663:C663"/>
    <mergeCell ref="B664:C664"/>
    <mergeCell ref="J651:J656"/>
    <mergeCell ref="T635:T640"/>
    <mergeCell ref="B641:V641"/>
    <mergeCell ref="B642:V642"/>
    <mergeCell ref="B643:I643"/>
    <mergeCell ref="B644:C644"/>
    <mergeCell ref="B645:C645"/>
    <mergeCell ref="B646:C646"/>
    <mergeCell ref="B647:C647"/>
    <mergeCell ref="B648:C648"/>
    <mergeCell ref="A641:A648"/>
    <mergeCell ref="J643:J648"/>
    <mergeCell ref="K643:K648"/>
    <mergeCell ref="L643:L648"/>
    <mergeCell ref="M643:M648"/>
    <mergeCell ref="N643:N648"/>
    <mergeCell ref="O643:O648"/>
    <mergeCell ref="P643:P648"/>
    <mergeCell ref="Q643:Q648"/>
    <mergeCell ref="R643:R648"/>
    <mergeCell ref="S643:S648"/>
    <mergeCell ref="T643:T648"/>
    <mergeCell ref="U643:U648"/>
    <mergeCell ref="V643:V648"/>
    <mergeCell ref="A633:A640"/>
    <mergeCell ref="B633:V633"/>
    <mergeCell ref="B634:V634"/>
    <mergeCell ref="B635:I635"/>
    <mergeCell ref="U635:U640"/>
    <mergeCell ref="V635:V640"/>
    <mergeCell ref="B640:C640"/>
    <mergeCell ref="B630:C630"/>
    <mergeCell ref="B631:C631"/>
    <mergeCell ref="B632:C632"/>
    <mergeCell ref="V619:V624"/>
    <mergeCell ref="J602:J607"/>
    <mergeCell ref="K602:K607"/>
    <mergeCell ref="L602:L607"/>
    <mergeCell ref="M602:M607"/>
    <mergeCell ref="S610:S616"/>
    <mergeCell ref="T610:T616"/>
    <mergeCell ref="U610:U616"/>
    <mergeCell ref="V610:V616"/>
    <mergeCell ref="B636:C636"/>
    <mergeCell ref="B637:C637"/>
    <mergeCell ref="B638:C638"/>
    <mergeCell ref="B639:C639"/>
    <mergeCell ref="J635:J640"/>
    <mergeCell ref="K635:K640"/>
    <mergeCell ref="L635:L640"/>
    <mergeCell ref="M635:M640"/>
    <mergeCell ref="N635:N640"/>
    <mergeCell ref="O635:O640"/>
    <mergeCell ref="P635:P640"/>
    <mergeCell ref="Q635:Q640"/>
    <mergeCell ref="R635:R640"/>
    <mergeCell ref="B627:I627"/>
    <mergeCell ref="B628:C628"/>
    <mergeCell ref="B614:C614"/>
    <mergeCell ref="B608:V608"/>
    <mergeCell ref="B609:V609"/>
    <mergeCell ref="B610:I610"/>
    <mergeCell ref="S635:S640"/>
    <mergeCell ref="B602:I602"/>
    <mergeCell ref="V225:V230"/>
    <mergeCell ref="J627:J632"/>
    <mergeCell ref="K627:K632"/>
    <mergeCell ref="L627:L632"/>
    <mergeCell ref="M627:M632"/>
    <mergeCell ref="N627:N632"/>
    <mergeCell ref="O627:O632"/>
    <mergeCell ref="P627:P632"/>
    <mergeCell ref="Q627:Q632"/>
    <mergeCell ref="R627:R632"/>
    <mergeCell ref="S627:S632"/>
    <mergeCell ref="T627:T632"/>
    <mergeCell ref="U627:U632"/>
    <mergeCell ref="V627:V632"/>
    <mergeCell ref="B316:V316"/>
    <mergeCell ref="N225:N230"/>
    <mergeCell ref="O225:O230"/>
    <mergeCell ref="P225:P230"/>
    <mergeCell ref="Q225:Q230"/>
    <mergeCell ref="R225:R230"/>
    <mergeCell ref="S225:S230"/>
    <mergeCell ref="T225:T230"/>
    <mergeCell ref="U225:U230"/>
    <mergeCell ref="K619:K624"/>
    <mergeCell ref="L619:L624"/>
    <mergeCell ref="B623:C623"/>
    <mergeCell ref="K339:K344"/>
    <mergeCell ref="L339:L344"/>
    <mergeCell ref="B624:C624"/>
    <mergeCell ref="J619:J624"/>
    <mergeCell ref="B629:C629"/>
    <mergeCell ref="K610:K616"/>
    <mergeCell ref="B611:C611"/>
    <mergeCell ref="B612:C612"/>
    <mergeCell ref="B613:C613"/>
    <mergeCell ref="B615:C615"/>
    <mergeCell ref="B616:C616"/>
    <mergeCell ref="N602:N607"/>
    <mergeCell ref="O602:O607"/>
    <mergeCell ref="P602:P607"/>
    <mergeCell ref="B353:V353"/>
    <mergeCell ref="B354:V354"/>
    <mergeCell ref="B355:I355"/>
    <mergeCell ref="J355:J360"/>
    <mergeCell ref="K355:K360"/>
    <mergeCell ref="S355:S360"/>
    <mergeCell ref="T355:T360"/>
    <mergeCell ref="U355:U360"/>
    <mergeCell ref="V355:V360"/>
    <mergeCell ref="B600:V600"/>
    <mergeCell ref="U602:U607"/>
    <mergeCell ref="V602:V607"/>
    <mergeCell ref="Q482:Q487"/>
    <mergeCell ref="R482:R487"/>
    <mergeCell ref="S482:S487"/>
    <mergeCell ref="T482:T487"/>
    <mergeCell ref="U482:U487"/>
    <mergeCell ref="V482:V487"/>
    <mergeCell ref="L530:L535"/>
    <mergeCell ref="M530:M535"/>
    <mergeCell ref="N530:N535"/>
    <mergeCell ref="S538:S543"/>
    <mergeCell ref="B601:V601"/>
    <mergeCell ref="O208:O214"/>
    <mergeCell ref="N363:N368"/>
    <mergeCell ref="B356:C356"/>
    <mergeCell ref="B357:C357"/>
    <mergeCell ref="B358:C358"/>
    <mergeCell ref="B359:C359"/>
    <mergeCell ref="B360:C360"/>
    <mergeCell ref="B361:V361"/>
    <mergeCell ref="M363:M368"/>
    <mergeCell ref="J225:J230"/>
    <mergeCell ref="K225:K230"/>
    <mergeCell ref="L225:L230"/>
    <mergeCell ref="M225:M230"/>
    <mergeCell ref="M208:M214"/>
    <mergeCell ref="N208:N214"/>
    <mergeCell ref="B321:C321"/>
    <mergeCell ref="B322:C322"/>
    <mergeCell ref="B213:C213"/>
    <mergeCell ref="B214:C214"/>
    <mergeCell ref="T247:T252"/>
    <mergeCell ref="U247:U252"/>
    <mergeCell ref="V247:V252"/>
    <mergeCell ref="J339:J344"/>
    <mergeCell ref="M339:M344"/>
    <mergeCell ref="N339:N344"/>
    <mergeCell ref="O339:O344"/>
    <mergeCell ref="P339:P344"/>
    <mergeCell ref="Q339:Q344"/>
    <mergeCell ref="L969:L974"/>
    <mergeCell ref="M969:M974"/>
    <mergeCell ref="N969:N974"/>
    <mergeCell ref="O969:O974"/>
    <mergeCell ref="P969:P974"/>
    <mergeCell ref="Q969:Q974"/>
    <mergeCell ref="B970:C970"/>
    <mergeCell ref="B971:C971"/>
    <mergeCell ref="P363:P368"/>
    <mergeCell ref="Q363:Q368"/>
    <mergeCell ref="B625:V625"/>
    <mergeCell ref="L355:L360"/>
    <mergeCell ref="M355:M360"/>
    <mergeCell ref="N355:N360"/>
    <mergeCell ref="O355:O360"/>
    <mergeCell ref="P355:P360"/>
    <mergeCell ref="Q355:Q360"/>
    <mergeCell ref="R355:R360"/>
    <mergeCell ref="R363:R368"/>
    <mergeCell ref="S363:S368"/>
    <mergeCell ref="M619:M624"/>
    <mergeCell ref="N619:N624"/>
    <mergeCell ref="P619:P624"/>
    <mergeCell ref="Q619:Q624"/>
    <mergeCell ref="R619:R624"/>
    <mergeCell ref="S619:S624"/>
    <mergeCell ref="T619:T624"/>
    <mergeCell ref="B972:C972"/>
    <mergeCell ref="B973:C973"/>
    <mergeCell ref="B974:C974"/>
    <mergeCell ref="V865:V870"/>
    <mergeCell ref="U713:U718"/>
    <mergeCell ref="V713:V718"/>
    <mergeCell ref="B720:V720"/>
    <mergeCell ref="J721:J726"/>
    <mergeCell ref="Q713:Q718"/>
    <mergeCell ref="R713:R718"/>
    <mergeCell ref="S713:S718"/>
    <mergeCell ref="T713:T718"/>
    <mergeCell ref="Q689:Q694"/>
    <mergeCell ref="R689:R694"/>
    <mergeCell ref="O697:O702"/>
    <mergeCell ref="B712:V712"/>
    <mergeCell ref="S721:S726"/>
    <mergeCell ref="T721:T726"/>
    <mergeCell ref="R969:R974"/>
    <mergeCell ref="S969:S974"/>
    <mergeCell ref="T969:T974"/>
    <mergeCell ref="U969:U974"/>
    <mergeCell ref="V969:V974"/>
    <mergeCell ref="R961:R966"/>
    <mergeCell ref="S961:S966"/>
    <mergeCell ref="T961:T966"/>
    <mergeCell ref="U961:U966"/>
    <mergeCell ref="V961:V966"/>
    <mergeCell ref="B962:C962"/>
    <mergeCell ref="B963:C963"/>
    <mergeCell ref="B964:C964"/>
    <mergeCell ref="B965:C965"/>
    <mergeCell ref="B966:C966"/>
    <mergeCell ref="J961:J966"/>
    <mergeCell ref="A967:A974"/>
    <mergeCell ref="B967:V967"/>
    <mergeCell ref="B968:V968"/>
    <mergeCell ref="B969:I969"/>
    <mergeCell ref="J969:J974"/>
    <mergeCell ref="K969:K974"/>
    <mergeCell ref="A951:A958"/>
    <mergeCell ref="B951:V951"/>
    <mergeCell ref="B952:V952"/>
    <mergeCell ref="B953:I953"/>
    <mergeCell ref="J953:J958"/>
    <mergeCell ref="K953:K958"/>
    <mergeCell ref="L953:L958"/>
    <mergeCell ref="M953:M958"/>
    <mergeCell ref="N953:N958"/>
    <mergeCell ref="O953:O958"/>
    <mergeCell ref="P953:P958"/>
    <mergeCell ref="Q953:Q958"/>
    <mergeCell ref="R953:R958"/>
    <mergeCell ref="S953:S958"/>
    <mergeCell ref="T953:T958"/>
    <mergeCell ref="U953:U958"/>
    <mergeCell ref="V953:V958"/>
    <mergeCell ref="B954:C954"/>
    <mergeCell ref="B955:C955"/>
    <mergeCell ref="B956:C956"/>
    <mergeCell ref="B957:C957"/>
    <mergeCell ref="B958:C958"/>
    <mergeCell ref="A959:A966"/>
    <mergeCell ref="B959:V959"/>
    <mergeCell ref="B960:V960"/>
    <mergeCell ref="B961:I961"/>
    <mergeCell ref="A943:A950"/>
    <mergeCell ref="B943:V943"/>
    <mergeCell ref="B944:V944"/>
    <mergeCell ref="B945:I945"/>
    <mergeCell ref="J945:J950"/>
    <mergeCell ref="K945:K950"/>
    <mergeCell ref="L945:L950"/>
    <mergeCell ref="M945:M950"/>
    <mergeCell ref="N945:N950"/>
    <mergeCell ref="O945:O950"/>
    <mergeCell ref="P945:P950"/>
    <mergeCell ref="Q945:Q950"/>
    <mergeCell ref="R945:R950"/>
    <mergeCell ref="S945:S950"/>
    <mergeCell ref="T945:T950"/>
    <mergeCell ref="U945:U950"/>
    <mergeCell ref="V945:V950"/>
    <mergeCell ref="B946:C946"/>
    <mergeCell ref="B947:C947"/>
    <mergeCell ref="B948:C948"/>
    <mergeCell ref="B949:C949"/>
    <mergeCell ref="B950:C950"/>
    <mergeCell ref="K961:K966"/>
    <mergeCell ref="L961:L966"/>
    <mergeCell ref="M961:M966"/>
    <mergeCell ref="N961:N966"/>
    <mergeCell ref="O961:O966"/>
    <mergeCell ref="P961:P966"/>
    <mergeCell ref="Q961:Q966"/>
    <mergeCell ref="Q610:Q616"/>
    <mergeCell ref="O619:O624"/>
    <mergeCell ref="A935:A942"/>
    <mergeCell ref="B935:V935"/>
    <mergeCell ref="B936:V936"/>
    <mergeCell ref="B937:I937"/>
    <mergeCell ref="J937:J942"/>
    <mergeCell ref="K937:K942"/>
    <mergeCell ref="L937:L942"/>
    <mergeCell ref="M937:M942"/>
    <mergeCell ref="N937:N942"/>
    <mergeCell ref="O937:O942"/>
    <mergeCell ref="P937:P942"/>
    <mergeCell ref="Q937:Q942"/>
    <mergeCell ref="R937:R942"/>
    <mergeCell ref="S937:S942"/>
    <mergeCell ref="T937:T942"/>
    <mergeCell ref="U937:U942"/>
    <mergeCell ref="V937:V942"/>
    <mergeCell ref="B938:C938"/>
    <mergeCell ref="B939:C939"/>
    <mergeCell ref="B940:C940"/>
    <mergeCell ref="B941:C941"/>
    <mergeCell ref="B942:C942"/>
    <mergeCell ref="B621:C621"/>
    <mergeCell ref="B619:I619"/>
    <mergeCell ref="R610:R616"/>
    <mergeCell ref="B622:C622"/>
    <mergeCell ref="U619:U624"/>
    <mergeCell ref="B626:V626"/>
    <mergeCell ref="B483:C483"/>
    <mergeCell ref="B593:V593"/>
    <mergeCell ref="B594:I594"/>
    <mergeCell ref="B526:C526"/>
    <mergeCell ref="B527:C527"/>
    <mergeCell ref="A927:A934"/>
    <mergeCell ref="B927:V927"/>
    <mergeCell ref="B928:V928"/>
    <mergeCell ref="B929:I929"/>
    <mergeCell ref="J929:J934"/>
    <mergeCell ref="K929:K934"/>
    <mergeCell ref="L929:L934"/>
    <mergeCell ref="M929:M934"/>
    <mergeCell ref="N929:N934"/>
    <mergeCell ref="O929:O934"/>
    <mergeCell ref="P929:P934"/>
    <mergeCell ref="Q929:Q934"/>
    <mergeCell ref="R929:R934"/>
    <mergeCell ref="S929:S934"/>
    <mergeCell ref="T929:T934"/>
    <mergeCell ref="U929:U934"/>
    <mergeCell ref="V929:V934"/>
    <mergeCell ref="B930:C930"/>
    <mergeCell ref="B931:C931"/>
    <mergeCell ref="B617:V617"/>
    <mergeCell ref="J610:J616"/>
    <mergeCell ref="B934:C934"/>
    <mergeCell ref="B472:V472"/>
    <mergeCell ref="B473:V473"/>
    <mergeCell ref="L610:L616"/>
    <mergeCell ref="M610:M616"/>
    <mergeCell ref="N610:N616"/>
    <mergeCell ref="O610:O616"/>
    <mergeCell ref="P610:P616"/>
    <mergeCell ref="B474:I474"/>
    <mergeCell ref="J474:J479"/>
    <mergeCell ref="K474:K479"/>
    <mergeCell ref="L474:L479"/>
    <mergeCell ref="M474:M479"/>
    <mergeCell ref="Q602:Q607"/>
    <mergeCell ref="R602:R607"/>
    <mergeCell ref="S602:S607"/>
    <mergeCell ref="T602:T607"/>
    <mergeCell ref="B603:C603"/>
    <mergeCell ref="B604:C604"/>
    <mergeCell ref="B605:C605"/>
    <mergeCell ref="B606:C606"/>
    <mergeCell ref="B607:C607"/>
    <mergeCell ref="B480:V480"/>
    <mergeCell ref="B481:V481"/>
    <mergeCell ref="B482:I482"/>
    <mergeCell ref="J482:J487"/>
    <mergeCell ref="K482:K487"/>
    <mergeCell ref="L482:L487"/>
    <mergeCell ref="M482:M487"/>
    <mergeCell ref="N482:N487"/>
    <mergeCell ref="O482:O487"/>
    <mergeCell ref="P482:P487"/>
    <mergeCell ref="B531:C531"/>
    <mergeCell ref="B344:C344"/>
    <mergeCell ref="B307:V307"/>
    <mergeCell ref="B618:V618"/>
    <mergeCell ref="B620:C620"/>
    <mergeCell ref="U458:U463"/>
    <mergeCell ref="V458:V463"/>
    <mergeCell ref="N474:N479"/>
    <mergeCell ref="A1128:A1136"/>
    <mergeCell ref="B1128:V1128"/>
    <mergeCell ref="B159:V159"/>
    <mergeCell ref="B161:C161"/>
    <mergeCell ref="B162:C162"/>
    <mergeCell ref="B163:C163"/>
    <mergeCell ref="B165:C165"/>
    <mergeCell ref="B160:I160"/>
    <mergeCell ref="J160:J165"/>
    <mergeCell ref="K160:K165"/>
    <mergeCell ref="L160:L165"/>
    <mergeCell ref="M160:M165"/>
    <mergeCell ref="N160:N165"/>
    <mergeCell ref="O160:O165"/>
    <mergeCell ref="P160:P165"/>
    <mergeCell ref="Q160:Q165"/>
    <mergeCell ref="R160:R165"/>
    <mergeCell ref="S160:S165"/>
    <mergeCell ref="T160:T165"/>
    <mergeCell ref="U160:U165"/>
    <mergeCell ref="V160:V165"/>
    <mergeCell ref="B164:C164"/>
    <mergeCell ref="B1129:V1129"/>
    <mergeCell ref="B1131:C1131"/>
    <mergeCell ref="A472:A479"/>
    <mergeCell ref="B553:V553"/>
    <mergeCell ref="Q546:Q551"/>
    <mergeCell ref="J530:J535"/>
    <mergeCell ref="K530:K535"/>
    <mergeCell ref="B349:C349"/>
    <mergeCell ref="U402:U407"/>
    <mergeCell ref="B932:C932"/>
    <mergeCell ref="B933:C933"/>
    <mergeCell ref="T538:T543"/>
    <mergeCell ref="B71:V71"/>
    <mergeCell ref="B72:C72"/>
    <mergeCell ref="T57:T62"/>
    <mergeCell ref="U57:U62"/>
    <mergeCell ref="M1130:M1136"/>
    <mergeCell ref="N1130:N1136"/>
    <mergeCell ref="O1130:O1136"/>
    <mergeCell ref="P1130:P1136"/>
    <mergeCell ref="B458:I458"/>
    <mergeCell ref="B459:C459"/>
    <mergeCell ref="B460:C460"/>
    <mergeCell ref="B461:C461"/>
    <mergeCell ref="B462:C462"/>
    <mergeCell ref="B463:C463"/>
    <mergeCell ref="J458:J463"/>
    <mergeCell ref="K458:K463"/>
    <mergeCell ref="L458:L463"/>
    <mergeCell ref="M458:M463"/>
    <mergeCell ref="N458:N463"/>
    <mergeCell ref="O458:O463"/>
    <mergeCell ref="P458:P463"/>
    <mergeCell ref="L689:L694"/>
    <mergeCell ref="M689:M694"/>
    <mergeCell ref="B486:C486"/>
    <mergeCell ref="B487:C487"/>
    <mergeCell ref="B525:C525"/>
    <mergeCell ref="K538:K543"/>
    <mergeCell ref="B538:I538"/>
    <mergeCell ref="B539:C539"/>
    <mergeCell ref="B540:C540"/>
    <mergeCell ref="L538:L543"/>
    <mergeCell ref="O530:O535"/>
    <mergeCell ref="P530:P535"/>
    <mergeCell ref="O474:O479"/>
    <mergeCell ref="P474:P479"/>
    <mergeCell ref="Q474:Q479"/>
    <mergeCell ref="R474:R479"/>
    <mergeCell ref="S474:S479"/>
    <mergeCell ref="T474:T479"/>
    <mergeCell ref="B541:C541"/>
    <mergeCell ref="B542:C542"/>
    <mergeCell ref="B543:C543"/>
    <mergeCell ref="T530:T535"/>
    <mergeCell ref="B532:C532"/>
    <mergeCell ref="B533:C533"/>
    <mergeCell ref="B250:C250"/>
    <mergeCell ref="B251:C251"/>
    <mergeCell ref="B252:C252"/>
    <mergeCell ref="B255:I255"/>
    <mergeCell ref="B318:C318"/>
    <mergeCell ref="B319:C319"/>
    <mergeCell ref="B320:C320"/>
    <mergeCell ref="B303:C303"/>
    <mergeCell ref="B304:C304"/>
    <mergeCell ref="B261:V261"/>
    <mergeCell ref="K293:K298"/>
    <mergeCell ref="B270:I270"/>
    <mergeCell ref="B271:C271"/>
    <mergeCell ref="B272:C272"/>
    <mergeCell ref="B273:C273"/>
    <mergeCell ref="B274:C274"/>
    <mergeCell ref="O293:O298"/>
    <mergeCell ref="N293:N298"/>
    <mergeCell ref="B298:C298"/>
    <mergeCell ref="V285:V290"/>
    <mergeCell ref="P255:P260"/>
    <mergeCell ref="O301:O306"/>
    <mergeCell ref="P301:P306"/>
    <mergeCell ref="Q301:Q306"/>
    <mergeCell ref="B314:C314"/>
    <mergeCell ref="T309:T314"/>
    <mergeCell ref="U309:U314"/>
    <mergeCell ref="V309:V314"/>
    <mergeCell ref="B310:C310"/>
    <mergeCell ref="B311:C311"/>
    <mergeCell ref="B308:V308"/>
    <mergeCell ref="P247:P252"/>
    <mergeCell ref="J262:V266"/>
    <mergeCell ref="B265:C265"/>
    <mergeCell ref="B266:C266"/>
    <mergeCell ref="T270:T275"/>
    <mergeCell ref="U270:U275"/>
    <mergeCell ref="V270:V275"/>
    <mergeCell ref="Q285:Q290"/>
    <mergeCell ref="R285:R290"/>
    <mergeCell ref="S285:S290"/>
    <mergeCell ref="T285:T290"/>
    <mergeCell ref="U285:U290"/>
    <mergeCell ref="B297:C297"/>
    <mergeCell ref="M270:M275"/>
    <mergeCell ref="N270:N275"/>
    <mergeCell ref="O270:O275"/>
    <mergeCell ref="P270:P275"/>
    <mergeCell ref="Q270:Q275"/>
    <mergeCell ref="R270:R275"/>
    <mergeCell ref="B262:C262"/>
    <mergeCell ref="B263:C263"/>
    <mergeCell ref="B264:C264"/>
    <mergeCell ref="B284:V284"/>
    <mergeCell ref="J278:V282"/>
    <mergeCell ref="V293:V298"/>
    <mergeCell ref="N301:N306"/>
    <mergeCell ref="P833:P838"/>
    <mergeCell ref="B867:C867"/>
    <mergeCell ref="L833:L838"/>
    <mergeCell ref="B832:V832"/>
    <mergeCell ref="J833:J838"/>
    <mergeCell ref="B838:C838"/>
    <mergeCell ref="B824:V824"/>
    <mergeCell ref="J825:J830"/>
    <mergeCell ref="K825:K830"/>
    <mergeCell ref="L825:L830"/>
    <mergeCell ref="M825:M830"/>
    <mergeCell ref="N825:N830"/>
    <mergeCell ref="O825:O830"/>
    <mergeCell ref="P825:P830"/>
    <mergeCell ref="Q825:Q830"/>
    <mergeCell ref="R825:R830"/>
    <mergeCell ref="S825:S830"/>
    <mergeCell ref="T825:T830"/>
    <mergeCell ref="U825:U830"/>
    <mergeCell ref="V825:V830"/>
    <mergeCell ref="B825:I825"/>
    <mergeCell ref="B826:C826"/>
    <mergeCell ref="B827:C827"/>
    <mergeCell ref="B831:V831"/>
    <mergeCell ref="B851:C851"/>
    <mergeCell ref="J865:J870"/>
    <mergeCell ref="M301:M306"/>
    <mergeCell ref="V402:V407"/>
    <mergeCell ref="V363:V368"/>
    <mergeCell ref="B331:V331"/>
    <mergeCell ref="B598:C598"/>
    <mergeCell ref="V881:V886"/>
    <mergeCell ref="P897:P902"/>
    <mergeCell ref="V889:V894"/>
    <mergeCell ref="A277:A282"/>
    <mergeCell ref="B277:V277"/>
    <mergeCell ref="B278:C278"/>
    <mergeCell ref="B279:C279"/>
    <mergeCell ref="B280:C280"/>
    <mergeCell ref="U347:U352"/>
    <mergeCell ref="V347:V352"/>
    <mergeCell ref="S301:S306"/>
    <mergeCell ref="T301:T306"/>
    <mergeCell ref="R301:R306"/>
    <mergeCell ref="O317:O322"/>
    <mergeCell ref="P317:P322"/>
    <mergeCell ref="Q317:Q322"/>
    <mergeCell ref="R317:R322"/>
    <mergeCell ref="S317:S322"/>
    <mergeCell ref="T317:T322"/>
    <mergeCell ref="U317:U322"/>
    <mergeCell ref="V317:V322"/>
    <mergeCell ref="U721:U726"/>
    <mergeCell ref="B868:C868"/>
    <mergeCell ref="B869:C869"/>
    <mergeCell ref="B839:V839"/>
    <mergeCell ref="B828:C828"/>
    <mergeCell ref="B829:C829"/>
    <mergeCell ref="B830:C830"/>
    <mergeCell ref="O833:O838"/>
    <mergeCell ref="O865:O870"/>
    <mergeCell ref="R339:R344"/>
    <mergeCell ref="S339:S344"/>
    <mergeCell ref="Q897:Q902"/>
    <mergeCell ref="R897:R902"/>
    <mergeCell ref="S897:S902"/>
    <mergeCell ref="T897:T902"/>
    <mergeCell ref="U897:U902"/>
    <mergeCell ref="V897:V902"/>
    <mergeCell ref="J889:J894"/>
    <mergeCell ref="K889:K894"/>
    <mergeCell ref="B895:V895"/>
    <mergeCell ref="B863:V863"/>
    <mergeCell ref="B871:V871"/>
    <mergeCell ref="B879:V879"/>
    <mergeCell ref="B856:V856"/>
    <mergeCell ref="J857:J862"/>
    <mergeCell ref="B864:V864"/>
    <mergeCell ref="K865:K870"/>
    <mergeCell ref="L865:L870"/>
    <mergeCell ref="M865:M870"/>
    <mergeCell ref="P865:P870"/>
    <mergeCell ref="Q865:Q870"/>
    <mergeCell ref="O881:O886"/>
    <mergeCell ref="P881:P886"/>
    <mergeCell ref="Q881:Q886"/>
    <mergeCell ref="R881:R886"/>
    <mergeCell ref="P873:P878"/>
    <mergeCell ref="Q873:Q878"/>
    <mergeCell ref="R873:R878"/>
    <mergeCell ref="S873:S878"/>
    <mergeCell ref="T873:T878"/>
    <mergeCell ref="U873:U878"/>
    <mergeCell ref="V873:V878"/>
    <mergeCell ref="T881:T886"/>
    <mergeCell ref="B903:V903"/>
    <mergeCell ref="T889:T894"/>
    <mergeCell ref="U889:U894"/>
    <mergeCell ref="K881:K886"/>
    <mergeCell ref="B896:V896"/>
    <mergeCell ref="J897:J902"/>
    <mergeCell ref="K897:K902"/>
    <mergeCell ref="B889:I889"/>
    <mergeCell ref="B890:C890"/>
    <mergeCell ref="B891:C891"/>
    <mergeCell ref="B892:C892"/>
    <mergeCell ref="B893:C893"/>
    <mergeCell ref="B894:C894"/>
    <mergeCell ref="B897:I897"/>
    <mergeCell ref="B898:C898"/>
    <mergeCell ref="L889:L894"/>
    <mergeCell ref="M889:M894"/>
    <mergeCell ref="M881:M886"/>
    <mergeCell ref="S881:S886"/>
    <mergeCell ref="J881:J886"/>
    <mergeCell ref="B883:C883"/>
    <mergeCell ref="N881:N886"/>
    <mergeCell ref="L881:L886"/>
    <mergeCell ref="R889:R894"/>
    <mergeCell ref="S889:S894"/>
    <mergeCell ref="B901:C901"/>
    <mergeCell ref="B902:C902"/>
    <mergeCell ref="B884:C884"/>
    <mergeCell ref="B885:C885"/>
    <mergeCell ref="B886:C886"/>
    <mergeCell ref="P889:P894"/>
    <mergeCell ref="Q889:Q894"/>
    <mergeCell ref="B881:I881"/>
    <mergeCell ref="B882:C882"/>
    <mergeCell ref="V833:V838"/>
    <mergeCell ref="N865:N870"/>
    <mergeCell ref="B809:I809"/>
    <mergeCell ref="B816:V816"/>
    <mergeCell ref="J817:J822"/>
    <mergeCell ref="K817:K822"/>
    <mergeCell ref="L817:L822"/>
    <mergeCell ref="M817:M822"/>
    <mergeCell ref="N817:N822"/>
    <mergeCell ref="O817:O822"/>
    <mergeCell ref="P817:P822"/>
    <mergeCell ref="Q817:Q822"/>
    <mergeCell ref="B823:V823"/>
    <mergeCell ref="U817:U822"/>
    <mergeCell ref="V817:V822"/>
    <mergeCell ref="B817:I817"/>
    <mergeCell ref="B818:C818"/>
    <mergeCell ref="B819:C819"/>
    <mergeCell ref="B822:C822"/>
    <mergeCell ref="V841:V846"/>
    <mergeCell ref="Q833:Q838"/>
    <mergeCell ref="B852:C852"/>
    <mergeCell ref="B853:C853"/>
    <mergeCell ref="B841:I841"/>
    <mergeCell ref="J841:J846"/>
    <mergeCell ref="K849:K854"/>
    <mergeCell ref="B848:V848"/>
    <mergeCell ref="J849:J854"/>
    <mergeCell ref="N841:N846"/>
    <mergeCell ref="T865:T870"/>
    <mergeCell ref="T737:T742"/>
    <mergeCell ref="B731:C731"/>
    <mergeCell ref="B732:C732"/>
    <mergeCell ref="B733:C733"/>
    <mergeCell ref="O737:O742"/>
    <mergeCell ref="P737:P742"/>
    <mergeCell ref="Q737:Q742"/>
    <mergeCell ref="R737:R742"/>
    <mergeCell ref="R753:R758"/>
    <mergeCell ref="J753:J758"/>
    <mergeCell ref="J745:J750"/>
    <mergeCell ref="U745:U750"/>
    <mergeCell ref="B749:C749"/>
    <mergeCell ref="B747:C747"/>
    <mergeCell ref="P745:P750"/>
    <mergeCell ref="B745:I745"/>
    <mergeCell ref="B746:C746"/>
    <mergeCell ref="B748:C748"/>
    <mergeCell ref="K745:K750"/>
    <mergeCell ref="L745:L750"/>
    <mergeCell ref="M721:M726"/>
    <mergeCell ref="N721:N726"/>
    <mergeCell ref="O721:O726"/>
    <mergeCell ref="P721:P726"/>
    <mergeCell ref="Q721:Q726"/>
    <mergeCell ref="L729:L734"/>
    <mergeCell ref="N729:N734"/>
    <mergeCell ref="B811:C811"/>
    <mergeCell ref="B812:C812"/>
    <mergeCell ref="B808:V808"/>
    <mergeCell ref="J809:J814"/>
    <mergeCell ref="K809:K814"/>
    <mergeCell ref="L809:L814"/>
    <mergeCell ref="M809:M814"/>
    <mergeCell ref="N809:N814"/>
    <mergeCell ref="O809:O814"/>
    <mergeCell ref="P809:P814"/>
    <mergeCell ref="Q809:Q814"/>
    <mergeCell ref="R809:R814"/>
    <mergeCell ref="S809:S814"/>
    <mergeCell ref="T809:T814"/>
    <mergeCell ref="U809:U814"/>
    <mergeCell ref="V745:V750"/>
    <mergeCell ref="T745:T750"/>
    <mergeCell ref="U753:U758"/>
    <mergeCell ref="V753:V758"/>
    <mergeCell ref="M753:M758"/>
    <mergeCell ref="T753:T758"/>
    <mergeCell ref="B752:V752"/>
    <mergeCell ref="O753:O758"/>
    <mergeCell ref="P753:P758"/>
    <mergeCell ref="Q753:Q758"/>
    <mergeCell ref="L705:L710"/>
    <mergeCell ref="J713:J718"/>
    <mergeCell ref="K713:K718"/>
    <mergeCell ref="L713:L718"/>
    <mergeCell ref="V721:V726"/>
    <mergeCell ref="Q371:Q376"/>
    <mergeCell ref="R817:R822"/>
    <mergeCell ref="S817:S822"/>
    <mergeCell ref="T817:T822"/>
    <mergeCell ref="B704:V704"/>
    <mergeCell ref="J705:J710"/>
    <mergeCell ref="K705:K710"/>
    <mergeCell ref="M705:M710"/>
    <mergeCell ref="K721:K726"/>
    <mergeCell ref="L721:L726"/>
    <mergeCell ref="S705:S710"/>
    <mergeCell ref="T705:T710"/>
    <mergeCell ref="U705:U710"/>
    <mergeCell ref="V705:V710"/>
    <mergeCell ref="O745:O750"/>
    <mergeCell ref="B750:C750"/>
    <mergeCell ref="B737:I737"/>
    <mergeCell ref="B820:C820"/>
    <mergeCell ref="B821:C821"/>
    <mergeCell ref="B738:C738"/>
    <mergeCell ref="B739:C739"/>
    <mergeCell ref="B740:C740"/>
    <mergeCell ref="M729:M734"/>
    <mergeCell ref="B730:C730"/>
    <mergeCell ref="S737:S742"/>
    <mergeCell ref="L371:L376"/>
    <mergeCell ref="M371:M376"/>
    <mergeCell ref="L184:L189"/>
    <mergeCell ref="M184:M189"/>
    <mergeCell ref="N184:N189"/>
    <mergeCell ref="O184:O189"/>
    <mergeCell ref="P184:P189"/>
    <mergeCell ref="Q184:Q189"/>
    <mergeCell ref="V697:V702"/>
    <mergeCell ref="B269:V269"/>
    <mergeCell ref="J594:J599"/>
    <mergeCell ref="K594:K599"/>
    <mergeCell ref="L594:L599"/>
    <mergeCell ref="M594:M599"/>
    <mergeCell ref="N594:N599"/>
    <mergeCell ref="O594:O599"/>
    <mergeCell ref="P594:P599"/>
    <mergeCell ref="Q594:Q599"/>
    <mergeCell ref="R594:R599"/>
    <mergeCell ref="S594:S599"/>
    <mergeCell ref="T594:T599"/>
    <mergeCell ref="O285:O290"/>
    <mergeCell ref="P285:P290"/>
    <mergeCell ref="Q293:Q298"/>
    <mergeCell ref="R293:R298"/>
    <mergeCell ref="S293:S298"/>
    <mergeCell ref="T347:T352"/>
    <mergeCell ref="B350:C350"/>
    <mergeCell ref="B332:C332"/>
    <mergeCell ref="B333:C333"/>
    <mergeCell ref="B334:C334"/>
    <mergeCell ref="T339:T344"/>
    <mergeCell ref="B301:I301"/>
    <mergeCell ref="B302:C302"/>
    <mergeCell ref="Q168:Q173"/>
    <mergeCell ref="R168:R173"/>
    <mergeCell ref="S168:S173"/>
    <mergeCell ref="Q239:Q244"/>
    <mergeCell ref="R239:R244"/>
    <mergeCell ref="S239:S244"/>
    <mergeCell ref="T239:T244"/>
    <mergeCell ref="B206:V206"/>
    <mergeCell ref="B207:V207"/>
    <mergeCell ref="B208:I208"/>
    <mergeCell ref="J208:J214"/>
    <mergeCell ref="K208:K214"/>
    <mergeCell ref="Q176:Q181"/>
    <mergeCell ref="B238:V238"/>
    <mergeCell ref="J239:J244"/>
    <mergeCell ref="K239:K244"/>
    <mergeCell ref="O363:O368"/>
    <mergeCell ref="Q247:Q252"/>
    <mergeCell ref="R247:R252"/>
    <mergeCell ref="N239:N244"/>
    <mergeCell ref="L255:L260"/>
    <mergeCell ref="J232:V236"/>
    <mergeCell ref="O239:O244"/>
    <mergeCell ref="P239:P244"/>
    <mergeCell ref="B239:I239"/>
    <mergeCell ref="B240:C240"/>
    <mergeCell ref="B241:C241"/>
    <mergeCell ref="B242:C242"/>
    <mergeCell ref="O247:O252"/>
    <mergeCell ref="T168:T173"/>
    <mergeCell ref="U168:U173"/>
    <mergeCell ref="V168:V173"/>
    <mergeCell ref="T17:T22"/>
    <mergeCell ref="B29:C29"/>
    <mergeCell ref="O49:O54"/>
    <mergeCell ref="B40:V40"/>
    <mergeCell ref="J41:J46"/>
    <mergeCell ref="K41:K46"/>
    <mergeCell ref="L41:L46"/>
    <mergeCell ref="U41:U46"/>
    <mergeCell ref="Q41:Q46"/>
    <mergeCell ref="R41:R46"/>
    <mergeCell ref="U49:U54"/>
    <mergeCell ref="L49:L54"/>
    <mergeCell ref="M49:M54"/>
    <mergeCell ref="Q25:Q30"/>
    <mergeCell ref="R25:R30"/>
    <mergeCell ref="S25:S30"/>
    <mergeCell ref="T25:T30"/>
    <mergeCell ref="M41:M46"/>
    <mergeCell ref="N41:N46"/>
    <mergeCell ref="O41:O46"/>
    <mergeCell ref="P41:P46"/>
    <mergeCell ref="A9:A14"/>
    <mergeCell ref="B9:V9"/>
    <mergeCell ref="B10:C10"/>
    <mergeCell ref="B11:C11"/>
    <mergeCell ref="B12:C12"/>
    <mergeCell ref="B13:C13"/>
    <mergeCell ref="B14:C14"/>
    <mergeCell ref="B24:V24"/>
    <mergeCell ref="J25:J30"/>
    <mergeCell ref="U17:U22"/>
    <mergeCell ref="V17:V22"/>
    <mergeCell ref="O17:O22"/>
    <mergeCell ref="P17:P22"/>
    <mergeCell ref="B30:C30"/>
    <mergeCell ref="A15:A22"/>
    <mergeCell ref="A23:A30"/>
    <mergeCell ref="Q17:Q22"/>
    <mergeCell ref="R17:R22"/>
    <mergeCell ref="S17:S22"/>
    <mergeCell ref="K25:K30"/>
    <mergeCell ref="B16:V16"/>
    <mergeCell ref="N17:N22"/>
    <mergeCell ref="K17:K22"/>
    <mergeCell ref="L17:L22"/>
    <mergeCell ref="M17:M22"/>
    <mergeCell ref="L25:L30"/>
    <mergeCell ref="M25:M30"/>
    <mergeCell ref="N25:N30"/>
    <mergeCell ref="O65:O70"/>
    <mergeCell ref="P65:P70"/>
    <mergeCell ref="Q65:Q70"/>
    <mergeCell ref="R65:R70"/>
    <mergeCell ref="S65:S70"/>
    <mergeCell ref="T65:T70"/>
    <mergeCell ref="V49:V54"/>
    <mergeCell ref="K49:K54"/>
    <mergeCell ref="B53:C53"/>
    <mergeCell ref="B54:C54"/>
    <mergeCell ref="K57:K62"/>
    <mergeCell ref="L57:L62"/>
    <mergeCell ref="M57:M62"/>
    <mergeCell ref="N57:N62"/>
    <mergeCell ref="O57:O62"/>
    <mergeCell ref="P57:P62"/>
    <mergeCell ref="Q57:Q62"/>
    <mergeCell ref="R57:R62"/>
    <mergeCell ref="V57:V62"/>
    <mergeCell ref="B58:C58"/>
    <mergeCell ref="B59:C59"/>
    <mergeCell ref="B60:C60"/>
    <mergeCell ref="U65:U70"/>
    <mergeCell ref="V65:V70"/>
    <mergeCell ref="B66:C66"/>
    <mergeCell ref="B67:C67"/>
    <mergeCell ref="B68:C68"/>
    <mergeCell ref="B69:C69"/>
    <mergeCell ref="B70:C70"/>
    <mergeCell ref="K33:K38"/>
    <mergeCell ref="B33:I33"/>
    <mergeCell ref="T33:T38"/>
    <mergeCell ref="V33:V38"/>
    <mergeCell ref="S33:S38"/>
    <mergeCell ref="U33:U38"/>
    <mergeCell ref="V41:V46"/>
    <mergeCell ref="U25:U30"/>
    <mergeCell ref="V25:V30"/>
    <mergeCell ref="B34:C34"/>
    <mergeCell ref="B61:C61"/>
    <mergeCell ref="B62:C62"/>
    <mergeCell ref="S49:S54"/>
    <mergeCell ref="B35:C35"/>
    <mergeCell ref="B64:V64"/>
    <mergeCell ref="B65:I65"/>
    <mergeCell ref="J65:J70"/>
    <mergeCell ref="K65:K70"/>
    <mergeCell ref="L65:L70"/>
    <mergeCell ref="M65:M70"/>
    <mergeCell ref="B38:C38"/>
    <mergeCell ref="B41:I41"/>
    <mergeCell ref="B42:C42"/>
    <mergeCell ref="B43:C43"/>
    <mergeCell ref="B44:C44"/>
    <mergeCell ref="B45:C45"/>
    <mergeCell ref="B46:C46"/>
    <mergeCell ref="S41:S46"/>
    <mergeCell ref="T41:T46"/>
    <mergeCell ref="J57:J62"/>
    <mergeCell ref="B63:V63"/>
    <mergeCell ref="N65:N70"/>
    <mergeCell ref="B95:V95"/>
    <mergeCell ref="B87:V87"/>
    <mergeCell ref="J88:J93"/>
    <mergeCell ref="B119:V119"/>
    <mergeCell ref="J120:J125"/>
    <mergeCell ref="T96:T101"/>
    <mergeCell ref="U96:U101"/>
    <mergeCell ref="K120:K125"/>
    <mergeCell ref="L120:L125"/>
    <mergeCell ref="M120:M125"/>
    <mergeCell ref="R120:R125"/>
    <mergeCell ref="T88:T93"/>
    <mergeCell ref="V120:V125"/>
    <mergeCell ref="B97:C97"/>
    <mergeCell ref="P104:P109"/>
    <mergeCell ref="Q104:Q109"/>
    <mergeCell ref="R104:R109"/>
    <mergeCell ref="B108:C108"/>
    <mergeCell ref="B109:C109"/>
    <mergeCell ref="N104:N109"/>
    <mergeCell ref="O104:O109"/>
    <mergeCell ref="B113:C113"/>
    <mergeCell ref="B114:C114"/>
    <mergeCell ref="B115:C115"/>
    <mergeCell ref="O88:O93"/>
    <mergeCell ref="P88:P93"/>
    <mergeCell ref="B98:C98"/>
    <mergeCell ref="B99:C99"/>
    <mergeCell ref="R96:R101"/>
    <mergeCell ref="S96:S101"/>
    <mergeCell ref="R112:R117"/>
    <mergeCell ref="O120:O125"/>
    <mergeCell ref="V144:V149"/>
    <mergeCell ref="J144:J149"/>
    <mergeCell ref="O128:O133"/>
    <mergeCell ref="P128:P133"/>
    <mergeCell ref="Q128:Q133"/>
    <mergeCell ref="R128:R133"/>
    <mergeCell ref="P120:P125"/>
    <mergeCell ref="S120:S125"/>
    <mergeCell ref="N120:N125"/>
    <mergeCell ref="K104:K109"/>
    <mergeCell ref="L104:L109"/>
    <mergeCell ref="M104:M109"/>
    <mergeCell ref="N96:N101"/>
    <mergeCell ref="O96:O101"/>
    <mergeCell ref="B142:V142"/>
    <mergeCell ref="B143:V143"/>
    <mergeCell ref="L136:L141"/>
    <mergeCell ref="M136:M141"/>
    <mergeCell ref="N136:N141"/>
    <mergeCell ref="B138:C138"/>
    <mergeCell ref="B139:C139"/>
    <mergeCell ref="B140:C140"/>
    <mergeCell ref="B141:C141"/>
    <mergeCell ref="R144:R149"/>
    <mergeCell ref="P136:P141"/>
    <mergeCell ref="B80:I80"/>
    <mergeCell ref="L88:L93"/>
    <mergeCell ref="M88:M93"/>
    <mergeCell ref="N88:N93"/>
    <mergeCell ref="B49:I49"/>
    <mergeCell ref="B127:V127"/>
    <mergeCell ref="Q120:Q125"/>
    <mergeCell ref="T128:T133"/>
    <mergeCell ref="U128:U133"/>
    <mergeCell ref="B145:C145"/>
    <mergeCell ref="B146:C146"/>
    <mergeCell ref="B117:C117"/>
    <mergeCell ref="J49:J54"/>
    <mergeCell ref="S80:S85"/>
    <mergeCell ref="J80:J85"/>
    <mergeCell ref="K80:K85"/>
    <mergeCell ref="L80:L85"/>
    <mergeCell ref="B133:C133"/>
    <mergeCell ref="B136:I136"/>
    <mergeCell ref="B137:C137"/>
    <mergeCell ref="S88:S93"/>
    <mergeCell ref="U152:U157"/>
    <mergeCell ref="V152:V157"/>
    <mergeCell ref="B152:I152"/>
    <mergeCell ref="J152:J157"/>
    <mergeCell ref="K152:K157"/>
    <mergeCell ref="L152:L157"/>
    <mergeCell ref="M152:M157"/>
    <mergeCell ref="N152:N157"/>
    <mergeCell ref="O152:O157"/>
    <mergeCell ref="P152:P157"/>
    <mergeCell ref="Q152:Q157"/>
    <mergeCell ref="R152:R157"/>
    <mergeCell ref="N144:N149"/>
    <mergeCell ref="P144:P149"/>
    <mergeCell ref="Q144:Q149"/>
    <mergeCell ref="K144:K149"/>
    <mergeCell ref="B150:V150"/>
    <mergeCell ref="B147:C147"/>
    <mergeCell ref="K168:K173"/>
    <mergeCell ref="L168:L173"/>
    <mergeCell ref="M168:M173"/>
    <mergeCell ref="P168:P173"/>
    <mergeCell ref="B171:C171"/>
    <mergeCell ref="B172:C172"/>
    <mergeCell ref="B173:C173"/>
    <mergeCell ref="B151:V151"/>
    <mergeCell ref="V136:V141"/>
    <mergeCell ref="S128:S133"/>
    <mergeCell ref="B128:I128"/>
    <mergeCell ref="M128:M133"/>
    <mergeCell ref="N128:N133"/>
    <mergeCell ref="O144:O149"/>
    <mergeCell ref="B135:V135"/>
    <mergeCell ref="Q136:Q141"/>
    <mergeCell ref="R136:R141"/>
    <mergeCell ref="S136:S141"/>
    <mergeCell ref="T136:T141"/>
    <mergeCell ref="B154:C154"/>
    <mergeCell ref="B155:C155"/>
    <mergeCell ref="B156:C156"/>
    <mergeCell ref="B157:C157"/>
    <mergeCell ref="B158:V158"/>
    <mergeCell ref="L144:L149"/>
    <mergeCell ref="M144:M149"/>
    <mergeCell ref="S144:S149"/>
    <mergeCell ref="T144:T149"/>
    <mergeCell ref="U144:U149"/>
    <mergeCell ref="J128:J133"/>
    <mergeCell ref="S152:S157"/>
    <mergeCell ref="T152:T157"/>
    <mergeCell ref="R371:R376"/>
    <mergeCell ref="S371:S376"/>
    <mergeCell ref="T371:T376"/>
    <mergeCell ref="U371:U376"/>
    <mergeCell ref="N371:N376"/>
    <mergeCell ref="O371:O376"/>
    <mergeCell ref="P371:P376"/>
    <mergeCell ref="B370:V370"/>
    <mergeCell ref="J371:J376"/>
    <mergeCell ref="B371:I371"/>
    <mergeCell ref="B372:C372"/>
    <mergeCell ref="B373:C373"/>
    <mergeCell ref="B374:C374"/>
    <mergeCell ref="B375:C375"/>
    <mergeCell ref="B362:V362"/>
    <mergeCell ref="B363:I363"/>
    <mergeCell ref="J363:J368"/>
    <mergeCell ref="K363:K368"/>
    <mergeCell ref="L363:L368"/>
    <mergeCell ref="T363:T368"/>
    <mergeCell ref="U363:U368"/>
    <mergeCell ref="V371:V376"/>
    <mergeCell ref="K371:K376"/>
    <mergeCell ref="B364:C364"/>
    <mergeCell ref="B365:C365"/>
    <mergeCell ref="B366:C366"/>
    <mergeCell ref="B367:C367"/>
    <mergeCell ref="B368:C368"/>
    <mergeCell ref="B421:C421"/>
    <mergeCell ref="B417:V417"/>
    <mergeCell ref="J418:J423"/>
    <mergeCell ref="K418:K423"/>
    <mergeCell ref="L418:L423"/>
    <mergeCell ref="M418:M423"/>
    <mergeCell ref="N418:N423"/>
    <mergeCell ref="Q410:Q415"/>
    <mergeCell ref="R410:R415"/>
    <mergeCell ref="S410:S415"/>
    <mergeCell ref="T410:T415"/>
    <mergeCell ref="U410:U415"/>
    <mergeCell ref="V410:V415"/>
    <mergeCell ref="K410:K415"/>
    <mergeCell ref="L410:L415"/>
    <mergeCell ref="M410:M415"/>
    <mergeCell ref="N410:N415"/>
    <mergeCell ref="B411:C411"/>
    <mergeCell ref="B412:C412"/>
    <mergeCell ref="B413:C413"/>
    <mergeCell ref="B414:C414"/>
    <mergeCell ref="U418:U423"/>
    <mergeCell ref="V418:V423"/>
    <mergeCell ref="O418:O423"/>
    <mergeCell ref="B419:C419"/>
    <mergeCell ref="R402:R407"/>
    <mergeCell ref="B420:C420"/>
    <mergeCell ref="U426:U431"/>
    <mergeCell ref="V426:V431"/>
    <mergeCell ref="K426:K431"/>
    <mergeCell ref="L426:L431"/>
    <mergeCell ref="M426:M431"/>
    <mergeCell ref="N426:N431"/>
    <mergeCell ref="O426:O431"/>
    <mergeCell ref="P426:P431"/>
    <mergeCell ref="B425:V425"/>
    <mergeCell ref="B431:C431"/>
    <mergeCell ref="B422:C422"/>
    <mergeCell ref="B426:I426"/>
    <mergeCell ref="B427:C427"/>
    <mergeCell ref="B428:C428"/>
    <mergeCell ref="B429:C429"/>
    <mergeCell ref="B430:C430"/>
    <mergeCell ref="J426:J431"/>
    <mergeCell ref="B448:V448"/>
    <mergeCell ref="B449:V449"/>
    <mergeCell ref="B450:I450"/>
    <mergeCell ref="J450:J455"/>
    <mergeCell ref="K450:K455"/>
    <mergeCell ref="L450:L455"/>
    <mergeCell ref="M450:M455"/>
    <mergeCell ref="N450:N455"/>
    <mergeCell ref="Q450:Q455"/>
    <mergeCell ref="R450:R455"/>
    <mergeCell ref="S450:S455"/>
    <mergeCell ref="N442:N447"/>
    <mergeCell ref="O442:O447"/>
    <mergeCell ref="P442:P447"/>
    <mergeCell ref="Q442:Q447"/>
    <mergeCell ref="R442:R447"/>
    <mergeCell ref="T450:T455"/>
    <mergeCell ref="O450:O455"/>
    <mergeCell ref="P450:P455"/>
    <mergeCell ref="B452:C452"/>
    <mergeCell ref="B453:C453"/>
    <mergeCell ref="U450:U455"/>
    <mergeCell ref="V450:V455"/>
    <mergeCell ref="B454:C454"/>
    <mergeCell ref="B455:C455"/>
    <mergeCell ref="B456:V456"/>
    <mergeCell ref="B457:V457"/>
    <mergeCell ref="B441:V441"/>
    <mergeCell ref="J442:J447"/>
    <mergeCell ref="K442:K447"/>
    <mergeCell ref="L442:L447"/>
    <mergeCell ref="M442:M447"/>
    <mergeCell ref="Q530:Q535"/>
    <mergeCell ref="R530:R535"/>
    <mergeCell ref="S530:S535"/>
    <mergeCell ref="R546:R551"/>
    <mergeCell ref="S546:S551"/>
    <mergeCell ref="T546:T551"/>
    <mergeCell ref="U546:U551"/>
    <mergeCell ref="V546:V551"/>
    <mergeCell ref="K546:K551"/>
    <mergeCell ref="L546:L551"/>
    <mergeCell ref="B535:C535"/>
    <mergeCell ref="M546:M551"/>
    <mergeCell ref="N546:N551"/>
    <mergeCell ref="O546:O551"/>
    <mergeCell ref="P546:P551"/>
    <mergeCell ref="Q466:Q471"/>
    <mergeCell ref="R466:R471"/>
    <mergeCell ref="M506:M512"/>
    <mergeCell ref="N506:N512"/>
    <mergeCell ref="O506:O512"/>
    <mergeCell ref="P506:P512"/>
    <mergeCell ref="Q506:Q512"/>
    <mergeCell ref="R506:R512"/>
    <mergeCell ref="B447:C447"/>
    <mergeCell ref="S442:S447"/>
    <mergeCell ref="B534:C534"/>
    <mergeCell ref="B548:C548"/>
    <mergeCell ref="B549:C549"/>
    <mergeCell ref="B550:C550"/>
    <mergeCell ref="V594:V599"/>
    <mergeCell ref="U538:U543"/>
    <mergeCell ref="V538:V543"/>
    <mergeCell ref="B545:V545"/>
    <mergeCell ref="J546:J551"/>
    <mergeCell ref="M538:M543"/>
    <mergeCell ref="N538:N543"/>
    <mergeCell ref="O538:O543"/>
    <mergeCell ref="P538:P543"/>
    <mergeCell ref="Q538:Q543"/>
    <mergeCell ref="R538:R543"/>
    <mergeCell ref="U530:U535"/>
    <mergeCell ref="V530:V535"/>
    <mergeCell ref="B537:V537"/>
    <mergeCell ref="J538:J543"/>
    <mergeCell ref="U578:U583"/>
    <mergeCell ref="V578:V583"/>
    <mergeCell ref="B572:C572"/>
    <mergeCell ref="B573:C573"/>
    <mergeCell ref="B569:V569"/>
    <mergeCell ref="B561:V561"/>
    <mergeCell ref="J562:J567"/>
    <mergeCell ref="K562:K567"/>
    <mergeCell ref="L562:L567"/>
    <mergeCell ref="O554:O559"/>
    <mergeCell ref="B530:I530"/>
    <mergeCell ref="B546:I546"/>
    <mergeCell ref="B547:C547"/>
    <mergeCell ref="S562:S567"/>
    <mergeCell ref="T562:T567"/>
    <mergeCell ref="U562:U567"/>
    <mergeCell ref="V562:V567"/>
    <mergeCell ref="M562:M567"/>
    <mergeCell ref="N562:N567"/>
    <mergeCell ref="O562:O567"/>
    <mergeCell ref="P562:P567"/>
    <mergeCell ref="U594:U599"/>
    <mergeCell ref="B581:C581"/>
    <mergeCell ref="B582:C582"/>
    <mergeCell ref="B583:C583"/>
    <mergeCell ref="B586:I586"/>
    <mergeCell ref="B587:C587"/>
    <mergeCell ref="B588:C588"/>
    <mergeCell ref="B589:C589"/>
    <mergeCell ref="B590:C590"/>
    <mergeCell ref="B591:C591"/>
    <mergeCell ref="B565:C565"/>
    <mergeCell ref="B566:C566"/>
    <mergeCell ref="B597:C597"/>
    <mergeCell ref="B576:V576"/>
    <mergeCell ref="B570:I570"/>
    <mergeCell ref="B571:C571"/>
    <mergeCell ref="B592:V592"/>
    <mergeCell ref="B703:V703"/>
    <mergeCell ref="Q562:Q567"/>
    <mergeCell ref="R562:R567"/>
    <mergeCell ref="O570:O575"/>
    <mergeCell ref="P570:P575"/>
    <mergeCell ref="Q570:Q575"/>
    <mergeCell ref="R570:R575"/>
    <mergeCell ref="S570:S575"/>
    <mergeCell ref="T570:T575"/>
    <mergeCell ref="Q578:Q583"/>
    <mergeCell ref="R578:R583"/>
    <mergeCell ref="S578:S583"/>
    <mergeCell ref="T578:T583"/>
    <mergeCell ref="U681:U686"/>
    <mergeCell ref="V681:V686"/>
    <mergeCell ref="S689:S694"/>
    <mergeCell ref="B696:V696"/>
    <mergeCell ref="J697:J702"/>
    <mergeCell ref="K697:K702"/>
    <mergeCell ref="L697:L702"/>
    <mergeCell ref="M697:M702"/>
    <mergeCell ref="N697:N702"/>
    <mergeCell ref="B688:V688"/>
    <mergeCell ref="J689:J694"/>
    <mergeCell ref="J586:J591"/>
    <mergeCell ref="B585:V585"/>
    <mergeCell ref="K578:K583"/>
    <mergeCell ref="L578:L583"/>
    <mergeCell ref="J570:J575"/>
    <mergeCell ref="K570:K575"/>
    <mergeCell ref="B595:C595"/>
    <mergeCell ref="B596:C596"/>
    <mergeCell ref="P697:P702"/>
    <mergeCell ref="Q697:Q702"/>
    <mergeCell ref="B683:C683"/>
    <mergeCell ref="T689:T694"/>
    <mergeCell ref="U689:U694"/>
    <mergeCell ref="V689:V694"/>
    <mergeCell ref="K689:K694"/>
    <mergeCell ref="K681:K686"/>
    <mergeCell ref="L681:L686"/>
    <mergeCell ref="M681:M686"/>
    <mergeCell ref="N681:N686"/>
    <mergeCell ref="B692:C692"/>
    <mergeCell ref="B694:C694"/>
    <mergeCell ref="B697:I697"/>
    <mergeCell ref="B698:C698"/>
    <mergeCell ref="B699:C699"/>
    <mergeCell ref="B700:C700"/>
    <mergeCell ref="B701:C701"/>
    <mergeCell ref="B702:C702"/>
    <mergeCell ref="B687:V687"/>
    <mergeCell ref="B695:V695"/>
    <mergeCell ref="U697:U702"/>
    <mergeCell ref="O681:O686"/>
    <mergeCell ref="P681:P686"/>
    <mergeCell ref="Q681:Q686"/>
    <mergeCell ref="R681:R686"/>
    <mergeCell ref="N689:N694"/>
    <mergeCell ref="O689:O694"/>
    <mergeCell ref="P689:P694"/>
    <mergeCell ref="B753:I753"/>
    <mergeCell ref="B754:C754"/>
    <mergeCell ref="B755:C755"/>
    <mergeCell ref="B756:C756"/>
    <mergeCell ref="B757:C757"/>
    <mergeCell ref="B758:C758"/>
    <mergeCell ref="B777:I777"/>
    <mergeCell ref="B786:C786"/>
    <mergeCell ref="B767:V767"/>
    <mergeCell ref="B775:V775"/>
    <mergeCell ref="B783:V783"/>
    <mergeCell ref="N769:N774"/>
    <mergeCell ref="M761:M766"/>
    <mergeCell ref="N761:N766"/>
    <mergeCell ref="O761:O766"/>
    <mergeCell ref="P761:P766"/>
    <mergeCell ref="Q761:Q766"/>
    <mergeCell ref="R761:R766"/>
    <mergeCell ref="N777:N782"/>
    <mergeCell ref="O777:O782"/>
    <mergeCell ref="N753:N758"/>
    <mergeCell ref="M785:M790"/>
    <mergeCell ref="N785:N790"/>
    <mergeCell ref="U777:U782"/>
    <mergeCell ref="R785:R790"/>
    <mergeCell ref="P785:P790"/>
    <mergeCell ref="Q785:Q790"/>
    <mergeCell ref="B778:C778"/>
    <mergeCell ref="B779:C779"/>
    <mergeCell ref="B780:C780"/>
    <mergeCell ref="B781:C781"/>
    <mergeCell ref="B782:C782"/>
    <mergeCell ref="B785:I785"/>
    <mergeCell ref="Q745:Q750"/>
    <mergeCell ref="T777:T782"/>
    <mergeCell ref="K769:K774"/>
    <mergeCell ref="J777:J782"/>
    <mergeCell ref="R777:R782"/>
    <mergeCell ref="R745:R750"/>
    <mergeCell ref="S745:S750"/>
    <mergeCell ref="P769:P774"/>
    <mergeCell ref="B774:C774"/>
    <mergeCell ref="B797:C797"/>
    <mergeCell ref="B798:C798"/>
    <mergeCell ref="O793:O798"/>
    <mergeCell ref="P793:P798"/>
    <mergeCell ref="Q793:Q798"/>
    <mergeCell ref="B769:I769"/>
    <mergeCell ref="B770:C770"/>
    <mergeCell ref="B773:C773"/>
    <mergeCell ref="R769:R774"/>
    <mergeCell ref="S769:S774"/>
    <mergeCell ref="B776:V776"/>
    <mergeCell ref="S777:S782"/>
    <mergeCell ref="B768:V768"/>
    <mergeCell ref="L769:L774"/>
    <mergeCell ref="S761:S766"/>
    <mergeCell ref="T761:T766"/>
    <mergeCell ref="U761:U766"/>
    <mergeCell ref="B761:I761"/>
    <mergeCell ref="B762:C762"/>
    <mergeCell ref="B763:C763"/>
    <mergeCell ref="R793:R798"/>
    <mergeCell ref="S793:S798"/>
    <mergeCell ref="T793:T798"/>
    <mergeCell ref="B814:C814"/>
    <mergeCell ref="O857:O862"/>
    <mergeCell ref="B847:V847"/>
    <mergeCell ref="P857:P862"/>
    <mergeCell ref="Q857:Q862"/>
    <mergeCell ref="R857:R862"/>
    <mergeCell ref="V857:V862"/>
    <mergeCell ref="B842:C842"/>
    <mergeCell ref="B843:C843"/>
    <mergeCell ref="B844:C844"/>
    <mergeCell ref="B845:C845"/>
    <mergeCell ref="B846:C846"/>
    <mergeCell ref="K857:K862"/>
    <mergeCell ref="L857:L862"/>
    <mergeCell ref="M857:M862"/>
    <mergeCell ref="N857:N862"/>
    <mergeCell ref="B849:I849"/>
    <mergeCell ref="B850:C850"/>
    <mergeCell ref="B854:C854"/>
    <mergeCell ref="K841:K846"/>
    <mergeCell ref="V809:V814"/>
    <mergeCell ref="B810:C810"/>
    <mergeCell ref="M833:M838"/>
    <mergeCell ref="N833:N838"/>
    <mergeCell ref="U841:U846"/>
    <mergeCell ref="O841:O846"/>
    <mergeCell ref="P841:P846"/>
    <mergeCell ref="Q841:Q846"/>
    <mergeCell ref="R841:R846"/>
    <mergeCell ref="L913:L918"/>
    <mergeCell ref="M913:M918"/>
    <mergeCell ref="N913:N918"/>
    <mergeCell ref="B857:I857"/>
    <mergeCell ref="B858:C858"/>
    <mergeCell ref="B859:C859"/>
    <mergeCell ref="B860:C860"/>
    <mergeCell ref="B861:C861"/>
    <mergeCell ref="B862:C862"/>
    <mergeCell ref="B806:C806"/>
    <mergeCell ref="B801:I801"/>
    <mergeCell ref="B802:C802"/>
    <mergeCell ref="B803:C803"/>
    <mergeCell ref="B804:C804"/>
    <mergeCell ref="B807:V807"/>
    <mergeCell ref="M801:M806"/>
    <mergeCell ref="N801:N806"/>
    <mergeCell ref="O801:O806"/>
    <mergeCell ref="S841:S846"/>
    <mergeCell ref="T841:T846"/>
    <mergeCell ref="M841:M846"/>
    <mergeCell ref="K833:K838"/>
    <mergeCell ref="B813:C813"/>
    <mergeCell ref="B840:V840"/>
    <mergeCell ref="S857:S862"/>
    <mergeCell ref="T857:T862"/>
    <mergeCell ref="U857:U862"/>
    <mergeCell ref="B872:V872"/>
    <mergeCell ref="V849:V854"/>
    <mergeCell ref="B875:C875"/>
    <mergeCell ref="B876:C876"/>
    <mergeCell ref="B877:C877"/>
    <mergeCell ref="B880:V880"/>
    <mergeCell ref="B833:I833"/>
    <mergeCell ref="B834:C834"/>
    <mergeCell ref="B835:C835"/>
    <mergeCell ref="B836:C836"/>
    <mergeCell ref="R833:R838"/>
    <mergeCell ref="S833:S838"/>
    <mergeCell ref="T833:T838"/>
    <mergeCell ref="U833:U838"/>
    <mergeCell ref="B865:I865"/>
    <mergeCell ref="B866:C866"/>
    <mergeCell ref="L849:L854"/>
    <mergeCell ref="M849:M854"/>
    <mergeCell ref="N849:N854"/>
    <mergeCell ref="O849:O854"/>
    <mergeCell ref="P849:P854"/>
    <mergeCell ref="Q849:Q854"/>
    <mergeCell ref="R849:R854"/>
    <mergeCell ref="S849:S854"/>
    <mergeCell ref="T849:T854"/>
    <mergeCell ref="U849:U854"/>
    <mergeCell ref="B878:C878"/>
    <mergeCell ref="U865:U870"/>
    <mergeCell ref="O873:O878"/>
    <mergeCell ref="R865:R870"/>
    <mergeCell ref="S865:S870"/>
    <mergeCell ref="L841:L846"/>
    <mergeCell ref="B855:V855"/>
    <mergeCell ref="B904:V904"/>
    <mergeCell ref="J905:J910"/>
    <mergeCell ref="K905:K910"/>
    <mergeCell ref="L905:L910"/>
    <mergeCell ref="L897:L902"/>
    <mergeCell ref="M897:M902"/>
    <mergeCell ref="N897:N902"/>
    <mergeCell ref="O897:O902"/>
    <mergeCell ref="A1167:C1167"/>
    <mergeCell ref="A989:A994"/>
    <mergeCell ref="B989:V989"/>
    <mergeCell ref="B990:C990"/>
    <mergeCell ref="B991:C991"/>
    <mergeCell ref="B992:C992"/>
    <mergeCell ref="V997:V1002"/>
    <mergeCell ref="B993:C993"/>
    <mergeCell ref="K983:K988"/>
    <mergeCell ref="L983:L988"/>
    <mergeCell ref="M983:M988"/>
    <mergeCell ref="N983:N988"/>
    <mergeCell ref="O983:O988"/>
    <mergeCell ref="P983:P988"/>
    <mergeCell ref="Q983:Q988"/>
    <mergeCell ref="R983:R988"/>
    <mergeCell ref="U983:U988"/>
    <mergeCell ref="B983:I983"/>
    <mergeCell ref="B984:C984"/>
    <mergeCell ref="B985:C985"/>
    <mergeCell ref="B986:C986"/>
    <mergeCell ref="B987:C987"/>
    <mergeCell ref="M997:M1002"/>
    <mergeCell ref="J990:V994"/>
    <mergeCell ref="B988:C988"/>
    <mergeCell ref="B997:I997"/>
    <mergeCell ref="A975:A980"/>
    <mergeCell ref="R1005:R1010"/>
    <mergeCell ref="A1171:C1171"/>
    <mergeCell ref="B1056:V1056"/>
    <mergeCell ref="J1057:J1062"/>
    <mergeCell ref="K1057:K1062"/>
    <mergeCell ref="L1057:L1062"/>
    <mergeCell ref="M1057:M1062"/>
    <mergeCell ref="N1057:N1062"/>
    <mergeCell ref="O1057:O1062"/>
    <mergeCell ref="P1057:P1062"/>
    <mergeCell ref="Q1057:Q1062"/>
    <mergeCell ref="A1049:A1054"/>
    <mergeCell ref="J1050:V1054"/>
    <mergeCell ref="A1168:C1168"/>
    <mergeCell ref="A1170:C1170"/>
    <mergeCell ref="B1049:V1049"/>
    <mergeCell ref="B1050:C1050"/>
    <mergeCell ref="L1027:L1032"/>
    <mergeCell ref="M1027:M1032"/>
    <mergeCell ref="N1027:N1032"/>
    <mergeCell ref="A1166:C1166"/>
    <mergeCell ref="J983:J988"/>
    <mergeCell ref="B994:C994"/>
    <mergeCell ref="B1083:C1083"/>
    <mergeCell ref="B1084:C1084"/>
    <mergeCell ref="B1055:V1055"/>
    <mergeCell ref="B1069:V1069"/>
    <mergeCell ref="J1064:V1068"/>
    <mergeCell ref="B1070:V1070"/>
    <mergeCell ref="J1071:J1076"/>
    <mergeCell ref="B1081:C1081"/>
    <mergeCell ref="B1082:C1082"/>
    <mergeCell ref="P1071:P1076"/>
    <mergeCell ref="A1019:A1024"/>
    <mergeCell ref="B1019:V1019"/>
    <mergeCell ref="B1020:C1020"/>
    <mergeCell ref="B1021:C1021"/>
    <mergeCell ref="B1022:C1022"/>
    <mergeCell ref="B1023:C1023"/>
    <mergeCell ref="B1024:C1024"/>
    <mergeCell ref="B1078:V1078"/>
    <mergeCell ref="J1079:J1084"/>
    <mergeCell ref="K1079:K1084"/>
    <mergeCell ref="L1079:L1084"/>
    <mergeCell ref="M1079:M1084"/>
    <mergeCell ref="N1079:N1084"/>
    <mergeCell ref="O1079:O1084"/>
    <mergeCell ref="P1079:P1084"/>
    <mergeCell ref="Q1079:Q1084"/>
    <mergeCell ref="R1079:R1084"/>
    <mergeCell ref="S1079:S1084"/>
    <mergeCell ref="T1079:T1084"/>
    <mergeCell ref="U1079:U1084"/>
    <mergeCell ref="V1079:V1084"/>
    <mergeCell ref="R1057:R1062"/>
    <mergeCell ref="J729:J734"/>
    <mergeCell ref="S697:S702"/>
    <mergeCell ref="T697:T702"/>
    <mergeCell ref="P1013:P1018"/>
    <mergeCell ref="Q1013:Q1018"/>
    <mergeCell ref="U801:U806"/>
    <mergeCell ref="T785:T790"/>
    <mergeCell ref="U785:U790"/>
    <mergeCell ref="V801:V806"/>
    <mergeCell ref="J761:J766"/>
    <mergeCell ref="K761:K766"/>
    <mergeCell ref="U793:U798"/>
    <mergeCell ref="V793:V798"/>
    <mergeCell ref="T1013:T1018"/>
    <mergeCell ref="U1013:U1018"/>
    <mergeCell ref="B1012:V1012"/>
    <mergeCell ref="J1013:J1018"/>
    <mergeCell ref="K1013:K1018"/>
    <mergeCell ref="L1013:L1018"/>
    <mergeCell ref="M1013:M1018"/>
    <mergeCell ref="B837:C837"/>
    <mergeCell ref="B791:V791"/>
    <mergeCell ref="T1005:T1010"/>
    <mergeCell ref="U1005:U1010"/>
    <mergeCell ref="V785:V790"/>
    <mergeCell ref="V1005:V1010"/>
    <mergeCell ref="U997:U1002"/>
    <mergeCell ref="B1004:V1004"/>
    <mergeCell ref="K1005:K1010"/>
    <mergeCell ref="Q1005:Q1010"/>
    <mergeCell ref="T997:T1002"/>
    <mergeCell ref="M777:M782"/>
    <mergeCell ref="R1071:R1076"/>
    <mergeCell ref="S1071:S1076"/>
    <mergeCell ref="B1079:I1079"/>
    <mergeCell ref="B1080:C1080"/>
    <mergeCell ref="B1077:V1077"/>
    <mergeCell ref="T1071:T1076"/>
    <mergeCell ref="J136:J141"/>
    <mergeCell ref="M247:M252"/>
    <mergeCell ref="N247:N252"/>
    <mergeCell ref="B231:V231"/>
    <mergeCell ref="B232:C232"/>
    <mergeCell ref="B233:C233"/>
    <mergeCell ref="B234:C234"/>
    <mergeCell ref="B235:C235"/>
    <mergeCell ref="B236:C236"/>
    <mergeCell ref="K128:K133"/>
    <mergeCell ref="L128:L133"/>
    <mergeCell ref="K136:K141"/>
    <mergeCell ref="B693:C693"/>
    <mergeCell ref="B734:C734"/>
    <mergeCell ref="B741:C741"/>
    <mergeCell ref="B742:C742"/>
    <mergeCell ref="B721:I721"/>
    <mergeCell ref="B722:C722"/>
    <mergeCell ref="B723:C723"/>
    <mergeCell ref="B724:C724"/>
    <mergeCell ref="B725:C725"/>
    <mergeCell ref="B726:C726"/>
    <mergeCell ref="B300:V300"/>
    <mergeCell ref="J301:J306"/>
    <mergeCell ref="K301:K306"/>
    <mergeCell ref="L301:L306"/>
    <mergeCell ref="Q705:Q710"/>
    <mergeCell ref="R705:R710"/>
    <mergeCell ref="B744:V744"/>
    <mergeCell ref="O713:O718"/>
    <mergeCell ref="P713:P718"/>
    <mergeCell ref="M713:M718"/>
    <mergeCell ref="N713:N718"/>
    <mergeCell ref="Q729:Q734"/>
    <mergeCell ref="R729:R734"/>
    <mergeCell ref="M745:M750"/>
    <mergeCell ref="N745:N750"/>
    <mergeCell ref="B655:C655"/>
    <mergeCell ref="B656:C656"/>
    <mergeCell ref="B711:V711"/>
    <mergeCell ref="B719:V719"/>
    <mergeCell ref="B707:C707"/>
    <mergeCell ref="B708:C708"/>
    <mergeCell ref="B709:C709"/>
    <mergeCell ref="B710:C710"/>
    <mergeCell ref="U729:U734"/>
    <mergeCell ref="O729:O734"/>
    <mergeCell ref="B736:V736"/>
    <mergeCell ref="B705:I705"/>
    <mergeCell ref="B706:C706"/>
    <mergeCell ref="B679:V679"/>
    <mergeCell ref="B713:I713"/>
    <mergeCell ref="V737:V742"/>
    <mergeCell ref="J737:J742"/>
    <mergeCell ref="B735:V735"/>
    <mergeCell ref="B743:V743"/>
    <mergeCell ref="S729:S734"/>
    <mergeCell ref="V729:V734"/>
    <mergeCell ref="B1071:I1071"/>
    <mergeCell ref="S785:S790"/>
    <mergeCell ref="B760:V760"/>
    <mergeCell ref="V761:V766"/>
    <mergeCell ref="K777:K782"/>
    <mergeCell ref="L777:L782"/>
    <mergeCell ref="P777:P782"/>
    <mergeCell ref="O997:O1002"/>
    <mergeCell ref="P997:P1002"/>
    <mergeCell ref="Q997:Q1002"/>
    <mergeCell ref="B976:C976"/>
    <mergeCell ref="B977:C977"/>
    <mergeCell ref="B978:C978"/>
    <mergeCell ref="B979:C979"/>
    <mergeCell ref="B980:C980"/>
    <mergeCell ref="S921:S926"/>
    <mergeCell ref="T921:T926"/>
    <mergeCell ref="B998:C998"/>
    <mergeCell ref="B912:V912"/>
    <mergeCell ref="J913:J918"/>
    <mergeCell ref="B982:V982"/>
    <mergeCell ref="S1057:S1062"/>
    <mergeCell ref="T1057:T1062"/>
    <mergeCell ref="U1057:U1062"/>
    <mergeCell ref="V1057:V1062"/>
    <mergeCell ref="U1071:U1076"/>
    <mergeCell ref="V1071:V1076"/>
    <mergeCell ref="B1076:C1076"/>
    <mergeCell ref="B1072:C1072"/>
    <mergeCell ref="B1073:C1073"/>
    <mergeCell ref="B1074:C1074"/>
    <mergeCell ref="B1075:C1075"/>
    <mergeCell ref="B765:C765"/>
    <mergeCell ref="N737:N742"/>
    <mergeCell ref="B764:C764"/>
    <mergeCell ref="J769:J774"/>
    <mergeCell ref="V1013:V1018"/>
    <mergeCell ref="B1026:V1026"/>
    <mergeCell ref="K753:K758"/>
    <mergeCell ref="B784:V784"/>
    <mergeCell ref="N1005:N1010"/>
    <mergeCell ref="B766:C766"/>
    <mergeCell ref="L1005:L1010"/>
    <mergeCell ref="M1005:M1010"/>
    <mergeCell ref="S1005:S1010"/>
    <mergeCell ref="B751:V751"/>
    <mergeCell ref="B759:V759"/>
    <mergeCell ref="B815:V815"/>
    <mergeCell ref="L753:L758"/>
    <mergeCell ref="S753:S758"/>
    <mergeCell ref="U769:U774"/>
    <mergeCell ref="M769:M774"/>
    <mergeCell ref="J1005:J1010"/>
    <mergeCell ref="O769:O774"/>
    <mergeCell ref="P1005:P1010"/>
    <mergeCell ref="K737:K742"/>
    <mergeCell ref="L737:L742"/>
    <mergeCell ref="M737:M742"/>
    <mergeCell ref="N997:N1002"/>
    <mergeCell ref="O1005:O1010"/>
    <mergeCell ref="O785:O790"/>
    <mergeCell ref="J785:J790"/>
    <mergeCell ref="B787:C787"/>
    <mergeCell ref="R997:R1002"/>
    <mergeCell ref="L434:L439"/>
    <mergeCell ref="M434:M439"/>
    <mergeCell ref="M578:M583"/>
    <mergeCell ref="N578:N583"/>
    <mergeCell ref="O578:O583"/>
    <mergeCell ref="P578:P583"/>
    <mergeCell ref="Q586:Q591"/>
    <mergeCell ref="R586:R591"/>
    <mergeCell ref="S586:S591"/>
    <mergeCell ref="B681:I681"/>
    <mergeCell ref="B682:C682"/>
    <mergeCell ref="K729:K734"/>
    <mergeCell ref="U737:U742"/>
    <mergeCell ref="N705:N710"/>
    <mergeCell ref="J674:V678"/>
    <mergeCell ref="B451:C451"/>
    <mergeCell ref="P729:P734"/>
    <mergeCell ref="B728:V728"/>
    <mergeCell ref="B729:I729"/>
    <mergeCell ref="B727:V727"/>
    <mergeCell ref="T729:T734"/>
    <mergeCell ref="B434:I434"/>
    <mergeCell ref="O490:O495"/>
    <mergeCell ref="P490:P495"/>
    <mergeCell ref="L498:L503"/>
    <mergeCell ref="M498:M503"/>
    <mergeCell ref="M515:M520"/>
    <mergeCell ref="N515:N520"/>
    <mergeCell ref="O515:O520"/>
    <mergeCell ref="R721:R726"/>
    <mergeCell ref="O705:O710"/>
    <mergeCell ref="P705:P710"/>
    <mergeCell ref="A1063:A1068"/>
    <mergeCell ref="B1063:V1063"/>
    <mergeCell ref="B1064:C1064"/>
    <mergeCell ref="B1065:C1065"/>
    <mergeCell ref="B1066:C1066"/>
    <mergeCell ref="B1067:C1067"/>
    <mergeCell ref="B1068:C1068"/>
    <mergeCell ref="V983:V988"/>
    <mergeCell ref="B1042:V1042"/>
    <mergeCell ref="U1043:U1048"/>
    <mergeCell ref="V1043:V1048"/>
    <mergeCell ref="T1035:T1040"/>
    <mergeCell ref="U1035:U1040"/>
    <mergeCell ref="V1035:V1040"/>
    <mergeCell ref="Q1043:Q1048"/>
    <mergeCell ref="R1043:R1048"/>
    <mergeCell ref="S1043:S1048"/>
    <mergeCell ref="T1043:T1048"/>
    <mergeCell ref="O1027:O1032"/>
    <mergeCell ref="P1027:P1032"/>
    <mergeCell ref="Q1027:Q1032"/>
    <mergeCell ref="R1027:R1032"/>
    <mergeCell ref="S1027:S1032"/>
    <mergeCell ref="T1027:T1032"/>
    <mergeCell ref="B1013:I1013"/>
    <mergeCell ref="B1043:I1043"/>
    <mergeCell ref="B1044:C1044"/>
    <mergeCell ref="B1045:C1045"/>
    <mergeCell ref="B1046:C1046"/>
    <mergeCell ref="B1047:C1047"/>
    <mergeCell ref="B1048:C1048"/>
    <mergeCell ref="J1035:J1040"/>
    <mergeCell ref="B305:C305"/>
    <mergeCell ref="B306:C306"/>
    <mergeCell ref="B339:I339"/>
    <mergeCell ref="B407:C407"/>
    <mergeCell ref="B410:I410"/>
    <mergeCell ref="B408:V408"/>
    <mergeCell ref="B409:V409"/>
    <mergeCell ref="B394:C394"/>
    <mergeCell ref="V128:V133"/>
    <mergeCell ref="R418:R423"/>
    <mergeCell ref="S418:S423"/>
    <mergeCell ref="O434:O439"/>
    <mergeCell ref="P434:P439"/>
    <mergeCell ref="Q434:Q439"/>
    <mergeCell ref="R434:R439"/>
    <mergeCell ref="S434:S439"/>
    <mergeCell ref="T434:T439"/>
    <mergeCell ref="N434:N439"/>
    <mergeCell ref="U434:U439"/>
    <mergeCell ref="V434:V439"/>
    <mergeCell ref="T418:T423"/>
    <mergeCell ref="Q426:Q431"/>
    <mergeCell ref="R426:R431"/>
    <mergeCell ref="S426:S431"/>
    <mergeCell ref="T426:T431"/>
    <mergeCell ref="B174:V174"/>
    <mergeCell ref="B175:V175"/>
    <mergeCell ref="B176:I176"/>
    <mergeCell ref="J176:J181"/>
    <mergeCell ref="B433:V433"/>
    <mergeCell ref="J434:J439"/>
    <mergeCell ref="K434:K439"/>
    <mergeCell ref="M293:M298"/>
    <mergeCell ref="L293:L298"/>
    <mergeCell ref="U120:U125"/>
    <mergeCell ref="T120:T125"/>
    <mergeCell ref="P293:P298"/>
    <mergeCell ref="B129:C129"/>
    <mergeCell ref="B130:C130"/>
    <mergeCell ref="B131:C131"/>
    <mergeCell ref="B132:C132"/>
    <mergeCell ref="U255:U260"/>
    <mergeCell ref="V255:V260"/>
    <mergeCell ref="S255:S260"/>
    <mergeCell ref="O255:O260"/>
    <mergeCell ref="B120:I120"/>
    <mergeCell ref="M176:M181"/>
    <mergeCell ref="N168:N173"/>
    <mergeCell ref="O168:O173"/>
    <mergeCell ref="B166:V166"/>
    <mergeCell ref="B243:C243"/>
    <mergeCell ref="B244:C244"/>
    <mergeCell ref="B247:I247"/>
    <mergeCell ref="B169:C169"/>
    <mergeCell ref="B170:C170"/>
    <mergeCell ref="U136:U141"/>
    <mergeCell ref="O136:O141"/>
    <mergeCell ref="L176:L181"/>
    <mergeCell ref="B260:C260"/>
    <mergeCell ref="T255:T260"/>
    <mergeCell ref="L208:L214"/>
    <mergeCell ref="B167:V167"/>
    <mergeCell ref="B168:I168"/>
    <mergeCell ref="J168:J173"/>
    <mergeCell ref="A5:V5"/>
    <mergeCell ref="B7:C7"/>
    <mergeCell ref="B8:C8"/>
    <mergeCell ref="A6:V6"/>
    <mergeCell ref="T80:T85"/>
    <mergeCell ref="U80:U85"/>
    <mergeCell ref="V80:V85"/>
    <mergeCell ref="B79:V79"/>
    <mergeCell ref="T49:T54"/>
    <mergeCell ref="B15:V15"/>
    <mergeCell ref="B23:V23"/>
    <mergeCell ref="B31:V31"/>
    <mergeCell ref="B39:V39"/>
    <mergeCell ref="B47:V47"/>
    <mergeCell ref="T4:V4"/>
    <mergeCell ref="B25:I25"/>
    <mergeCell ref="B26:C26"/>
    <mergeCell ref="B27:C27"/>
    <mergeCell ref="B28:C28"/>
    <mergeCell ref="Q4:S4"/>
    <mergeCell ref="O25:O30"/>
    <mergeCell ref="P25:P30"/>
    <mergeCell ref="L33:L38"/>
    <mergeCell ref="M33:M38"/>
    <mergeCell ref="N33:N38"/>
    <mergeCell ref="O33:O38"/>
    <mergeCell ref="P33:P38"/>
    <mergeCell ref="B75:C75"/>
    <mergeCell ref="N49:N54"/>
    <mergeCell ref="R80:R85"/>
    <mergeCell ref="P49:P54"/>
    <mergeCell ref="Q49:Q54"/>
    <mergeCell ref="B81:C81"/>
    <mergeCell ref="B82:C82"/>
    <mergeCell ref="B83:C83"/>
    <mergeCell ref="B84:C84"/>
    <mergeCell ref="B85:C85"/>
    <mergeCell ref="B88:I88"/>
    <mergeCell ref="B89:C89"/>
    <mergeCell ref="B90:C90"/>
    <mergeCell ref="B91:C91"/>
    <mergeCell ref="B22:C22"/>
    <mergeCell ref="B21:C21"/>
    <mergeCell ref="B20:C20"/>
    <mergeCell ref="B19:C19"/>
    <mergeCell ref="B18:C18"/>
    <mergeCell ref="J10:V14"/>
    <mergeCell ref="B17:I17"/>
    <mergeCell ref="J72:V77"/>
    <mergeCell ref="Q33:Q38"/>
    <mergeCell ref="R33:R38"/>
    <mergeCell ref="B36:C36"/>
    <mergeCell ref="B37:C37"/>
    <mergeCell ref="J17:J22"/>
    <mergeCell ref="B50:C50"/>
    <mergeCell ref="B51:C51"/>
    <mergeCell ref="B52:C52"/>
    <mergeCell ref="B57:I57"/>
    <mergeCell ref="S57:S62"/>
    <mergeCell ref="B48:V48"/>
    <mergeCell ref="B55:V55"/>
    <mergeCell ref="B56:V56"/>
    <mergeCell ref="B32:V32"/>
    <mergeCell ref="J33:J38"/>
    <mergeCell ref="B116:C116"/>
    <mergeCell ref="S104:S109"/>
    <mergeCell ref="V96:V101"/>
    <mergeCell ref="B103:V103"/>
    <mergeCell ref="J104:J109"/>
    <mergeCell ref="B105:C105"/>
    <mergeCell ref="B106:C106"/>
    <mergeCell ref="B107:C107"/>
    <mergeCell ref="B112:I112"/>
    <mergeCell ref="R49:R54"/>
    <mergeCell ref="M80:M85"/>
    <mergeCell ref="B100:C100"/>
    <mergeCell ref="B73:C73"/>
    <mergeCell ref="B74:C74"/>
    <mergeCell ref="B76:C76"/>
    <mergeCell ref="Q88:Q93"/>
    <mergeCell ref="B104:I104"/>
    <mergeCell ref="J96:J101"/>
    <mergeCell ref="K96:K101"/>
    <mergeCell ref="L96:L101"/>
    <mergeCell ref="M96:M101"/>
    <mergeCell ref="R88:R93"/>
    <mergeCell ref="N80:N85"/>
    <mergeCell ref="O80:O85"/>
    <mergeCell ref="P80:P85"/>
    <mergeCell ref="Q80:Q85"/>
    <mergeCell ref="B77:C77"/>
    <mergeCell ref="B92:C92"/>
    <mergeCell ref="B93:C93"/>
    <mergeCell ref="B96:I96"/>
    <mergeCell ref="B78:V78"/>
    <mergeCell ref="B86:V86"/>
    <mergeCell ref="B121:C121"/>
    <mergeCell ref="B122:C122"/>
    <mergeCell ref="B123:C123"/>
    <mergeCell ref="B124:C124"/>
    <mergeCell ref="B125:C125"/>
    <mergeCell ref="U88:U93"/>
    <mergeCell ref="V88:V93"/>
    <mergeCell ref="S112:S117"/>
    <mergeCell ref="T112:T117"/>
    <mergeCell ref="U112:U117"/>
    <mergeCell ref="K88:K93"/>
    <mergeCell ref="B101:C101"/>
    <mergeCell ref="B144:I144"/>
    <mergeCell ref="B153:C153"/>
    <mergeCell ref="V112:V117"/>
    <mergeCell ref="L112:L117"/>
    <mergeCell ref="M112:M117"/>
    <mergeCell ref="N112:N117"/>
    <mergeCell ref="O112:O117"/>
    <mergeCell ref="P112:P117"/>
    <mergeCell ref="Q112:Q117"/>
    <mergeCell ref="P96:P101"/>
    <mergeCell ref="Q96:Q101"/>
    <mergeCell ref="T104:T109"/>
    <mergeCell ref="U104:U109"/>
    <mergeCell ref="V104:V109"/>
    <mergeCell ref="B111:V111"/>
    <mergeCell ref="J112:J117"/>
    <mergeCell ref="K112:K117"/>
    <mergeCell ref="B94:V94"/>
    <mergeCell ref="B102:V102"/>
    <mergeCell ref="B110:V110"/>
    <mergeCell ref="B258:C258"/>
    <mergeCell ref="B259:C259"/>
    <mergeCell ref="K176:K181"/>
    <mergeCell ref="B179:C179"/>
    <mergeCell ref="B186:C186"/>
    <mergeCell ref="B187:C187"/>
    <mergeCell ref="B188:C188"/>
    <mergeCell ref="B189:C189"/>
    <mergeCell ref="B190:V190"/>
    <mergeCell ref="B191:V191"/>
    <mergeCell ref="B192:I192"/>
    <mergeCell ref="J192:J197"/>
    <mergeCell ref="K192:K197"/>
    <mergeCell ref="L192:L197"/>
    <mergeCell ref="M192:M197"/>
    <mergeCell ref="N192:N197"/>
    <mergeCell ref="N176:N181"/>
    <mergeCell ref="O176:O181"/>
    <mergeCell ref="P176:P181"/>
    <mergeCell ref="B178:C178"/>
    <mergeCell ref="U176:U181"/>
    <mergeCell ref="V176:V181"/>
    <mergeCell ref="B177:C177"/>
    <mergeCell ref="R184:R189"/>
    <mergeCell ref="S184:S189"/>
    <mergeCell ref="T184:T189"/>
    <mergeCell ref="U184:U189"/>
    <mergeCell ref="V184:V189"/>
    <mergeCell ref="B185:C185"/>
    <mergeCell ref="B212:C212"/>
    <mergeCell ref="J184:J189"/>
    <mergeCell ref="K184:K189"/>
    <mergeCell ref="U301:U306"/>
    <mergeCell ref="V301:V306"/>
    <mergeCell ref="L239:L244"/>
    <mergeCell ref="M239:M244"/>
    <mergeCell ref="U239:U244"/>
    <mergeCell ref="V239:V244"/>
    <mergeCell ref="R176:R181"/>
    <mergeCell ref="S176:S181"/>
    <mergeCell ref="T176:T181"/>
    <mergeCell ref="B288:C288"/>
    <mergeCell ref="B281:C281"/>
    <mergeCell ref="B282:C282"/>
    <mergeCell ref="S270:S275"/>
    <mergeCell ref="B148:C148"/>
    <mergeCell ref="B149:C149"/>
    <mergeCell ref="B180:C180"/>
    <mergeCell ref="B181:C181"/>
    <mergeCell ref="B182:V182"/>
    <mergeCell ref="B183:V183"/>
    <mergeCell ref="B184:I184"/>
    <mergeCell ref="P208:P214"/>
    <mergeCell ref="Q208:Q214"/>
    <mergeCell ref="R208:R214"/>
    <mergeCell ref="S208:S214"/>
    <mergeCell ref="T208:T214"/>
    <mergeCell ref="U208:U214"/>
    <mergeCell ref="V208:V214"/>
    <mergeCell ref="B209:C209"/>
    <mergeCell ref="B210:C210"/>
    <mergeCell ref="B211:C211"/>
    <mergeCell ref="B256:C256"/>
    <mergeCell ref="B257:C257"/>
    <mergeCell ref="B338:V338"/>
    <mergeCell ref="B351:C351"/>
    <mergeCell ref="B246:V246"/>
    <mergeCell ref="J247:J252"/>
    <mergeCell ref="K247:K252"/>
    <mergeCell ref="L247:L252"/>
    <mergeCell ref="S247:S252"/>
    <mergeCell ref="B254:V254"/>
    <mergeCell ref="J255:J260"/>
    <mergeCell ref="B346:V346"/>
    <mergeCell ref="J347:J352"/>
    <mergeCell ref="K347:K352"/>
    <mergeCell ref="L347:L352"/>
    <mergeCell ref="M347:M352"/>
    <mergeCell ref="N347:N352"/>
    <mergeCell ref="O347:O352"/>
    <mergeCell ref="P347:P352"/>
    <mergeCell ref="Q347:Q352"/>
    <mergeCell ref="R347:R352"/>
    <mergeCell ref="S347:S352"/>
    <mergeCell ref="U339:U344"/>
    <mergeCell ref="V339:V344"/>
    <mergeCell ref="B289:C289"/>
    <mergeCell ref="B290:C290"/>
    <mergeCell ref="B293:I293"/>
    <mergeCell ref="B294:C294"/>
    <mergeCell ref="B295:C295"/>
    <mergeCell ref="B296:C296"/>
    <mergeCell ref="B292:V292"/>
    <mergeCell ref="J293:J298"/>
    <mergeCell ref="L285:L290"/>
    <mergeCell ref="M285:M290"/>
    <mergeCell ref="B500:C500"/>
    <mergeCell ref="B501:C501"/>
    <mergeCell ref="J332:V336"/>
    <mergeCell ref="B340:C340"/>
    <mergeCell ref="B341:C341"/>
    <mergeCell ref="B386:V386"/>
    <mergeCell ref="B387:I387"/>
    <mergeCell ref="J387:J392"/>
    <mergeCell ref="K387:K392"/>
    <mergeCell ref="L387:L392"/>
    <mergeCell ref="M387:M392"/>
    <mergeCell ref="N387:N392"/>
    <mergeCell ref="O387:O392"/>
    <mergeCell ref="P387:P392"/>
    <mergeCell ref="Q387:Q392"/>
    <mergeCell ref="R387:R392"/>
    <mergeCell ref="S387:S392"/>
    <mergeCell ref="T387:T392"/>
    <mergeCell ref="U379:U384"/>
    <mergeCell ref="V379:V384"/>
    <mergeCell ref="B380:C380"/>
    <mergeCell ref="B381:C381"/>
    <mergeCell ref="B382:C382"/>
    <mergeCell ref="B383:C383"/>
    <mergeCell ref="B384:C384"/>
    <mergeCell ref="S379:S384"/>
    <mergeCell ref="T379:T384"/>
    <mergeCell ref="B385:V385"/>
    <mergeCell ref="B347:I347"/>
    <mergeCell ref="B376:C376"/>
    <mergeCell ref="B335:C335"/>
    <mergeCell ref="B336:C336"/>
    <mergeCell ref="B432:V432"/>
    <mergeCell ref="B440:V440"/>
    <mergeCell ref="B398:C398"/>
    <mergeCell ref="K379:K384"/>
    <mergeCell ref="L379:L384"/>
    <mergeCell ref="M379:M384"/>
    <mergeCell ref="N379:N384"/>
    <mergeCell ref="O379:O384"/>
    <mergeCell ref="P379:P384"/>
    <mergeCell ref="Q379:Q384"/>
    <mergeCell ref="B443:C443"/>
    <mergeCell ref="B379:I379"/>
    <mergeCell ref="J379:J384"/>
    <mergeCell ref="R379:R384"/>
    <mergeCell ref="U387:U392"/>
    <mergeCell ref="V387:V392"/>
    <mergeCell ref="B388:C388"/>
    <mergeCell ref="B389:C389"/>
    <mergeCell ref="B390:C390"/>
    <mergeCell ref="B391:C391"/>
    <mergeCell ref="B392:C392"/>
    <mergeCell ref="Q402:Q407"/>
    <mergeCell ref="T442:T447"/>
    <mergeCell ref="U442:U447"/>
    <mergeCell ref="V442:V447"/>
    <mergeCell ref="P418:P423"/>
    <mergeCell ref="Q418:Q423"/>
    <mergeCell ref="B415:C415"/>
    <mergeCell ref="B423:C423"/>
    <mergeCell ref="B416:V416"/>
    <mergeCell ref="J410:J415"/>
    <mergeCell ref="B418:I418"/>
    <mergeCell ref="M466:M471"/>
    <mergeCell ref="N466:N471"/>
    <mergeCell ref="O466:O471"/>
    <mergeCell ref="P466:P471"/>
    <mergeCell ref="K466:K471"/>
    <mergeCell ref="L466:L471"/>
    <mergeCell ref="K498:K503"/>
    <mergeCell ref="B464:V464"/>
    <mergeCell ref="B465:V465"/>
    <mergeCell ref="S498:S503"/>
    <mergeCell ref="B496:V496"/>
    <mergeCell ref="B497:V497"/>
    <mergeCell ref="S466:S471"/>
    <mergeCell ref="T466:T471"/>
    <mergeCell ref="U466:U471"/>
    <mergeCell ref="V466:V471"/>
    <mergeCell ref="B467:C467"/>
    <mergeCell ref="B468:C468"/>
    <mergeCell ref="B469:C469"/>
    <mergeCell ref="B470:C470"/>
    <mergeCell ref="B490:I490"/>
    <mergeCell ref="B491:C491"/>
    <mergeCell ref="B492:C492"/>
    <mergeCell ref="B493:C493"/>
    <mergeCell ref="B494:C494"/>
    <mergeCell ref="B495:C495"/>
    <mergeCell ref="Q498:Q503"/>
    <mergeCell ref="R498:R503"/>
    <mergeCell ref="J498:J503"/>
    <mergeCell ref="T498:T503"/>
    <mergeCell ref="U498:U503"/>
    <mergeCell ref="V498:V503"/>
    <mergeCell ref="B528:V528"/>
    <mergeCell ref="J522:V527"/>
    <mergeCell ref="B498:I498"/>
    <mergeCell ref="R490:R495"/>
    <mergeCell ref="S490:S495"/>
    <mergeCell ref="T490:T495"/>
    <mergeCell ref="U490:U495"/>
    <mergeCell ref="V490:V495"/>
    <mergeCell ref="K515:K520"/>
    <mergeCell ref="L515:L520"/>
    <mergeCell ref="N498:N503"/>
    <mergeCell ref="O498:O503"/>
    <mergeCell ref="P498:P503"/>
    <mergeCell ref="B514:V514"/>
    <mergeCell ref="J515:J520"/>
    <mergeCell ref="Q515:Q520"/>
    <mergeCell ref="R515:R520"/>
    <mergeCell ref="S515:S520"/>
    <mergeCell ref="T515:T520"/>
    <mergeCell ref="M490:M495"/>
    <mergeCell ref="N490:N495"/>
    <mergeCell ref="P515:P520"/>
    <mergeCell ref="B521:V521"/>
    <mergeCell ref="B522:C522"/>
    <mergeCell ref="B523:C523"/>
    <mergeCell ref="B524:C524"/>
    <mergeCell ref="S506:S512"/>
    <mergeCell ref="T506:T512"/>
    <mergeCell ref="U506:U512"/>
    <mergeCell ref="V506:V512"/>
    <mergeCell ref="B511:C511"/>
    <mergeCell ref="B499:C499"/>
    <mergeCell ref="S554:S559"/>
    <mergeCell ref="T554:T559"/>
    <mergeCell ref="J554:J559"/>
    <mergeCell ref="K554:K559"/>
    <mergeCell ref="L554:L559"/>
    <mergeCell ref="M554:M559"/>
    <mergeCell ref="N554:N559"/>
    <mergeCell ref="T586:T591"/>
    <mergeCell ref="V586:V591"/>
    <mergeCell ref="B560:V560"/>
    <mergeCell ref="B568:V568"/>
    <mergeCell ref="B551:C551"/>
    <mergeCell ref="B554:I554"/>
    <mergeCell ref="B555:C555"/>
    <mergeCell ref="B556:C556"/>
    <mergeCell ref="B557:C557"/>
    <mergeCell ref="B558:C558"/>
    <mergeCell ref="B559:C559"/>
    <mergeCell ref="B562:I562"/>
    <mergeCell ref="B563:C563"/>
    <mergeCell ref="B564:C564"/>
    <mergeCell ref="B584:V584"/>
    <mergeCell ref="B552:V552"/>
    <mergeCell ref="B567:C567"/>
    <mergeCell ref="U586:U591"/>
    <mergeCell ref="L570:L575"/>
    <mergeCell ref="M570:M575"/>
    <mergeCell ref="N570:N575"/>
    <mergeCell ref="B577:V577"/>
    <mergeCell ref="J578:J583"/>
    <mergeCell ref="U570:U575"/>
    <mergeCell ref="V570:V575"/>
    <mergeCell ref="B771:C771"/>
    <mergeCell ref="B772:C772"/>
    <mergeCell ref="B788:C788"/>
    <mergeCell ref="B789:C789"/>
    <mergeCell ref="B790:C790"/>
    <mergeCell ref="Q777:Q782"/>
    <mergeCell ref="V769:V774"/>
    <mergeCell ref="L761:L766"/>
    <mergeCell ref="V777:V782"/>
    <mergeCell ref="Q769:Q774"/>
    <mergeCell ref="K785:K790"/>
    <mergeCell ref="L785:L790"/>
    <mergeCell ref="T769:T774"/>
    <mergeCell ref="J921:J926"/>
    <mergeCell ref="K921:K926"/>
    <mergeCell ref="L921:L926"/>
    <mergeCell ref="O913:O918"/>
    <mergeCell ref="P913:P918"/>
    <mergeCell ref="Q913:Q918"/>
    <mergeCell ref="R913:R918"/>
    <mergeCell ref="T913:T918"/>
    <mergeCell ref="S913:S918"/>
    <mergeCell ref="B792:V792"/>
    <mergeCell ref="J793:J798"/>
    <mergeCell ref="K793:K798"/>
    <mergeCell ref="L793:L798"/>
    <mergeCell ref="M793:M798"/>
    <mergeCell ref="N793:N798"/>
    <mergeCell ref="Q801:Q806"/>
    <mergeCell ref="R801:R806"/>
    <mergeCell ref="S801:S806"/>
    <mergeCell ref="T801:T806"/>
    <mergeCell ref="B805:C805"/>
    <mergeCell ref="P801:P806"/>
    <mergeCell ref="B800:V800"/>
    <mergeCell ref="J801:J806"/>
    <mergeCell ref="K801:K806"/>
    <mergeCell ref="B799:V799"/>
    <mergeCell ref="B793:I793"/>
    <mergeCell ref="B794:C794"/>
    <mergeCell ref="B795:C795"/>
    <mergeCell ref="B796:C796"/>
    <mergeCell ref="R921:R926"/>
    <mergeCell ref="L801:L806"/>
    <mergeCell ref="K913:K918"/>
    <mergeCell ref="U1027:U1032"/>
    <mergeCell ref="V1027:V1032"/>
    <mergeCell ref="R1013:R1018"/>
    <mergeCell ref="S1013:S1018"/>
    <mergeCell ref="J1027:J1032"/>
    <mergeCell ref="K1027:K1032"/>
    <mergeCell ref="J1020:V1024"/>
    <mergeCell ref="P905:P910"/>
    <mergeCell ref="Q905:Q910"/>
    <mergeCell ref="R905:R910"/>
    <mergeCell ref="S905:S910"/>
    <mergeCell ref="T905:T910"/>
    <mergeCell ref="B887:V887"/>
    <mergeCell ref="U905:U910"/>
    <mergeCell ref="V905:V910"/>
    <mergeCell ref="U881:U886"/>
    <mergeCell ref="B888:V888"/>
    <mergeCell ref="B899:C899"/>
    <mergeCell ref="B900:C900"/>
    <mergeCell ref="B999:C999"/>
    <mergeCell ref="B913:I913"/>
    <mergeCell ref="B914:C914"/>
    <mergeCell ref="B915:C915"/>
    <mergeCell ref="B916:C916"/>
    <mergeCell ref="B917:C917"/>
    <mergeCell ref="B918:C918"/>
    <mergeCell ref="B921:I921"/>
    <mergeCell ref="B919:V919"/>
    <mergeCell ref="U921:U926"/>
    <mergeCell ref="V921:V926"/>
    <mergeCell ref="M921:M926"/>
    <mergeCell ref="N921:N926"/>
    <mergeCell ref="O921:O926"/>
    <mergeCell ref="P921:P926"/>
    <mergeCell ref="Q921:Q926"/>
    <mergeCell ref="B925:C925"/>
    <mergeCell ref="B926:C926"/>
    <mergeCell ref="B922:C922"/>
    <mergeCell ref="B923:C923"/>
    <mergeCell ref="B924:C924"/>
    <mergeCell ref="U913:U918"/>
    <mergeCell ref="V913:V918"/>
    <mergeCell ref="B920:V920"/>
    <mergeCell ref="J976:V980"/>
    <mergeCell ref="S983:S988"/>
    <mergeCell ref="T983:T988"/>
    <mergeCell ref="S997:S1002"/>
    <mergeCell ref="B996:V996"/>
    <mergeCell ref="J997:J1002"/>
    <mergeCell ref="K997:K1002"/>
    <mergeCell ref="L997:L1002"/>
    <mergeCell ref="B1061:C1061"/>
    <mergeCell ref="B1062:C1062"/>
    <mergeCell ref="B1025:V1025"/>
    <mergeCell ref="B1033:V1033"/>
    <mergeCell ref="B1041:V1041"/>
    <mergeCell ref="B1014:C1014"/>
    <mergeCell ref="B1015:C1015"/>
    <mergeCell ref="B1016:C1016"/>
    <mergeCell ref="B1037:C1037"/>
    <mergeCell ref="B1038:C1038"/>
    <mergeCell ref="L1035:L1040"/>
    <mergeCell ref="M1035:M1040"/>
    <mergeCell ref="N1035:N1040"/>
    <mergeCell ref="O1035:O1040"/>
    <mergeCell ref="P1035:P1040"/>
    <mergeCell ref="Q1035:Q1040"/>
    <mergeCell ref="R1035:R1040"/>
    <mergeCell ref="S1035:S1040"/>
    <mergeCell ref="B1034:V1034"/>
    <mergeCell ref="J1043:J1048"/>
    <mergeCell ref="B1051:C1051"/>
    <mergeCell ref="B1052:C1052"/>
    <mergeCell ref="B1039:C1039"/>
    <mergeCell ref="B1040:C1040"/>
    <mergeCell ref="K1043:K1048"/>
    <mergeCell ref="L1043:L1048"/>
    <mergeCell ref="M1043:M1048"/>
    <mergeCell ref="N1043:N1048"/>
    <mergeCell ref="O1043:O1048"/>
    <mergeCell ref="P1043:P1048"/>
    <mergeCell ref="B714:C714"/>
    <mergeCell ref="V192:V197"/>
    <mergeCell ref="B286:C286"/>
    <mergeCell ref="B287:C287"/>
    <mergeCell ref="B198:V198"/>
    <mergeCell ref="B199:V199"/>
    <mergeCell ref="B200:I200"/>
    <mergeCell ref="J200:J205"/>
    <mergeCell ref="K200:K205"/>
    <mergeCell ref="L200:L205"/>
    <mergeCell ref="M200:M205"/>
    <mergeCell ref="N200:N205"/>
    <mergeCell ref="O200:O205"/>
    <mergeCell ref="P200:P205"/>
    <mergeCell ref="Q200:Q205"/>
    <mergeCell ref="R200:R205"/>
    <mergeCell ref="B1053:C1053"/>
    <mergeCell ref="B975:V975"/>
    <mergeCell ref="B981:V981"/>
    <mergeCell ref="B995:V995"/>
    <mergeCell ref="B1003:V1003"/>
    <mergeCell ref="B1011:V1011"/>
    <mergeCell ref="B1017:C1017"/>
    <mergeCell ref="B1018:C1018"/>
    <mergeCell ref="B1027:I1027"/>
    <mergeCell ref="B1028:C1028"/>
    <mergeCell ref="B1029:C1029"/>
    <mergeCell ref="B1030:C1030"/>
    <mergeCell ref="B1031:C1031"/>
    <mergeCell ref="B1032:C1032"/>
    <mergeCell ref="B1035:I1035"/>
    <mergeCell ref="B1036:C1036"/>
    <mergeCell ref="R697:R702"/>
    <mergeCell ref="K586:K591"/>
    <mergeCell ref="B118:V118"/>
    <mergeCell ref="B126:V126"/>
    <mergeCell ref="B134:V134"/>
    <mergeCell ref="B237:V237"/>
    <mergeCell ref="B245:V245"/>
    <mergeCell ref="B253:V253"/>
    <mergeCell ref="B268:V268"/>
    <mergeCell ref="B283:V283"/>
    <mergeCell ref="B291:V291"/>
    <mergeCell ref="B299:V299"/>
    <mergeCell ref="B337:V337"/>
    <mergeCell ref="B345:V345"/>
    <mergeCell ref="B369:V369"/>
    <mergeCell ref="B424:V424"/>
    <mergeCell ref="B536:V536"/>
    <mergeCell ref="B544:V544"/>
    <mergeCell ref="L586:L591"/>
    <mergeCell ref="M586:M591"/>
    <mergeCell ref="N586:N591"/>
    <mergeCell ref="O586:O591"/>
    <mergeCell ref="P586:P591"/>
    <mergeCell ref="U554:U559"/>
    <mergeCell ref="B529:V529"/>
    <mergeCell ref="B502:C502"/>
    <mergeCell ref="B503:C503"/>
    <mergeCell ref="L490:L495"/>
    <mergeCell ref="V554:V559"/>
    <mergeCell ref="P554:P559"/>
    <mergeCell ref="Q554:Q559"/>
    <mergeCell ref="R554:R559"/>
    <mergeCell ref="S681:S686"/>
    <mergeCell ref="T681:T686"/>
    <mergeCell ref="B684:C684"/>
    <mergeCell ref="B685:C685"/>
    <mergeCell ref="B686:C686"/>
    <mergeCell ref="B689:I689"/>
    <mergeCell ref="B690:C690"/>
    <mergeCell ref="B691:C691"/>
    <mergeCell ref="B649:V649"/>
    <mergeCell ref="B650:V650"/>
    <mergeCell ref="B652:C652"/>
    <mergeCell ref="B653:C653"/>
    <mergeCell ref="B654:C654"/>
    <mergeCell ref="B673:V673"/>
    <mergeCell ref="B674:C674"/>
    <mergeCell ref="B675:C675"/>
    <mergeCell ref="B676:C676"/>
    <mergeCell ref="B677:C677"/>
    <mergeCell ref="B678:C678"/>
    <mergeCell ref="B680:V680"/>
    <mergeCell ref="K651:K656"/>
    <mergeCell ref="L651:L656"/>
    <mergeCell ref="M651:M656"/>
    <mergeCell ref="N651:N656"/>
    <mergeCell ref="O651:O656"/>
    <mergeCell ref="P651:P656"/>
    <mergeCell ref="Q651:Q656"/>
    <mergeCell ref="R651:R656"/>
    <mergeCell ref="S651:S656"/>
    <mergeCell ref="T651:T656"/>
    <mergeCell ref="U651:U656"/>
    <mergeCell ref="V651:V656"/>
    <mergeCell ref="J873:J878"/>
    <mergeCell ref="K873:K878"/>
    <mergeCell ref="L873:L878"/>
    <mergeCell ref="M873:M878"/>
    <mergeCell ref="N873:N878"/>
    <mergeCell ref="A31:A38"/>
    <mergeCell ref="A78:A85"/>
    <mergeCell ref="A86:A93"/>
    <mergeCell ref="A94:A101"/>
    <mergeCell ref="A102:A109"/>
    <mergeCell ref="A110:A117"/>
    <mergeCell ref="A118:A125"/>
    <mergeCell ref="A126:A133"/>
    <mergeCell ref="A134:A141"/>
    <mergeCell ref="A237:A244"/>
    <mergeCell ref="A245:A252"/>
    <mergeCell ref="A253:A260"/>
    <mergeCell ref="A71:A77"/>
    <mergeCell ref="A142:A149"/>
    <mergeCell ref="A158:A165"/>
    <mergeCell ref="A166:A173"/>
    <mergeCell ref="B715:C715"/>
    <mergeCell ref="B716:C716"/>
    <mergeCell ref="B717:C717"/>
    <mergeCell ref="B718:C718"/>
    <mergeCell ref="B574:C574"/>
    <mergeCell ref="B575:C575"/>
    <mergeCell ref="B578:I578"/>
    <mergeCell ref="B579:C579"/>
    <mergeCell ref="B580:C580"/>
    <mergeCell ref="B599:C599"/>
    <mergeCell ref="J681:J686"/>
    <mergeCell ref="A190:A197"/>
    <mergeCell ref="A198:A205"/>
    <mergeCell ref="A206:A214"/>
    <mergeCell ref="A39:A46"/>
    <mergeCell ref="A47:A54"/>
    <mergeCell ref="A55:A62"/>
    <mergeCell ref="A150:A157"/>
    <mergeCell ref="A215:A222"/>
    <mergeCell ref="A174:A181"/>
    <mergeCell ref="A182:A189"/>
    <mergeCell ref="A223:A230"/>
    <mergeCell ref="A63:A70"/>
    <mergeCell ref="A231:A236"/>
    <mergeCell ref="A863:A870"/>
    <mergeCell ref="A871:A878"/>
    <mergeCell ref="A879:A886"/>
    <mergeCell ref="A528:A535"/>
    <mergeCell ref="A536:A543"/>
    <mergeCell ref="A544:A551"/>
    <mergeCell ref="A552:A559"/>
    <mergeCell ref="A560:A567"/>
    <mergeCell ref="A568:A575"/>
    <mergeCell ref="A576:A583"/>
    <mergeCell ref="A584:A591"/>
    <mergeCell ref="A679:A686"/>
    <mergeCell ref="A687:A694"/>
    <mergeCell ref="A695:A702"/>
    <mergeCell ref="A703:A710"/>
    <mergeCell ref="A711:A718"/>
    <mergeCell ref="A719:A726"/>
    <mergeCell ref="A727:A734"/>
    <mergeCell ref="A735:A742"/>
    <mergeCell ref="A283:A290"/>
    <mergeCell ref="A291:A298"/>
    <mergeCell ref="A299:A306"/>
    <mergeCell ref="A337:A344"/>
    <mergeCell ref="A345:A352"/>
    <mergeCell ref="A369:A376"/>
    <mergeCell ref="A400:A407"/>
    <mergeCell ref="A408:A415"/>
    <mergeCell ref="A416:A423"/>
    <mergeCell ref="A307:A314"/>
    <mergeCell ref="A521:A527"/>
    <mergeCell ref="A480:A487"/>
    <mergeCell ref="A377:A384"/>
    <mergeCell ref="A424:A431"/>
    <mergeCell ref="A432:A439"/>
    <mergeCell ref="A440:A447"/>
    <mergeCell ref="A464:A471"/>
    <mergeCell ref="A456:A463"/>
    <mergeCell ref="B402:I402"/>
    <mergeCell ref="R458:R463"/>
    <mergeCell ref="S458:S463"/>
    <mergeCell ref="T458:T463"/>
    <mergeCell ref="B484:C484"/>
    <mergeCell ref="B485:C485"/>
    <mergeCell ref="B1098:C1098"/>
    <mergeCell ref="A743:A750"/>
    <mergeCell ref="A751:A758"/>
    <mergeCell ref="A592:A599"/>
    <mergeCell ref="A673:A678"/>
    <mergeCell ref="A600:A607"/>
    <mergeCell ref="A657:A664"/>
    <mergeCell ref="A775:A782"/>
    <mergeCell ref="A783:A790"/>
    <mergeCell ref="A791:A798"/>
    <mergeCell ref="A799:A806"/>
    <mergeCell ref="A807:A814"/>
    <mergeCell ref="A815:A822"/>
    <mergeCell ref="A625:A632"/>
    <mergeCell ref="A855:A862"/>
    <mergeCell ref="B905:I905"/>
    <mergeCell ref="B906:C906"/>
    <mergeCell ref="B907:C907"/>
    <mergeCell ref="B908:C908"/>
    <mergeCell ref="B909:C909"/>
    <mergeCell ref="B910:C910"/>
    <mergeCell ref="O905:O910"/>
    <mergeCell ref="M905:M910"/>
    <mergeCell ref="N905:N910"/>
    <mergeCell ref="N889:N894"/>
    <mergeCell ref="O889:O894"/>
    <mergeCell ref="A759:A766"/>
    <mergeCell ref="A767:A774"/>
    <mergeCell ref="A823:A830"/>
    <mergeCell ref="A831:A838"/>
    <mergeCell ref="A839:A846"/>
    <mergeCell ref="A847:A854"/>
    <mergeCell ref="S1103:S1109"/>
    <mergeCell ref="T1103:T1109"/>
    <mergeCell ref="U1103:U1109"/>
    <mergeCell ref="V1103:V1109"/>
    <mergeCell ref="B1104:C1104"/>
    <mergeCell ref="B1105:C1105"/>
    <mergeCell ref="B1106:C1106"/>
    <mergeCell ref="B1108:C1108"/>
    <mergeCell ref="A331:A336"/>
    <mergeCell ref="A385:A392"/>
    <mergeCell ref="A488:A495"/>
    <mergeCell ref="A496:A503"/>
    <mergeCell ref="A608:A616"/>
    <mergeCell ref="A617:A624"/>
    <mergeCell ref="A361:A368"/>
    <mergeCell ref="A353:A360"/>
    <mergeCell ref="A513:A520"/>
    <mergeCell ref="A649:A656"/>
    <mergeCell ref="A448:A455"/>
    <mergeCell ref="T1094:T1100"/>
    <mergeCell ref="U1094:U1100"/>
    <mergeCell ref="V1094:V1100"/>
    <mergeCell ref="B1095:C1095"/>
    <mergeCell ref="B1096:C1096"/>
    <mergeCell ref="B1097:C1097"/>
    <mergeCell ref="B1099:C1099"/>
    <mergeCell ref="A1101:A1109"/>
    <mergeCell ref="A1174:V1174"/>
    <mergeCell ref="A887:A894"/>
    <mergeCell ref="A895:A902"/>
    <mergeCell ref="A903:A910"/>
    <mergeCell ref="A911:A918"/>
    <mergeCell ref="A919:A926"/>
    <mergeCell ref="A981:A988"/>
    <mergeCell ref="A995:A1002"/>
    <mergeCell ref="A1003:A1010"/>
    <mergeCell ref="A1011:A1018"/>
    <mergeCell ref="A1025:A1032"/>
    <mergeCell ref="A1033:A1040"/>
    <mergeCell ref="A1041:A1048"/>
    <mergeCell ref="A1055:A1062"/>
    <mergeCell ref="A1069:A1076"/>
    <mergeCell ref="A1077:A1084"/>
    <mergeCell ref="B1100:C1100"/>
    <mergeCell ref="B1054:C1054"/>
    <mergeCell ref="N1013:N1018"/>
    <mergeCell ref="O1013:O1018"/>
    <mergeCell ref="K1071:K1076"/>
    <mergeCell ref="L1071:L1076"/>
    <mergeCell ref="M1071:M1076"/>
    <mergeCell ref="N1071:N1076"/>
    <mergeCell ref="O1071:O1076"/>
    <mergeCell ref="B1057:I1057"/>
    <mergeCell ref="B1058:C1058"/>
    <mergeCell ref="B1059:C1059"/>
    <mergeCell ref="B1060:C1060"/>
    <mergeCell ref="K1035:K1040"/>
    <mergeCell ref="Q1071:Q1076"/>
    <mergeCell ref="B1109:C1109"/>
    <mergeCell ref="A1165:V1165"/>
    <mergeCell ref="A1085:A1091"/>
    <mergeCell ref="B1085:V1085"/>
    <mergeCell ref="B1086:C1086"/>
    <mergeCell ref="J1086:V1091"/>
    <mergeCell ref="B1087:C1087"/>
    <mergeCell ref="B1088:C1088"/>
    <mergeCell ref="B1090:C1090"/>
    <mergeCell ref="B1091:C1091"/>
    <mergeCell ref="A1092:A1100"/>
    <mergeCell ref="B1092:V1092"/>
    <mergeCell ref="B1093:V1093"/>
    <mergeCell ref="B1094:I1094"/>
    <mergeCell ref="J1094:J1100"/>
    <mergeCell ref="K1094:K1100"/>
    <mergeCell ref="L1094:L1100"/>
    <mergeCell ref="M1094:M1100"/>
    <mergeCell ref="N1094:N1100"/>
    <mergeCell ref="O1094:O1100"/>
    <mergeCell ref="P1094:P1100"/>
    <mergeCell ref="Q1094:Q1100"/>
    <mergeCell ref="B1135:C1135"/>
    <mergeCell ref="B1136:C1136"/>
    <mergeCell ref="B1130:I1130"/>
    <mergeCell ref="J1130:J1136"/>
    <mergeCell ref="K1130:K1136"/>
    <mergeCell ref="L1130:L1136"/>
    <mergeCell ref="A1110:A1118"/>
    <mergeCell ref="B1110:V1110"/>
    <mergeCell ref="B1111:V1111"/>
    <mergeCell ref="B1112:I1112"/>
    <mergeCell ref="B1134:C1134"/>
    <mergeCell ref="J1112:J1118"/>
    <mergeCell ref="K1112:K1118"/>
    <mergeCell ref="L1112:L1118"/>
    <mergeCell ref="M1112:M1118"/>
    <mergeCell ref="N1112:N1118"/>
    <mergeCell ref="O1112:O1118"/>
    <mergeCell ref="P1112:P1118"/>
    <mergeCell ref="Q1112:Q1118"/>
    <mergeCell ref="R1112:R1118"/>
    <mergeCell ref="S1112:S1118"/>
    <mergeCell ref="T1112:T1118"/>
    <mergeCell ref="U1112:U1118"/>
    <mergeCell ref="V1112:V1118"/>
    <mergeCell ref="B1113:C1113"/>
    <mergeCell ref="B1114:C1114"/>
    <mergeCell ref="B1115:C1115"/>
    <mergeCell ref="B1117:C1117"/>
    <mergeCell ref="B1118:C1118"/>
    <mergeCell ref="Q255:Q260"/>
    <mergeCell ref="V1130:V1136"/>
    <mergeCell ref="Q1130:Q1136"/>
    <mergeCell ref="R1130:R1136"/>
    <mergeCell ref="S1130:S1136"/>
    <mergeCell ref="T1130:T1136"/>
    <mergeCell ref="U1130:U1136"/>
    <mergeCell ref="A1169:C1169"/>
    <mergeCell ref="A1119:A1127"/>
    <mergeCell ref="B1119:V1119"/>
    <mergeCell ref="B1120:V1120"/>
    <mergeCell ref="B1121:I1121"/>
    <mergeCell ref="J1121:J1127"/>
    <mergeCell ref="K1121:K1127"/>
    <mergeCell ref="L1121:L1127"/>
    <mergeCell ref="M1121:M1127"/>
    <mergeCell ref="N1121:N1127"/>
    <mergeCell ref="O1121:O1127"/>
    <mergeCell ref="P1121:P1127"/>
    <mergeCell ref="Q1121:Q1127"/>
    <mergeCell ref="R1121:R1127"/>
    <mergeCell ref="S1121:S1127"/>
    <mergeCell ref="T1121:T1127"/>
    <mergeCell ref="U1121:U1127"/>
    <mergeCell ref="V1121:V1127"/>
    <mergeCell ref="B1122:C1122"/>
    <mergeCell ref="B1123:C1123"/>
    <mergeCell ref="B1124:C1124"/>
    <mergeCell ref="B1126:C1126"/>
    <mergeCell ref="B1127:C1127"/>
    <mergeCell ref="B1132:C1132"/>
    <mergeCell ref="B1133:C1133"/>
    <mergeCell ref="B397:C397"/>
    <mergeCell ref="T1159:T1164"/>
    <mergeCell ref="B1146:C1146"/>
    <mergeCell ref="B1147:C1147"/>
    <mergeCell ref="B1148:C1148"/>
    <mergeCell ref="B1149:C1149"/>
    <mergeCell ref="B1150:C1150"/>
    <mergeCell ref="B248:C248"/>
    <mergeCell ref="B249:C249"/>
    <mergeCell ref="K255:K260"/>
    <mergeCell ref="T293:T298"/>
    <mergeCell ref="U293:U298"/>
    <mergeCell ref="M255:M260"/>
    <mergeCell ref="J270:J275"/>
    <mergeCell ref="K270:K275"/>
    <mergeCell ref="O192:O197"/>
    <mergeCell ref="P192:P197"/>
    <mergeCell ref="Q192:Q197"/>
    <mergeCell ref="R192:R197"/>
    <mergeCell ref="S192:S197"/>
    <mergeCell ref="T192:T197"/>
    <mergeCell ref="U192:U197"/>
    <mergeCell ref="B193:C193"/>
    <mergeCell ref="B194:C194"/>
    <mergeCell ref="B195:C195"/>
    <mergeCell ref="B196:C196"/>
    <mergeCell ref="B197:C197"/>
    <mergeCell ref="L270:L275"/>
    <mergeCell ref="K285:K290"/>
    <mergeCell ref="J285:J290"/>
    <mergeCell ref="N285:N290"/>
    <mergeCell ref="N255:N260"/>
    <mergeCell ref="Q458:Q463"/>
    <mergeCell ref="R255:R260"/>
    <mergeCell ref="B275:C275"/>
    <mergeCell ref="B285:I285"/>
    <mergeCell ref="S200:S205"/>
    <mergeCell ref="T200:T205"/>
    <mergeCell ref="U200:U205"/>
    <mergeCell ref="V200:V205"/>
    <mergeCell ref="B201:C201"/>
    <mergeCell ref="B202:C202"/>
    <mergeCell ref="B203:C203"/>
    <mergeCell ref="B204:C204"/>
    <mergeCell ref="B205:C205"/>
    <mergeCell ref="P410:P415"/>
    <mergeCell ref="B403:C403"/>
    <mergeCell ref="B404:C404"/>
    <mergeCell ref="B405:C405"/>
    <mergeCell ref="B406:C406"/>
    <mergeCell ref="B309:I309"/>
    <mergeCell ref="J309:J314"/>
    <mergeCell ref="K309:K314"/>
    <mergeCell ref="L309:L314"/>
    <mergeCell ref="M309:M314"/>
    <mergeCell ref="N309:N314"/>
    <mergeCell ref="O309:O314"/>
    <mergeCell ref="P309:P314"/>
    <mergeCell ref="Q309:Q314"/>
    <mergeCell ref="R309:R314"/>
    <mergeCell ref="S309:S314"/>
    <mergeCell ref="B393:V393"/>
    <mergeCell ref="B395:C395"/>
    <mergeCell ref="B396:C396"/>
    <mergeCell ref="N317:N322"/>
    <mergeCell ref="B312:C312"/>
    <mergeCell ref="B313:C313"/>
    <mergeCell ref="B348:C348"/>
    <mergeCell ref="B377:V377"/>
    <mergeCell ref="B378:V378"/>
    <mergeCell ref="B343:C343"/>
    <mergeCell ref="K506:K512"/>
    <mergeCell ref="B475:C475"/>
    <mergeCell ref="B476:C476"/>
    <mergeCell ref="B477:C477"/>
    <mergeCell ref="B478:C478"/>
    <mergeCell ref="B479:C479"/>
    <mergeCell ref="V474:V479"/>
    <mergeCell ref="U474:U479"/>
    <mergeCell ref="B444:C444"/>
    <mergeCell ref="B401:V401"/>
    <mergeCell ref="J402:J407"/>
    <mergeCell ref="K402:K407"/>
    <mergeCell ref="L402:L407"/>
    <mergeCell ref="S402:S407"/>
    <mergeCell ref="T402:T407"/>
    <mergeCell ref="B399:C399"/>
    <mergeCell ref="B445:C445"/>
    <mergeCell ref="B446:C446"/>
    <mergeCell ref="B400:V400"/>
    <mergeCell ref="M402:M407"/>
    <mergeCell ref="N402:N407"/>
    <mergeCell ref="O402:O407"/>
    <mergeCell ref="P402:P407"/>
    <mergeCell ref="B471:C471"/>
    <mergeCell ref="Q490:Q495"/>
    <mergeCell ref="B513:V513"/>
    <mergeCell ref="R1103:R1109"/>
    <mergeCell ref="B506:I506"/>
    <mergeCell ref="B215:V215"/>
    <mergeCell ref="B216:V216"/>
    <mergeCell ref="B217:I217"/>
    <mergeCell ref="J217:J222"/>
    <mergeCell ref="K217:K222"/>
    <mergeCell ref="L217:L222"/>
    <mergeCell ref="M217:M222"/>
    <mergeCell ref="N217:N222"/>
    <mergeCell ref="O217:O222"/>
    <mergeCell ref="P217:P222"/>
    <mergeCell ref="Q217:Q222"/>
    <mergeCell ref="R217:R222"/>
    <mergeCell ref="S217:S222"/>
    <mergeCell ref="T217:T222"/>
    <mergeCell ref="U217:U222"/>
    <mergeCell ref="V217:V222"/>
    <mergeCell ref="B218:C218"/>
    <mergeCell ref="B219:C219"/>
    <mergeCell ref="B220:C220"/>
    <mergeCell ref="B221:C221"/>
    <mergeCell ref="B222:C222"/>
    <mergeCell ref="B488:V488"/>
    <mergeCell ref="B1089:C1089"/>
    <mergeCell ref="B352:C352"/>
    <mergeCell ref="B317:I317"/>
    <mergeCell ref="J317:J322"/>
    <mergeCell ref="K317:K322"/>
    <mergeCell ref="L317:L322"/>
    <mergeCell ref="M317:M322"/>
    <mergeCell ref="T1145:T1150"/>
    <mergeCell ref="U1145:U1150"/>
    <mergeCell ref="B1107:C1107"/>
    <mergeCell ref="B1116:C1116"/>
    <mergeCell ref="B1125:C1125"/>
    <mergeCell ref="B1101:V1101"/>
    <mergeCell ref="B1102:V1102"/>
    <mergeCell ref="B1103:I1103"/>
    <mergeCell ref="J1103:J1109"/>
    <mergeCell ref="K1103:K1109"/>
    <mergeCell ref="L1103:L1109"/>
    <mergeCell ref="M1103:M1109"/>
    <mergeCell ref="N1103:N1109"/>
    <mergeCell ref="O1103:O1109"/>
    <mergeCell ref="L506:L512"/>
    <mergeCell ref="P1103:P1109"/>
    <mergeCell ref="Q1103:Q1109"/>
    <mergeCell ref="R1094:R1100"/>
    <mergeCell ref="S1094:S1100"/>
    <mergeCell ref="B1000:C1000"/>
    <mergeCell ref="B1001:C1001"/>
    <mergeCell ref="B1002:C1002"/>
    <mergeCell ref="B1005:I1005"/>
    <mergeCell ref="B1006:C1006"/>
    <mergeCell ref="B1007:C1007"/>
    <mergeCell ref="B1008:C1008"/>
    <mergeCell ref="B1009:C1009"/>
    <mergeCell ref="B1010:C1010"/>
    <mergeCell ref="B911:V911"/>
    <mergeCell ref="B870:C870"/>
    <mergeCell ref="B873:I873"/>
    <mergeCell ref="B874:C874"/>
    <mergeCell ref="M1159:M1164"/>
    <mergeCell ref="N1159:N1164"/>
    <mergeCell ref="O1159:O1164"/>
    <mergeCell ref="P1159:P1164"/>
    <mergeCell ref="V1159:V1164"/>
    <mergeCell ref="B1160:C1160"/>
    <mergeCell ref="B1161:C1161"/>
    <mergeCell ref="B1162:C1162"/>
    <mergeCell ref="B1163:C1163"/>
    <mergeCell ref="B1164:C1164"/>
    <mergeCell ref="A1137:A1142"/>
    <mergeCell ref="B1137:V1137"/>
    <mergeCell ref="B1138:C1138"/>
    <mergeCell ref="J1138:V1142"/>
    <mergeCell ref="B1139:C1139"/>
    <mergeCell ref="B1140:C1140"/>
    <mergeCell ref="B1141:C1141"/>
    <mergeCell ref="B1142:C1142"/>
    <mergeCell ref="A1143:A1150"/>
    <mergeCell ref="B1143:V1143"/>
    <mergeCell ref="B1144:V1144"/>
    <mergeCell ref="B1145:I1145"/>
    <mergeCell ref="J1145:J1150"/>
    <mergeCell ref="K1145:K1150"/>
    <mergeCell ref="L1145:L1150"/>
    <mergeCell ref="M1145:M1150"/>
    <mergeCell ref="N1145:N1150"/>
    <mergeCell ref="O1145:O1150"/>
    <mergeCell ref="P1145:P1150"/>
    <mergeCell ref="Q1145:Q1150"/>
    <mergeCell ref="R1145:R1150"/>
    <mergeCell ref="S1145:S1150"/>
    <mergeCell ref="J466:J471"/>
    <mergeCell ref="B342:C342"/>
    <mergeCell ref="Q1159:Q1164"/>
    <mergeCell ref="R1159:R1164"/>
    <mergeCell ref="B515:I515"/>
    <mergeCell ref="S1159:S1164"/>
    <mergeCell ref="U1159:U1164"/>
    <mergeCell ref="V1145:V1150"/>
    <mergeCell ref="U515:U520"/>
    <mergeCell ref="V515:V520"/>
    <mergeCell ref="B516:C516"/>
    <mergeCell ref="B517:C517"/>
    <mergeCell ref="B518:C518"/>
    <mergeCell ref="B519:C519"/>
    <mergeCell ref="B520:C520"/>
    <mergeCell ref="A1173:C1173"/>
    <mergeCell ref="J1166:V1173"/>
    <mergeCell ref="A1151:A1156"/>
    <mergeCell ref="B1151:V1151"/>
    <mergeCell ref="B1152:C1152"/>
    <mergeCell ref="J1152:V1156"/>
    <mergeCell ref="B1153:C1153"/>
    <mergeCell ref="B1154:C1154"/>
    <mergeCell ref="B1155:C1155"/>
    <mergeCell ref="B1156:C1156"/>
    <mergeCell ref="A1157:A1164"/>
    <mergeCell ref="B1157:V1157"/>
    <mergeCell ref="B1158:V1158"/>
    <mergeCell ref="B1159:I1159"/>
    <mergeCell ref="J1159:J1164"/>
    <mergeCell ref="K1159:K1164"/>
    <mergeCell ref="L1159:L1164"/>
    <mergeCell ref="R1:V1"/>
    <mergeCell ref="R3:V3"/>
    <mergeCell ref="B223:V223"/>
    <mergeCell ref="B224:V224"/>
    <mergeCell ref="B225:I225"/>
    <mergeCell ref="B226:C226"/>
    <mergeCell ref="B227:C227"/>
    <mergeCell ref="B228:C228"/>
    <mergeCell ref="B229:C229"/>
    <mergeCell ref="B230:C230"/>
    <mergeCell ref="A393:A399"/>
    <mergeCell ref="J394:V399"/>
    <mergeCell ref="B489:V489"/>
    <mergeCell ref="J490:J495"/>
    <mergeCell ref="K490:K495"/>
    <mergeCell ref="A504:A512"/>
    <mergeCell ref="B504:V504"/>
    <mergeCell ref="B505:V505"/>
    <mergeCell ref="B507:C507"/>
    <mergeCell ref="B508:C508"/>
    <mergeCell ref="B509:C509"/>
    <mergeCell ref="B510:C510"/>
    <mergeCell ref="B466:I466"/>
    <mergeCell ref="O410:O415"/>
    <mergeCell ref="B512:C512"/>
    <mergeCell ref="J506:J512"/>
    <mergeCell ref="B435:C435"/>
    <mergeCell ref="B436:C436"/>
    <mergeCell ref="B437:C437"/>
    <mergeCell ref="B438:C438"/>
    <mergeCell ref="B439:C439"/>
    <mergeCell ref="B442:I442"/>
  </mergeCells>
  <pageMargins left="0.11811023622047245" right="0.11811023622047245" top="0.78740157480314965" bottom="0.39370078740157483" header="0.31496062992125984" footer="0.31496062992125984"/>
  <pageSetup paperSize="9" scale="50" fitToHeight="0" orientation="landscape" r:id="rId1"/>
  <rowBreaks count="26" manualBreakCount="26">
    <brk id="38" max="21" man="1"/>
    <brk id="77" max="21" man="1"/>
    <brk id="117" max="21" man="1"/>
    <brk id="157" max="21" man="1"/>
    <brk id="197" max="21" man="1"/>
    <brk id="244" max="21" man="1"/>
    <brk id="290" max="21" man="1"/>
    <brk id="336" max="21" man="1"/>
    <brk id="384" max="21" man="1"/>
    <brk id="423" max="21" man="1"/>
    <brk id="463" max="21" man="1"/>
    <brk id="512" max="21" man="1"/>
    <brk id="559" max="21" man="1"/>
    <brk id="599" max="21" man="1"/>
    <brk id="656" max="21" man="1"/>
    <brk id="702" max="21" man="1"/>
    <brk id="742" max="21" man="1"/>
    <brk id="782" max="21" man="1"/>
    <brk id="822" max="21" man="1"/>
    <brk id="862" max="21" man="1"/>
    <brk id="902" max="21" man="1"/>
    <brk id="942" max="21" man="1"/>
    <brk id="988" max="21" man="1"/>
    <brk id="1032" max="21" man="1"/>
    <brk id="1076" max="21" man="1"/>
    <brk id="1118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Оксана Николаевна</dc:creator>
  <cp:lastModifiedBy>Адуллин Андрей Зильфатович</cp:lastModifiedBy>
  <cp:lastPrinted>2019-06-12T23:28:25Z</cp:lastPrinted>
  <dcterms:created xsi:type="dcterms:W3CDTF">2013-06-03T21:57:32Z</dcterms:created>
  <dcterms:modified xsi:type="dcterms:W3CDTF">2019-06-18T04:14:30Z</dcterms:modified>
</cp:coreProperties>
</file>